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mora\Documents\UCP\Proyectos\2018\Reingeniería Página Web\2018\Textos\Enviados\Transparencia\Planificación\Presupuestos\"/>
    </mc:Choice>
  </mc:AlternateContent>
  <bookViews>
    <workbookView xWindow="0" yWindow="60" windowWidth="15600" windowHeight="9468" tabRatio="575" activeTab="2"/>
  </bookViews>
  <sheets>
    <sheet name="Ingresos -2018" sheetId="43" r:id="rId1"/>
    <sheet name="Límite de Gasto" sheetId="24" r:id="rId2"/>
    <sheet name="Origen y Aplicación de Rec." sheetId="42" r:id="rId3"/>
    <sheet name="clasificación Funcional" sheetId="50" r:id="rId4"/>
    <sheet name="Egresos por Ctro de Costos " sheetId="23" r:id="rId5"/>
    <sheet name=" Comparativo de Ingresos 17-18" sheetId="58" r:id="rId6"/>
    <sheet name=" Comparativo de Ingresos Reales" sheetId="65" r:id="rId7"/>
    <sheet name="serie Histórica de Ingresos" sheetId="59" r:id="rId8"/>
    <sheet name="Comparativo de Egresos" sheetId="61" r:id="rId9"/>
    <sheet name="Evolución de Egresos" sheetId="62" r:id="rId10"/>
    <sheet name="Hoja1" sheetId="68" state="hidden" r:id="rId11"/>
    <sheet name="Egresos Analísis Vertical" sheetId="63" r:id="rId12"/>
    <sheet name="Clasificador Económico" sheetId="67" r:id="rId13"/>
  </sheets>
  <externalReferences>
    <externalReference r:id="rId14"/>
    <externalReference r:id="rId15"/>
    <externalReference r:id="rId16"/>
    <externalReference r:id="rId17"/>
  </externalReferences>
  <definedNames>
    <definedName name="_xlnm.Print_Area" localSheetId="6">' Comparativo de Ingresos Reales'!$A$2:$J$141</definedName>
    <definedName name="_xlnm.Print_Area" localSheetId="8">'Comparativo de Egresos'!$A$1:$G$303</definedName>
    <definedName name="_xlnm.Print_Area" localSheetId="11">'Egresos Analísis Vertical'!$A$1:$AX$313</definedName>
    <definedName name="_xlnm.Print_Area" localSheetId="4">'Egresos por Ctro de Costos '!$A:$AM</definedName>
    <definedName name="_xlnm.Print_Area" localSheetId="9">'Evolución de Egresos'!$A$1:$BG$300</definedName>
    <definedName name="_xlnm.Print_Area" localSheetId="0">'Ingresos -2018'!$A$1:$L$166</definedName>
    <definedName name="_xlnm.Print_Area" localSheetId="2">'Origen y Aplicación de Rec.'!$A$1:$M$163</definedName>
    <definedName name="_xlnm.Print_Area" localSheetId="7">'serie Histórica de Ingresos'!$A$2:$E$140</definedName>
    <definedName name="_xlnm.Print_Titles" localSheetId="5">' Comparativo de Ingresos 17-18'!$4:$4</definedName>
    <definedName name="_xlnm.Print_Titles" localSheetId="6">' Comparativo de Ingresos Reales'!$2:$7</definedName>
    <definedName name="_xlnm.Print_Titles" localSheetId="8">'Comparativo de Egresos'!$1:$7</definedName>
    <definedName name="_xlnm.Print_Titles" localSheetId="11">'Egresos Analísis Vertical'!$1:$7</definedName>
    <definedName name="_xlnm.Print_Titles" localSheetId="4">'Egresos por Ctro de Costos '!$1:$6</definedName>
    <definedName name="_xlnm.Print_Titles" localSheetId="9">'Evolución de Egresos'!$1:$7</definedName>
    <definedName name="_xlnm.Print_Titles" localSheetId="0">'Ingresos -2018'!$1:$4</definedName>
    <definedName name="_xlnm.Print_Titles" localSheetId="2">'Origen y Aplicación de Rec.'!$1:$10</definedName>
    <definedName name="_xlnm.Print_Titles" localSheetId="7">'serie Histórica de Ingresos'!$7:$7</definedName>
  </definedNames>
  <calcPr calcId="162913"/>
</workbook>
</file>

<file path=xl/calcChain.xml><?xml version="1.0" encoding="utf-8"?>
<calcChain xmlns="http://schemas.openxmlformats.org/spreadsheetml/2006/main">
  <c r="D13" i="67" l="1"/>
  <c r="D14" i="67"/>
  <c r="D12" i="67" s="1"/>
  <c r="D10" i="67" s="1"/>
  <c r="D8" i="67" s="1"/>
  <c r="D16" i="67"/>
  <c r="D18" i="67"/>
  <c r="D23" i="67"/>
  <c r="D22" i="67" s="1"/>
  <c r="D24" i="67"/>
  <c r="D29" i="67"/>
  <c r="D36" i="67"/>
  <c r="D27" i="67" s="1"/>
  <c r="D43" i="67"/>
  <c r="D48" i="67"/>
  <c r="D54" i="67"/>
  <c r="D60" i="67"/>
  <c r="B14" i="65"/>
  <c r="E14" i="65"/>
  <c r="H30" i="65"/>
  <c r="B31" i="65"/>
  <c r="B32" i="65"/>
  <c r="E32" i="65"/>
  <c r="B33" i="65"/>
  <c r="E33" i="65"/>
  <c r="E34" i="65"/>
  <c r="E35" i="65"/>
  <c r="E36" i="65"/>
  <c r="E37" i="65"/>
  <c r="E38" i="65"/>
  <c r="E39" i="65"/>
  <c r="E40" i="65"/>
  <c r="E41" i="65"/>
  <c r="E42" i="65"/>
  <c r="E43" i="65"/>
  <c r="E44" i="65"/>
  <c r="E45" i="65"/>
  <c r="E46" i="65"/>
  <c r="E47" i="65"/>
  <c r="E48" i="65"/>
  <c r="E49" i="65"/>
  <c r="E50" i="65"/>
  <c r="E51" i="65"/>
  <c r="E52" i="65"/>
  <c r="E53" i="65"/>
  <c r="E54" i="65"/>
  <c r="E55" i="65"/>
  <c r="E56" i="65"/>
  <c r="E57" i="65"/>
  <c r="E58" i="65"/>
  <c r="E59" i="65"/>
  <c r="B60" i="65"/>
  <c r="E60" i="65"/>
  <c r="H60" i="65"/>
  <c r="E61" i="65"/>
  <c r="E62" i="65"/>
  <c r="E63" i="65"/>
  <c r="E64" i="65"/>
  <c r="E65" i="65"/>
  <c r="E66" i="65"/>
  <c r="B67" i="65"/>
  <c r="E67" i="65"/>
  <c r="B70" i="65"/>
  <c r="E70" i="65"/>
  <c r="H70" i="65"/>
  <c r="G72" i="65"/>
  <c r="J72" i="65" s="1"/>
  <c r="G73" i="65"/>
  <c r="J73" i="65" s="1"/>
  <c r="G74" i="65"/>
  <c r="J74" i="65" s="1"/>
  <c r="G75" i="65"/>
  <c r="J75" i="65" s="1"/>
  <c r="G76" i="65"/>
  <c r="J76" i="65" s="1"/>
  <c r="G77" i="65"/>
  <c r="J77" i="65" s="1"/>
  <c r="B80" i="65"/>
  <c r="E80" i="65"/>
  <c r="E81" i="65"/>
  <c r="H82" i="65"/>
  <c r="H80" i="65" s="1"/>
  <c r="B83" i="65"/>
  <c r="E83" i="65"/>
  <c r="H83" i="65"/>
  <c r="B88" i="65"/>
  <c r="E88" i="65"/>
  <c r="B96" i="65"/>
  <c r="E96" i="65"/>
  <c r="H125" i="65"/>
  <c r="H86" i="65" s="1"/>
  <c r="B129" i="65"/>
  <c r="E129" i="65"/>
  <c r="E125" i="65" s="1"/>
  <c r="B130" i="65"/>
  <c r="H133" i="65"/>
  <c r="B135" i="65"/>
  <c r="E135" i="65"/>
  <c r="B136" i="65"/>
  <c r="E136" i="65"/>
  <c r="E143" i="65"/>
  <c r="E145" i="65"/>
  <c r="AG10" i="63"/>
  <c r="H11" i="63"/>
  <c r="I11" i="63"/>
  <c r="K11" i="63"/>
  <c r="L11" i="63"/>
  <c r="M11" i="63"/>
  <c r="N11" i="63"/>
  <c r="O11" i="63"/>
  <c r="P11" i="63"/>
  <c r="Q11" i="63"/>
  <c r="R11" i="63"/>
  <c r="S11" i="63"/>
  <c r="T11" i="63"/>
  <c r="U11" i="63"/>
  <c r="V11" i="63"/>
  <c r="W11" i="63"/>
  <c r="Z11" i="63"/>
  <c r="AA11" i="63"/>
  <c r="AB11" i="63"/>
  <c r="AC11" i="63"/>
  <c r="AD11" i="63"/>
  <c r="AH11" i="63"/>
  <c r="AI11" i="63"/>
  <c r="AJ11" i="63"/>
  <c r="AK11" i="63"/>
  <c r="AQ11" i="63"/>
  <c r="AR11" i="63"/>
  <c r="AS11" i="63"/>
  <c r="AT11" i="63"/>
  <c r="J12" i="63"/>
  <c r="J11" i="63" s="1"/>
  <c r="X12" i="63"/>
  <c r="F12" i="63" s="1"/>
  <c r="Y12" i="63"/>
  <c r="Y11" i="63" s="1"/>
  <c r="AF12" i="63"/>
  <c r="AF11" i="63" s="1"/>
  <c r="AG12" i="63"/>
  <c r="AG11" i="63" s="1"/>
  <c r="AM12" i="63"/>
  <c r="AM11" i="63" s="1"/>
  <c r="AO12" i="63"/>
  <c r="AO11" i="63" s="1"/>
  <c r="AP12" i="63"/>
  <c r="AP11" i="63" s="1"/>
  <c r="AW12" i="63"/>
  <c r="AW11" i="63" s="1"/>
  <c r="G13" i="63"/>
  <c r="Y13" i="63"/>
  <c r="AG13" i="63"/>
  <c r="AL13" i="63"/>
  <c r="AP13" i="63"/>
  <c r="AN13" i="63" s="1"/>
  <c r="AU13" i="63" s="1"/>
  <c r="G14" i="63"/>
  <c r="E14" i="63" s="1"/>
  <c r="Y14" i="63"/>
  <c r="AF14" i="63"/>
  <c r="F14" i="63" s="1"/>
  <c r="AG14" i="63"/>
  <c r="AM14" i="63"/>
  <c r="AN14" i="63"/>
  <c r="AP14" i="63"/>
  <c r="AU14" i="63"/>
  <c r="AW14" i="63"/>
  <c r="G15" i="63"/>
  <c r="E15" i="63" s="1"/>
  <c r="X15" i="63"/>
  <c r="F15" i="63" s="1"/>
  <c r="Y15" i="63"/>
  <c r="AG15" i="63"/>
  <c r="AM15" i="63"/>
  <c r="AN15" i="63"/>
  <c r="D15" i="63" s="1"/>
  <c r="AP15" i="63"/>
  <c r="AU15" i="63"/>
  <c r="AW15" i="63"/>
  <c r="H17" i="63"/>
  <c r="G17" i="63" s="1"/>
  <c r="I17" i="63"/>
  <c r="J17" i="63"/>
  <c r="K17" i="63"/>
  <c r="L17" i="63"/>
  <c r="M17" i="63"/>
  <c r="N17" i="63"/>
  <c r="O17" i="63"/>
  <c r="P17" i="63"/>
  <c r="Q17" i="63"/>
  <c r="R17" i="63"/>
  <c r="S17" i="63"/>
  <c r="T17" i="63"/>
  <c r="U17" i="63"/>
  <c r="V17" i="63"/>
  <c r="W17" i="63"/>
  <c r="Z17" i="63"/>
  <c r="AA17" i="63"/>
  <c r="AB17" i="63"/>
  <c r="AC17" i="63"/>
  <c r="AD17" i="63"/>
  <c r="AF17" i="63"/>
  <c r="AH17" i="63"/>
  <c r="AI17" i="63"/>
  <c r="AJ17" i="63"/>
  <c r="AK17" i="63"/>
  <c r="AO17" i="63"/>
  <c r="AQ17" i="63"/>
  <c r="AR17" i="63"/>
  <c r="AS17" i="63"/>
  <c r="AT17" i="63"/>
  <c r="G18" i="63"/>
  <c r="E18" i="63" s="1"/>
  <c r="X18" i="63"/>
  <c r="Y18" i="63"/>
  <c r="AF18" i="63"/>
  <c r="AG18" i="63"/>
  <c r="AP18" i="63"/>
  <c r="AN18" i="63" s="1"/>
  <c r="AU18" i="63" s="1"/>
  <c r="AW18" i="63"/>
  <c r="F19" i="63"/>
  <c r="G19" i="63"/>
  <c r="E19" i="63" s="1"/>
  <c r="Y19" i="63"/>
  <c r="D19" i="63" s="1"/>
  <c r="AG19" i="63"/>
  <c r="AN19" i="63"/>
  <c r="AP19" i="63"/>
  <c r="AU19" i="63"/>
  <c r="G20" i="63"/>
  <c r="E20" i="63" s="1"/>
  <c r="Y20" i="63"/>
  <c r="AF20" i="63"/>
  <c r="F20" i="63" s="1"/>
  <c r="AG20" i="63"/>
  <c r="AL20" i="63"/>
  <c r="AM20" i="63"/>
  <c r="AN20" i="63"/>
  <c r="AP20" i="63"/>
  <c r="AU20" i="63"/>
  <c r="AW20" i="63"/>
  <c r="G21" i="63"/>
  <c r="E21" i="63" s="1"/>
  <c r="X21" i="63"/>
  <c r="X17" i="63" s="1"/>
  <c r="Y21" i="63"/>
  <c r="AG21" i="63"/>
  <c r="AM21" i="63"/>
  <c r="AM17" i="63" s="1"/>
  <c r="AN21" i="63"/>
  <c r="D21" i="63" s="1"/>
  <c r="AP21" i="63"/>
  <c r="AU21" i="63"/>
  <c r="AW21" i="63"/>
  <c r="I24" i="63"/>
  <c r="J24" i="63"/>
  <c r="K24" i="63"/>
  <c r="L24" i="63"/>
  <c r="M24" i="63"/>
  <c r="M23" i="63" s="1"/>
  <c r="N24" i="63"/>
  <c r="O24" i="63"/>
  <c r="P24" i="63"/>
  <c r="Q24" i="63"/>
  <c r="R24" i="63"/>
  <c r="S24" i="63"/>
  <c r="T24" i="63"/>
  <c r="U24" i="63"/>
  <c r="V24" i="63"/>
  <c r="W24" i="63"/>
  <c r="Z24" i="63"/>
  <c r="AA24" i="63"/>
  <c r="AB24" i="63"/>
  <c r="AC24" i="63"/>
  <c r="AD24" i="63"/>
  <c r="AF24" i="63"/>
  <c r="AH24" i="63"/>
  <c r="AI24" i="63"/>
  <c r="AJ24" i="63"/>
  <c r="AK24" i="63"/>
  <c r="AP24" i="63"/>
  <c r="AQ24" i="63"/>
  <c r="AR24" i="63"/>
  <c r="AS24" i="63"/>
  <c r="AT24" i="63"/>
  <c r="G25" i="63"/>
  <c r="G24" i="63" s="1"/>
  <c r="J25" i="63"/>
  <c r="X25" i="63"/>
  <c r="X24" i="63" s="1"/>
  <c r="Y25" i="63"/>
  <c r="Y24" i="63" s="1"/>
  <c r="AF25" i="63"/>
  <c r="AG25" i="63"/>
  <c r="AG24" i="63" s="1"/>
  <c r="AM25" i="63"/>
  <c r="AM24" i="63" s="1"/>
  <c r="AO25" i="63"/>
  <c r="AO24" i="63" s="1"/>
  <c r="AP25" i="63"/>
  <c r="AW25" i="63"/>
  <c r="AW24" i="63" s="1"/>
  <c r="G26" i="63"/>
  <c r="X26" i="63"/>
  <c r="F26" i="63" s="1"/>
  <c r="Y26" i="63"/>
  <c r="AF26" i="63"/>
  <c r="AG26" i="63"/>
  <c r="AM26" i="63"/>
  <c r="AO26" i="63"/>
  <c r="AN26" i="63" s="1"/>
  <c r="AU26" i="63" s="1"/>
  <c r="AP26" i="63"/>
  <c r="AW26" i="63"/>
  <c r="H28" i="63"/>
  <c r="I28" i="63"/>
  <c r="J28" i="63"/>
  <c r="K28" i="63"/>
  <c r="L28" i="63"/>
  <c r="M28" i="63"/>
  <c r="N28" i="63"/>
  <c r="O28" i="63"/>
  <c r="P28" i="63"/>
  <c r="Q28" i="63"/>
  <c r="R28" i="63"/>
  <c r="S28" i="63"/>
  <c r="T28" i="63"/>
  <c r="U28" i="63"/>
  <c r="V28" i="63"/>
  <c r="W28" i="63"/>
  <c r="Z28" i="63"/>
  <c r="AA28" i="63"/>
  <c r="AB28" i="63"/>
  <c r="AC28" i="63"/>
  <c r="AD28" i="63"/>
  <c r="AF28" i="63"/>
  <c r="AH28" i="63"/>
  <c r="AI28" i="63"/>
  <c r="AJ28" i="63"/>
  <c r="AK28" i="63"/>
  <c r="AP28" i="63"/>
  <c r="AQ28" i="63"/>
  <c r="AR28" i="63"/>
  <c r="AS28" i="63"/>
  <c r="AT28" i="63"/>
  <c r="G29" i="63"/>
  <c r="J29" i="63"/>
  <c r="X29" i="63"/>
  <c r="X28" i="63" s="1"/>
  <c r="Y29" i="63"/>
  <c r="Y28" i="63" s="1"/>
  <c r="AF29" i="63"/>
  <c r="AG29" i="63"/>
  <c r="AG28" i="63" s="1"/>
  <c r="AM29" i="63"/>
  <c r="AM28" i="63" s="1"/>
  <c r="AO29" i="63"/>
  <c r="AO28" i="63" s="1"/>
  <c r="AP29" i="63"/>
  <c r="AW29" i="63"/>
  <c r="AW28" i="63" s="1"/>
  <c r="G30" i="63"/>
  <c r="E30" i="63" s="1"/>
  <c r="X30" i="63"/>
  <c r="F30" i="63" s="1"/>
  <c r="Y30" i="63"/>
  <c r="AF30" i="63"/>
  <c r="AG30" i="63"/>
  <c r="D30" i="63" s="1"/>
  <c r="AM30" i="63"/>
  <c r="AN30" i="63"/>
  <c r="AU30" i="63"/>
  <c r="AW30" i="63"/>
  <c r="I32" i="63"/>
  <c r="J32" i="63"/>
  <c r="K32" i="63"/>
  <c r="M32" i="63"/>
  <c r="O32" i="63"/>
  <c r="P32" i="63"/>
  <c r="Q32" i="63"/>
  <c r="R32" i="63"/>
  <c r="S32" i="63"/>
  <c r="T32" i="63"/>
  <c r="U32" i="63"/>
  <c r="V32" i="63"/>
  <c r="W32" i="63"/>
  <c r="X32" i="63"/>
  <c r="Z32" i="63"/>
  <c r="AA32" i="63"/>
  <c r="Y32" i="63" s="1"/>
  <c r="AB32" i="63"/>
  <c r="AC32" i="63"/>
  <c r="AD32" i="63"/>
  <c r="AF32" i="63"/>
  <c r="AH32" i="63"/>
  <c r="AI32" i="63"/>
  <c r="AG32" i="63" s="1"/>
  <c r="AJ32" i="63"/>
  <c r="AK32" i="63"/>
  <c r="AM32" i="63"/>
  <c r="AO32" i="63"/>
  <c r="AQ32" i="63"/>
  <c r="AR32" i="63"/>
  <c r="AS32" i="63"/>
  <c r="AT32" i="63"/>
  <c r="AW32" i="63"/>
  <c r="J33" i="63"/>
  <c r="G33" i="63" s="1"/>
  <c r="S33" i="63"/>
  <c r="X33" i="63"/>
  <c r="F33" i="63" s="1"/>
  <c r="Y33" i="63"/>
  <c r="AF33" i="63"/>
  <c r="AG33" i="63"/>
  <c r="AM33" i="63"/>
  <c r="AO33" i="63"/>
  <c r="AN33" i="63" s="1"/>
  <c r="AP33" i="63"/>
  <c r="AU33" i="63"/>
  <c r="AW33" i="63"/>
  <c r="H35" i="63"/>
  <c r="I35" i="63"/>
  <c r="J35" i="63"/>
  <c r="K35" i="63"/>
  <c r="L35" i="63"/>
  <c r="M35" i="63"/>
  <c r="N35" i="63"/>
  <c r="O35" i="63"/>
  <c r="P35" i="63"/>
  <c r="Q35" i="63"/>
  <c r="R35" i="63"/>
  <c r="S35" i="63"/>
  <c r="T35" i="63"/>
  <c r="U35" i="63"/>
  <c r="V35" i="63"/>
  <c r="W35" i="63"/>
  <c r="Z35" i="63"/>
  <c r="AA35" i="63"/>
  <c r="AB35" i="63"/>
  <c r="AC35" i="63"/>
  <c r="AD35" i="63"/>
  <c r="AF35" i="63"/>
  <c r="AH35" i="63"/>
  <c r="AI35" i="63"/>
  <c r="AJ35" i="63"/>
  <c r="AK35" i="63"/>
  <c r="AQ35" i="63"/>
  <c r="AR35" i="63"/>
  <c r="AS35" i="63"/>
  <c r="AT35" i="63"/>
  <c r="E36" i="63"/>
  <c r="G36" i="63"/>
  <c r="Y36" i="63"/>
  <c r="AF36" i="63"/>
  <c r="AG36" i="63"/>
  <c r="AM36" i="63"/>
  <c r="AN36" i="63"/>
  <c r="AU36" i="63"/>
  <c r="G37" i="63"/>
  <c r="J37" i="63"/>
  <c r="X37" i="63"/>
  <c r="Y37" i="63"/>
  <c r="AF37" i="63"/>
  <c r="AG37" i="63"/>
  <c r="AM37" i="63"/>
  <c r="AO37" i="63"/>
  <c r="AP37" i="63"/>
  <c r="AW37" i="63"/>
  <c r="G38" i="63"/>
  <c r="Y38" i="63"/>
  <c r="D38" i="63" s="1"/>
  <c r="AG38" i="63"/>
  <c r="AM38" i="63"/>
  <c r="AN38" i="63"/>
  <c r="AP38" i="63"/>
  <c r="G39" i="63"/>
  <c r="E39" i="63" s="1"/>
  <c r="Y39" i="63"/>
  <c r="AF39" i="63"/>
  <c r="AG39" i="63"/>
  <c r="AM39" i="63" s="1"/>
  <c r="AN39" i="63"/>
  <c r="AP39" i="63"/>
  <c r="G40" i="63"/>
  <c r="Y40" i="63"/>
  <c r="AF40" i="63"/>
  <c r="AG40" i="63"/>
  <c r="AM40" i="63"/>
  <c r="AP40" i="63"/>
  <c r="AN40" i="63" s="1"/>
  <c r="AU40" i="63" s="1"/>
  <c r="G41" i="63"/>
  <c r="Y41" i="63"/>
  <c r="AF41" i="63"/>
  <c r="AG41" i="63"/>
  <c r="AM41" i="63"/>
  <c r="AP41" i="63"/>
  <c r="AN41" i="63" s="1"/>
  <c r="AU41" i="63" s="1"/>
  <c r="G42" i="63"/>
  <c r="Y42" i="63"/>
  <c r="AF42" i="63"/>
  <c r="AG42" i="63"/>
  <c r="AM42" i="63"/>
  <c r="AP42" i="63"/>
  <c r="AN42" i="63" s="1"/>
  <c r="AU42" i="63" s="1"/>
  <c r="G43" i="63"/>
  <c r="Y43" i="63"/>
  <c r="AF43" i="63" s="1"/>
  <c r="F43" i="63" s="1"/>
  <c r="AG43" i="63"/>
  <c r="AM43" i="63" s="1"/>
  <c r="AN43" i="63"/>
  <c r="AW43" i="63" s="1"/>
  <c r="AP43" i="63"/>
  <c r="AU43" i="63"/>
  <c r="AG44" i="63"/>
  <c r="H45" i="63"/>
  <c r="L45" i="63"/>
  <c r="N45" i="63"/>
  <c r="I46" i="63"/>
  <c r="I45" i="63" s="1"/>
  <c r="J46" i="63"/>
  <c r="K46" i="63"/>
  <c r="K45" i="63" s="1"/>
  <c r="M46" i="63"/>
  <c r="M45" i="63" s="1"/>
  <c r="O46" i="63"/>
  <c r="O45" i="63" s="1"/>
  <c r="P46" i="63"/>
  <c r="P45" i="63" s="1"/>
  <c r="Q46" i="63"/>
  <c r="Q45" i="63" s="1"/>
  <c r="R46" i="63"/>
  <c r="R45" i="63" s="1"/>
  <c r="S46" i="63"/>
  <c r="S45" i="63" s="1"/>
  <c r="T46" i="63"/>
  <c r="T45" i="63" s="1"/>
  <c r="U46" i="63"/>
  <c r="U45" i="63" s="1"/>
  <c r="V46" i="63"/>
  <c r="V45" i="63" s="1"/>
  <c r="W46" i="63"/>
  <c r="W45" i="63" s="1"/>
  <c r="X46" i="63"/>
  <c r="X45" i="63" s="1"/>
  <c r="Z46" i="63"/>
  <c r="Z45" i="63" s="1"/>
  <c r="AA46" i="63"/>
  <c r="AA45" i="63" s="1"/>
  <c r="AB46" i="63"/>
  <c r="AB45" i="63" s="1"/>
  <c r="AC46" i="63"/>
  <c r="AC45" i="63" s="1"/>
  <c r="AD46" i="63"/>
  <c r="AD45" i="63" s="1"/>
  <c r="AF46" i="63"/>
  <c r="AF45" i="63" s="1"/>
  <c r="AH46" i="63"/>
  <c r="AH45" i="63" s="1"/>
  <c r="AI46" i="63"/>
  <c r="AI45" i="63" s="1"/>
  <c r="AJ46" i="63"/>
  <c r="AJ45" i="63" s="1"/>
  <c r="AK46" i="63"/>
  <c r="AK45" i="63" s="1"/>
  <c r="AM46" i="63"/>
  <c r="AM45" i="63" s="1"/>
  <c r="AO46" i="63"/>
  <c r="AO45" i="63" s="1"/>
  <c r="AQ46" i="63"/>
  <c r="AQ45" i="63" s="1"/>
  <c r="AR46" i="63"/>
  <c r="AR45" i="63" s="1"/>
  <c r="AS46" i="63"/>
  <c r="AS45" i="63" s="1"/>
  <c r="AT46" i="63"/>
  <c r="AT45" i="63" s="1"/>
  <c r="AW46" i="63"/>
  <c r="AW45" i="63" s="1"/>
  <c r="I47" i="63"/>
  <c r="G47" i="63" s="1"/>
  <c r="J47" i="63"/>
  <c r="K47" i="63"/>
  <c r="M47" i="63"/>
  <c r="O47" i="63"/>
  <c r="P47" i="63"/>
  <c r="Q47" i="63"/>
  <c r="R47" i="63"/>
  <c r="S47" i="63"/>
  <c r="T47" i="63"/>
  <c r="U47" i="63"/>
  <c r="V47" i="63"/>
  <c r="W47" i="63"/>
  <c r="X47" i="63"/>
  <c r="Z47" i="63"/>
  <c r="AA47" i="63"/>
  <c r="Y47" i="63" s="1"/>
  <c r="AB47" i="63"/>
  <c r="AC47" i="63"/>
  <c r="AD47" i="63"/>
  <c r="AF47" i="63"/>
  <c r="AH47" i="63"/>
  <c r="AI47" i="63"/>
  <c r="AG47" i="63" s="1"/>
  <c r="AJ47" i="63"/>
  <c r="AK47" i="63"/>
  <c r="AM47" i="63"/>
  <c r="F47" i="63" s="1"/>
  <c r="AO47" i="63"/>
  <c r="AQ47" i="63"/>
  <c r="AP47" i="63" s="1"/>
  <c r="AR47" i="63"/>
  <c r="AS47" i="63"/>
  <c r="AT47" i="63"/>
  <c r="AW47" i="63"/>
  <c r="I48" i="63"/>
  <c r="G48" i="63" s="1"/>
  <c r="J48" i="63"/>
  <c r="K48" i="63"/>
  <c r="M48" i="63"/>
  <c r="O48" i="63"/>
  <c r="P48" i="63"/>
  <c r="Q48" i="63"/>
  <c r="R48" i="63"/>
  <c r="S48" i="63"/>
  <c r="T48" i="63"/>
  <c r="U48" i="63"/>
  <c r="V48" i="63"/>
  <c r="W48" i="63"/>
  <c r="X48" i="63"/>
  <c r="Z48" i="63"/>
  <c r="AA48" i="63"/>
  <c r="Y48" i="63" s="1"/>
  <c r="AB48" i="63"/>
  <c r="AC48" i="63"/>
  <c r="AD48" i="63"/>
  <c r="AF48" i="63"/>
  <c r="AH48" i="63"/>
  <c r="AI48" i="63"/>
  <c r="AG48" i="63" s="1"/>
  <c r="AJ48" i="63"/>
  <c r="AK48" i="63"/>
  <c r="AM48" i="63"/>
  <c r="F48" i="63" s="1"/>
  <c r="AO48" i="63"/>
  <c r="AN48" i="63" s="1"/>
  <c r="AU48" i="63" s="1"/>
  <c r="AQ48" i="63"/>
  <c r="AP48" i="63" s="1"/>
  <c r="AR48" i="63"/>
  <c r="AS48" i="63"/>
  <c r="AT48" i="63"/>
  <c r="AW48" i="63"/>
  <c r="I49" i="63"/>
  <c r="G49" i="63" s="1"/>
  <c r="J49" i="63"/>
  <c r="K49" i="63"/>
  <c r="M49" i="63"/>
  <c r="O49" i="63"/>
  <c r="P49" i="63"/>
  <c r="Q49" i="63"/>
  <c r="R49" i="63"/>
  <c r="S49" i="63"/>
  <c r="T49" i="63"/>
  <c r="U49" i="63"/>
  <c r="V49" i="63"/>
  <c r="W49" i="63"/>
  <c r="X49" i="63"/>
  <c r="Z49" i="63"/>
  <c r="AA49" i="63"/>
  <c r="Y49" i="63" s="1"/>
  <c r="AB49" i="63"/>
  <c r="AC49" i="63"/>
  <c r="AD49" i="63"/>
  <c r="AF49" i="63"/>
  <c r="AH49" i="63"/>
  <c r="AI49" i="63"/>
  <c r="AG49" i="63" s="1"/>
  <c r="AJ49" i="63"/>
  <c r="AK49" i="63"/>
  <c r="AM49" i="63"/>
  <c r="F49" i="63" s="1"/>
  <c r="AO49" i="63"/>
  <c r="AQ49" i="63"/>
  <c r="AP49" i="63" s="1"/>
  <c r="AR49" i="63"/>
  <c r="AS49" i="63"/>
  <c r="AT49" i="63"/>
  <c r="AW49" i="63"/>
  <c r="I50" i="63"/>
  <c r="G50" i="63" s="1"/>
  <c r="J50" i="63"/>
  <c r="K50" i="63"/>
  <c r="M50" i="63"/>
  <c r="O50" i="63"/>
  <c r="P50" i="63"/>
  <c r="Q50" i="63"/>
  <c r="R50" i="63"/>
  <c r="S50" i="63"/>
  <c r="T50" i="63"/>
  <c r="U50" i="63"/>
  <c r="V50" i="63"/>
  <c r="W50" i="63"/>
  <c r="X50" i="63"/>
  <c r="Z50" i="63"/>
  <c r="AA50" i="63"/>
  <c r="Y50" i="63" s="1"/>
  <c r="AB50" i="63"/>
  <c r="AC50" i="63"/>
  <c r="AD50" i="63"/>
  <c r="AF50" i="63"/>
  <c r="AH50" i="63"/>
  <c r="AI50" i="63"/>
  <c r="AG50" i="63" s="1"/>
  <c r="AJ50" i="63"/>
  <c r="AK50" i="63"/>
  <c r="AM50" i="63"/>
  <c r="F50" i="63" s="1"/>
  <c r="AO50" i="63"/>
  <c r="AN50" i="63" s="1"/>
  <c r="AU50" i="63" s="1"/>
  <c r="AQ50" i="63"/>
  <c r="AP50" i="63" s="1"/>
  <c r="AR50" i="63"/>
  <c r="AS50" i="63"/>
  <c r="AT50" i="63"/>
  <c r="AW50" i="63"/>
  <c r="AG51" i="63"/>
  <c r="H52" i="63"/>
  <c r="L52" i="63"/>
  <c r="N52" i="63"/>
  <c r="I53" i="63"/>
  <c r="J53" i="63"/>
  <c r="J52" i="63" s="1"/>
  <c r="K53" i="63"/>
  <c r="M53" i="63"/>
  <c r="O53" i="63"/>
  <c r="P53" i="63"/>
  <c r="P52" i="63" s="1"/>
  <c r="Q53" i="63"/>
  <c r="R53" i="63"/>
  <c r="R52" i="63" s="1"/>
  <c r="S53" i="63"/>
  <c r="T53" i="63"/>
  <c r="T52" i="63" s="1"/>
  <c r="U53" i="63"/>
  <c r="V53" i="63"/>
  <c r="V52" i="63" s="1"/>
  <c r="W53" i="63"/>
  <c r="X53" i="63"/>
  <c r="X52" i="63" s="1"/>
  <c r="Z53" i="63"/>
  <c r="Z52" i="63" s="1"/>
  <c r="AA53" i="63"/>
  <c r="AB53" i="63"/>
  <c r="AB52" i="63" s="1"/>
  <c r="AC53" i="63"/>
  <c r="AD53" i="63"/>
  <c r="AD52" i="63" s="1"/>
  <c r="AF53" i="63"/>
  <c r="AF52" i="63" s="1"/>
  <c r="AH53" i="63"/>
  <c r="AH52" i="63" s="1"/>
  <c r="AI53" i="63"/>
  <c r="AJ53" i="63"/>
  <c r="AJ52" i="63" s="1"/>
  <c r="AK53" i="63"/>
  <c r="AM53" i="63"/>
  <c r="AM52" i="63" s="1"/>
  <c r="AO53" i="63"/>
  <c r="AQ53" i="63"/>
  <c r="AR53" i="63"/>
  <c r="AR52" i="63" s="1"/>
  <c r="AS53" i="63"/>
  <c r="AT53" i="63"/>
  <c r="AT52" i="63" s="1"/>
  <c r="AW53" i="63"/>
  <c r="I54" i="63"/>
  <c r="G54" i="63" s="1"/>
  <c r="J54" i="63"/>
  <c r="K54" i="63"/>
  <c r="M54" i="63"/>
  <c r="M52" i="63" s="1"/>
  <c r="O54" i="63"/>
  <c r="P54" i="63"/>
  <c r="Q54" i="63"/>
  <c r="R54" i="63"/>
  <c r="S54" i="63"/>
  <c r="T54" i="63"/>
  <c r="U54" i="63"/>
  <c r="V54" i="63"/>
  <c r="W54" i="63"/>
  <c r="X54" i="63"/>
  <c r="Z54" i="63"/>
  <c r="AA54" i="63"/>
  <c r="Y54" i="63" s="1"/>
  <c r="AB54" i="63"/>
  <c r="AC54" i="63"/>
  <c r="AD54" i="63"/>
  <c r="AF54" i="63"/>
  <c r="AH54" i="63"/>
  <c r="AI54" i="63"/>
  <c r="AG54" i="63" s="1"/>
  <c r="AJ54" i="63"/>
  <c r="AK54" i="63"/>
  <c r="AM54" i="63"/>
  <c r="F54" i="63" s="1"/>
  <c r="AO54" i="63"/>
  <c r="AN54" i="63" s="1"/>
  <c r="AU54" i="63" s="1"/>
  <c r="AQ54" i="63"/>
  <c r="AP54" i="63" s="1"/>
  <c r="AR54" i="63"/>
  <c r="AS54" i="63"/>
  <c r="AT54" i="63"/>
  <c r="AW54" i="63"/>
  <c r="I55" i="63"/>
  <c r="G55" i="63" s="1"/>
  <c r="J55" i="63"/>
  <c r="K55" i="63"/>
  <c r="M55" i="63"/>
  <c r="O55" i="63"/>
  <c r="P55" i="63"/>
  <c r="Q55" i="63"/>
  <c r="R55" i="63"/>
  <c r="S55" i="63"/>
  <c r="T55" i="63"/>
  <c r="U55" i="63"/>
  <c r="V55" i="63"/>
  <c r="W55" i="63"/>
  <c r="X55" i="63"/>
  <c r="Z55" i="63"/>
  <c r="AA55" i="63"/>
  <c r="Y55" i="63" s="1"/>
  <c r="AB55" i="63"/>
  <c r="AC55" i="63"/>
  <c r="AD55" i="63"/>
  <c r="AF55" i="63"/>
  <c r="AH55" i="63"/>
  <c r="AI55" i="63"/>
  <c r="AG55" i="63" s="1"/>
  <c r="AJ55" i="63"/>
  <c r="AK55" i="63"/>
  <c r="AM55" i="63"/>
  <c r="F55" i="63" s="1"/>
  <c r="AO55" i="63"/>
  <c r="AQ55" i="63"/>
  <c r="AR55" i="63"/>
  <c r="AS55" i="63"/>
  <c r="AT55" i="63"/>
  <c r="AW55" i="63"/>
  <c r="I56" i="63"/>
  <c r="J56" i="63"/>
  <c r="K56" i="63"/>
  <c r="M56" i="63"/>
  <c r="O56" i="63"/>
  <c r="P56" i="63"/>
  <c r="Q56" i="63"/>
  <c r="R56" i="63"/>
  <c r="S56" i="63"/>
  <c r="T56" i="63"/>
  <c r="U56" i="63"/>
  <c r="V56" i="63"/>
  <c r="W56" i="63"/>
  <c r="X56" i="63"/>
  <c r="Z56" i="63"/>
  <c r="AA56" i="63"/>
  <c r="Y56" i="63" s="1"/>
  <c r="AB56" i="63"/>
  <c r="AC56" i="63"/>
  <c r="AD56" i="63"/>
  <c r="AF56" i="63"/>
  <c r="AH56" i="63"/>
  <c r="AI56" i="63"/>
  <c r="AG56" i="63" s="1"/>
  <c r="AJ56" i="63"/>
  <c r="AK56" i="63"/>
  <c r="AM56" i="63"/>
  <c r="AO56" i="63"/>
  <c r="AQ56" i="63"/>
  <c r="AR56" i="63"/>
  <c r="AS56" i="63"/>
  <c r="AT56" i="63"/>
  <c r="AW56" i="63"/>
  <c r="E57" i="63"/>
  <c r="AG57" i="63"/>
  <c r="R58" i="63"/>
  <c r="S58" i="63"/>
  <c r="T58" i="63"/>
  <c r="U58" i="63"/>
  <c r="V58" i="63"/>
  <c r="W58" i="63"/>
  <c r="AF58" i="63"/>
  <c r="AG58" i="63"/>
  <c r="AM58" i="63" s="1"/>
  <c r="AO58" i="63"/>
  <c r="AP58" i="63"/>
  <c r="AQ58" i="63"/>
  <c r="AR58" i="63"/>
  <c r="AS58" i="63"/>
  <c r="AT58" i="63"/>
  <c r="G59" i="63"/>
  <c r="Y59" i="63"/>
  <c r="AF59" i="63" s="1"/>
  <c r="AG59" i="63"/>
  <c r="AM59" i="63" s="1"/>
  <c r="AF60" i="63"/>
  <c r="AM60" i="63"/>
  <c r="F60" i="63" s="1"/>
  <c r="X61" i="63"/>
  <c r="F61" i="63" s="1"/>
  <c r="AF61" i="63"/>
  <c r="AM61" i="63"/>
  <c r="AW61" i="63"/>
  <c r="X62" i="63"/>
  <c r="F62" i="63" s="1"/>
  <c r="AF62" i="63"/>
  <c r="AG62" i="63"/>
  <c r="AM62" i="63"/>
  <c r="AW62" i="63"/>
  <c r="AG64" i="63"/>
  <c r="H65" i="63"/>
  <c r="I65" i="63"/>
  <c r="J65" i="63"/>
  <c r="K65" i="63"/>
  <c r="L65" i="63"/>
  <c r="M65" i="63"/>
  <c r="N65" i="63"/>
  <c r="O65" i="63"/>
  <c r="P65" i="63"/>
  <c r="Q65" i="63"/>
  <c r="R65" i="63"/>
  <c r="S65" i="63"/>
  <c r="T65" i="63"/>
  <c r="U65" i="63"/>
  <c r="V65" i="63"/>
  <c r="W65" i="63"/>
  <c r="Z65" i="63"/>
  <c r="AA65" i="63"/>
  <c r="AB65" i="63"/>
  <c r="AC65" i="63"/>
  <c r="AD65" i="63"/>
  <c r="AH65" i="63"/>
  <c r="AI65" i="63"/>
  <c r="AJ65" i="63"/>
  <c r="AK65" i="63"/>
  <c r="AO65" i="63"/>
  <c r="AQ65" i="63"/>
  <c r="AR65" i="63"/>
  <c r="AS65" i="63"/>
  <c r="AT65" i="63"/>
  <c r="G66" i="63"/>
  <c r="G65" i="63" s="1"/>
  <c r="X66" i="63"/>
  <c r="F66" i="63" s="1"/>
  <c r="Y66" i="63"/>
  <c r="Y65" i="63" s="1"/>
  <c r="AF66" i="63"/>
  <c r="AF65" i="63" s="1"/>
  <c r="AG66" i="63"/>
  <c r="AG65" i="63" s="1"/>
  <c r="AM66" i="63"/>
  <c r="AM65" i="63" s="1"/>
  <c r="AN66" i="63"/>
  <c r="AP66" i="63"/>
  <c r="AU66" i="63"/>
  <c r="G67" i="63"/>
  <c r="D67" i="63" s="1"/>
  <c r="X67" i="63"/>
  <c r="F67" i="63" s="1"/>
  <c r="Y67" i="63"/>
  <c r="AF67" i="63"/>
  <c r="AG67" i="63"/>
  <c r="AP67" i="63"/>
  <c r="AN67" i="63" s="1"/>
  <c r="AU67" i="63" s="1"/>
  <c r="AW67" i="63"/>
  <c r="AW65" i="63" s="1"/>
  <c r="G68" i="63"/>
  <c r="X68" i="63"/>
  <c r="F68" i="63" s="1"/>
  <c r="Y68" i="63"/>
  <c r="AF68" i="63"/>
  <c r="AG68" i="63"/>
  <c r="AP68" i="63"/>
  <c r="AN68" i="63" s="1"/>
  <c r="AU68" i="63" s="1"/>
  <c r="G69" i="63"/>
  <c r="X69" i="63"/>
  <c r="X65" i="63" s="1"/>
  <c r="Y69" i="63"/>
  <c r="AF69" i="63"/>
  <c r="AG69" i="63"/>
  <c r="AM69" i="63"/>
  <c r="AP69" i="63"/>
  <c r="AN69" i="63" s="1"/>
  <c r="AU69" i="63" s="1"/>
  <c r="G70" i="63"/>
  <c r="E70" i="63" s="1"/>
  <c r="X70" i="63"/>
  <c r="F70" i="63" s="1"/>
  <c r="Y70" i="63"/>
  <c r="AF70" i="63"/>
  <c r="AG70" i="63"/>
  <c r="D70" i="63" s="1"/>
  <c r="AN70" i="63"/>
  <c r="AP70" i="63"/>
  <c r="AU70" i="63"/>
  <c r="AW70" i="63"/>
  <c r="AG72" i="63"/>
  <c r="H73" i="63"/>
  <c r="I73" i="63"/>
  <c r="G73" i="63" s="1"/>
  <c r="J73" i="63"/>
  <c r="K73" i="63"/>
  <c r="L73" i="63"/>
  <c r="M73" i="63"/>
  <c r="N73" i="63"/>
  <c r="O73" i="63"/>
  <c r="P73" i="63"/>
  <c r="Q73" i="63"/>
  <c r="R73" i="63"/>
  <c r="S73" i="63"/>
  <c r="T73" i="63"/>
  <c r="U73" i="63"/>
  <c r="V73" i="63"/>
  <c r="W73" i="63"/>
  <c r="AA73" i="63"/>
  <c r="AC73" i="63"/>
  <c r="AH73" i="63"/>
  <c r="AI73" i="63"/>
  <c r="AJ73" i="63"/>
  <c r="AK73" i="63"/>
  <c r="AO73" i="63"/>
  <c r="AQ73" i="63"/>
  <c r="AR73" i="63"/>
  <c r="AS73" i="63"/>
  <c r="AT73" i="63"/>
  <c r="G74" i="63"/>
  <c r="X74" i="63"/>
  <c r="X73" i="63" s="1"/>
  <c r="Z74" i="63"/>
  <c r="Z73" i="63" s="1"/>
  <c r="AA74" i="63"/>
  <c r="AB74" i="63"/>
  <c r="AB73" i="63" s="1"/>
  <c r="AC74" i="63"/>
  <c r="AD74" i="63"/>
  <c r="AD73" i="63" s="1"/>
  <c r="AG74" i="63"/>
  <c r="AM74" i="63"/>
  <c r="AN74" i="63"/>
  <c r="AP74" i="63"/>
  <c r="AP73" i="63" s="1"/>
  <c r="G75" i="63"/>
  <c r="D75" i="63" s="1"/>
  <c r="X75" i="63"/>
  <c r="F75" i="63" s="1"/>
  <c r="Y75" i="63"/>
  <c r="AF75" i="63"/>
  <c r="AG75" i="63"/>
  <c r="AM75" i="63"/>
  <c r="AN75" i="63"/>
  <c r="AP75" i="63"/>
  <c r="AU75" i="63"/>
  <c r="G76" i="63"/>
  <c r="X76" i="63"/>
  <c r="F76" i="63" s="1"/>
  <c r="Y76" i="63"/>
  <c r="AF76" i="63"/>
  <c r="AG76" i="63"/>
  <c r="AG73" i="63" s="1"/>
  <c r="AP76" i="63"/>
  <c r="AN76" i="63" s="1"/>
  <c r="AU76" i="63" s="1"/>
  <c r="AW76" i="63"/>
  <c r="G77" i="63"/>
  <c r="D77" i="63" s="1"/>
  <c r="X77" i="63"/>
  <c r="F77" i="63" s="1"/>
  <c r="Y77" i="63"/>
  <c r="AF77" i="63"/>
  <c r="AG77" i="63"/>
  <c r="AM77" i="63"/>
  <c r="AM73" i="63" s="1"/>
  <c r="AN77" i="63"/>
  <c r="AP77" i="63"/>
  <c r="AU77" i="63"/>
  <c r="AW77" i="63"/>
  <c r="G78" i="63"/>
  <c r="E78" i="63" s="1"/>
  <c r="X78" i="63"/>
  <c r="F78" i="63" s="1"/>
  <c r="Y78" i="63"/>
  <c r="AF78" i="63"/>
  <c r="AG78" i="63"/>
  <c r="D78" i="63" s="1"/>
  <c r="AN78" i="63"/>
  <c r="AP78" i="63"/>
  <c r="AU78" i="63"/>
  <c r="H80" i="63"/>
  <c r="I80" i="63"/>
  <c r="J80" i="63"/>
  <c r="K80" i="63"/>
  <c r="L80" i="63"/>
  <c r="M80" i="63"/>
  <c r="O80" i="63"/>
  <c r="P80" i="63"/>
  <c r="Q80" i="63"/>
  <c r="R80" i="63"/>
  <c r="S80" i="63"/>
  <c r="U80" i="63"/>
  <c r="W80" i="63"/>
  <c r="Z80" i="63"/>
  <c r="AA80" i="63"/>
  <c r="AB80" i="63"/>
  <c r="AC80" i="63"/>
  <c r="AD80" i="63"/>
  <c r="AH80" i="63"/>
  <c r="AI80" i="63"/>
  <c r="AJ80" i="63"/>
  <c r="AK80" i="63"/>
  <c r="AM80" i="63"/>
  <c r="AQ80" i="63"/>
  <c r="AR80" i="63"/>
  <c r="AS80" i="63"/>
  <c r="AT80" i="63"/>
  <c r="G81" i="63"/>
  <c r="X81" i="63"/>
  <c r="X80" i="63" s="1"/>
  <c r="Y81" i="63"/>
  <c r="AF81" i="63"/>
  <c r="AF80" i="63" s="1"/>
  <c r="AG81" i="63"/>
  <c r="AO81" i="63"/>
  <c r="AP81" i="63"/>
  <c r="AP80" i="63" s="1"/>
  <c r="AW81" i="63"/>
  <c r="G82" i="63"/>
  <c r="X82" i="63"/>
  <c r="F82" i="63" s="1"/>
  <c r="Y82" i="63"/>
  <c r="Y80" i="63" s="1"/>
  <c r="AF82" i="63"/>
  <c r="AG82" i="63"/>
  <c r="AP82" i="63"/>
  <c r="AN82" i="63" s="1"/>
  <c r="AU82" i="63" s="1"/>
  <c r="AW82" i="63"/>
  <c r="N83" i="63"/>
  <c r="N80" i="63" s="1"/>
  <c r="T83" i="63"/>
  <c r="T80" i="63" s="1"/>
  <c r="X83" i="63"/>
  <c r="F83" i="63" s="1"/>
  <c r="Y83" i="63"/>
  <c r="AF83" i="63"/>
  <c r="AG83" i="63"/>
  <c r="AM83" i="63"/>
  <c r="AN83" i="63"/>
  <c r="AP83" i="63"/>
  <c r="AW83" i="63"/>
  <c r="G84" i="63"/>
  <c r="X84" i="63"/>
  <c r="F84" i="63" s="1"/>
  <c r="Y84" i="63"/>
  <c r="AG84" i="63"/>
  <c r="AP84" i="63"/>
  <c r="AN84" i="63" s="1"/>
  <c r="F85" i="63"/>
  <c r="V85" i="63"/>
  <c r="V80" i="63" s="1"/>
  <c r="X85" i="63"/>
  <c r="Y85" i="63"/>
  <c r="AG85" i="63"/>
  <c r="AO85" i="63"/>
  <c r="AO80" i="63" s="1"/>
  <c r="AP85" i="63"/>
  <c r="AN85" i="63" s="1"/>
  <c r="AW85" i="63"/>
  <c r="G86" i="63"/>
  <c r="X86" i="63"/>
  <c r="F86" i="63" s="1"/>
  <c r="Y86" i="63"/>
  <c r="AG86" i="63"/>
  <c r="AU86" i="63" s="1"/>
  <c r="AN86" i="63"/>
  <c r="AP86" i="63"/>
  <c r="H88" i="63"/>
  <c r="I88" i="63"/>
  <c r="J88" i="63"/>
  <c r="K88" i="63"/>
  <c r="L88" i="63"/>
  <c r="M88" i="63"/>
  <c r="N88" i="63"/>
  <c r="O88" i="63"/>
  <c r="P88" i="63"/>
  <c r="Q88" i="63"/>
  <c r="R88" i="63"/>
  <c r="S88" i="63"/>
  <c r="T88" i="63"/>
  <c r="U88" i="63"/>
  <c r="Z88" i="63"/>
  <c r="AA88" i="63"/>
  <c r="AB88" i="63"/>
  <c r="AC88" i="63"/>
  <c r="AD88" i="63"/>
  <c r="AH88" i="63"/>
  <c r="AI88" i="63"/>
  <c r="AJ88" i="63"/>
  <c r="AK88" i="63"/>
  <c r="AQ88" i="63"/>
  <c r="AR88" i="63"/>
  <c r="AS88" i="63"/>
  <c r="AT88" i="63"/>
  <c r="G89" i="63"/>
  <c r="X89" i="63"/>
  <c r="Y89" i="63"/>
  <c r="Y88" i="63" s="1"/>
  <c r="AF89" i="63"/>
  <c r="AG89" i="63"/>
  <c r="AG88" i="63" s="1"/>
  <c r="AM89" i="63"/>
  <c r="AM88" i="63" s="1"/>
  <c r="AP89" i="63"/>
  <c r="V90" i="63"/>
  <c r="V88" i="63" s="1"/>
  <c r="X90" i="63"/>
  <c r="Y90" i="63"/>
  <c r="AF90" i="63"/>
  <c r="F90" i="63" s="1"/>
  <c r="AG90" i="63"/>
  <c r="AM90" i="63"/>
  <c r="AN90" i="63"/>
  <c r="AP90" i="63"/>
  <c r="AW90" i="63"/>
  <c r="AW88" i="63" s="1"/>
  <c r="G91" i="63"/>
  <c r="X91" i="63"/>
  <c r="F91" i="63" s="1"/>
  <c r="Y91" i="63"/>
  <c r="AF91" i="63"/>
  <c r="AG91" i="63"/>
  <c r="AM91" i="63"/>
  <c r="AP91" i="63"/>
  <c r="AN91" i="63" s="1"/>
  <c r="AU91" i="63" s="1"/>
  <c r="AW91" i="63"/>
  <c r="G92" i="63"/>
  <c r="D92" i="63" s="1"/>
  <c r="X92" i="63"/>
  <c r="F92" i="63" s="1"/>
  <c r="Y92" i="63"/>
  <c r="AF92" i="63"/>
  <c r="AG92" i="63"/>
  <c r="AM92" i="63"/>
  <c r="AN92" i="63"/>
  <c r="AP92" i="63"/>
  <c r="AU92" i="63"/>
  <c r="AW92" i="63"/>
  <c r="F93" i="63"/>
  <c r="G93" i="63"/>
  <c r="Y93" i="63"/>
  <c r="D93" i="63" s="1"/>
  <c r="AG93" i="63"/>
  <c r="AO93" i="63"/>
  <c r="AO88" i="63" s="1"/>
  <c r="AP93" i="63"/>
  <c r="AN93" i="63" s="1"/>
  <c r="AU93" i="63" s="1"/>
  <c r="G94" i="63"/>
  <c r="X94" i="63"/>
  <c r="F94" i="63" s="1"/>
  <c r="Y94" i="63"/>
  <c r="AF94" i="63"/>
  <c r="AG94" i="63"/>
  <c r="AM94" i="63"/>
  <c r="AO94" i="63"/>
  <c r="AN94" i="63" s="1"/>
  <c r="AU94" i="63" s="1"/>
  <c r="AP94" i="63"/>
  <c r="AW94" i="63"/>
  <c r="W95" i="63"/>
  <c r="W88" i="63" s="1"/>
  <c r="X95" i="63"/>
  <c r="Y95" i="63"/>
  <c r="AF95" i="63"/>
  <c r="F95" i="63" s="1"/>
  <c r="AG95" i="63"/>
  <c r="AM95" i="63"/>
  <c r="AN95" i="63"/>
  <c r="AP95" i="63"/>
  <c r="AW95" i="63"/>
  <c r="H97" i="63"/>
  <c r="I97" i="63"/>
  <c r="J97" i="63"/>
  <c r="K97" i="63"/>
  <c r="L97" i="63"/>
  <c r="M97" i="63"/>
  <c r="O97" i="63"/>
  <c r="P97" i="63"/>
  <c r="Q97" i="63"/>
  <c r="R97" i="63"/>
  <c r="S97" i="63"/>
  <c r="T97" i="63"/>
  <c r="U97" i="63"/>
  <c r="V97" i="63"/>
  <c r="W97" i="63"/>
  <c r="Z97" i="63"/>
  <c r="AA97" i="63"/>
  <c r="AB97" i="63"/>
  <c r="AC97" i="63"/>
  <c r="AD97" i="63"/>
  <c r="AH97" i="63"/>
  <c r="AI97" i="63"/>
  <c r="AJ97" i="63"/>
  <c r="AK97" i="63"/>
  <c r="AO97" i="63"/>
  <c r="AQ97" i="63"/>
  <c r="AR97" i="63"/>
  <c r="AS97" i="63"/>
  <c r="AT97" i="63"/>
  <c r="G98" i="63"/>
  <c r="N98" i="63"/>
  <c r="N97" i="63" s="1"/>
  <c r="X98" i="63"/>
  <c r="F98" i="63" s="1"/>
  <c r="Y98" i="63"/>
  <c r="Y97" i="63" s="1"/>
  <c r="AF98" i="63"/>
  <c r="AG98" i="63"/>
  <c r="AG97" i="63" s="1"/>
  <c r="AM98" i="63"/>
  <c r="AM97" i="63" s="1"/>
  <c r="AP98" i="63"/>
  <c r="AN98" i="63" s="1"/>
  <c r="AW98" i="63"/>
  <c r="AW97" i="63" s="1"/>
  <c r="G99" i="63"/>
  <c r="D99" i="63" s="1"/>
  <c r="N99" i="63"/>
  <c r="X99" i="63"/>
  <c r="F99" i="63" s="1"/>
  <c r="Y99" i="63"/>
  <c r="AF99" i="63"/>
  <c r="AF97" i="63" s="1"/>
  <c r="AG99" i="63"/>
  <c r="AM99" i="63"/>
  <c r="AP99" i="63"/>
  <c r="AN99" i="63" s="1"/>
  <c r="AU99" i="63" s="1"/>
  <c r="AW99" i="63"/>
  <c r="G100" i="63"/>
  <c r="D100" i="63" s="1"/>
  <c r="Y100" i="63"/>
  <c r="AF100" i="63"/>
  <c r="F100" i="63" s="1"/>
  <c r="AG100" i="63"/>
  <c r="AN100" i="63"/>
  <c r="AP100" i="63"/>
  <c r="AU100" i="63"/>
  <c r="G101" i="63"/>
  <c r="D101" i="63" s="1"/>
  <c r="Y101" i="63"/>
  <c r="AF101" i="63"/>
  <c r="F101" i="63" s="1"/>
  <c r="AG101" i="63"/>
  <c r="AN101" i="63"/>
  <c r="AP101" i="63"/>
  <c r="AU101" i="63"/>
  <c r="H103" i="63"/>
  <c r="I103" i="63"/>
  <c r="J103" i="63"/>
  <c r="K103" i="63"/>
  <c r="L103" i="63"/>
  <c r="M103" i="63"/>
  <c r="N103" i="63"/>
  <c r="O103" i="63"/>
  <c r="P103" i="63"/>
  <c r="Q103" i="63"/>
  <c r="R103" i="63"/>
  <c r="S103" i="63"/>
  <c r="T103" i="63"/>
  <c r="U103" i="63"/>
  <c r="V103" i="63"/>
  <c r="W103" i="63"/>
  <c r="AF103" i="63"/>
  <c r="AH103" i="63"/>
  <c r="AI103" i="63"/>
  <c r="AJ103" i="63"/>
  <c r="AK103" i="63"/>
  <c r="AO103" i="63"/>
  <c r="AQ103" i="63"/>
  <c r="AR103" i="63"/>
  <c r="AS103" i="63"/>
  <c r="AT103" i="63"/>
  <c r="AW103" i="63"/>
  <c r="G104" i="63"/>
  <c r="X104" i="63"/>
  <c r="X103" i="63" s="1"/>
  <c r="Y104" i="63"/>
  <c r="AF104" i="63"/>
  <c r="AG104" i="63"/>
  <c r="AG103" i="63" s="1"/>
  <c r="AM104" i="63"/>
  <c r="AM103" i="63" s="1"/>
  <c r="AP104" i="63"/>
  <c r="AP103" i="63" s="1"/>
  <c r="AW104" i="63"/>
  <c r="G105" i="63"/>
  <c r="D105" i="63" s="1"/>
  <c r="X105" i="63"/>
  <c r="F105" i="63" s="1"/>
  <c r="Y105" i="63"/>
  <c r="AF105" i="63"/>
  <c r="AG105" i="63"/>
  <c r="AM105" i="63"/>
  <c r="AN105" i="63"/>
  <c r="AP105" i="63"/>
  <c r="AU105" i="63"/>
  <c r="G106" i="63"/>
  <c r="D106" i="63" s="1"/>
  <c r="X106" i="63"/>
  <c r="F106" i="63" s="1"/>
  <c r="Y106" i="63"/>
  <c r="AF106" i="63"/>
  <c r="AG106" i="63"/>
  <c r="AM106" i="63"/>
  <c r="AN106" i="63"/>
  <c r="AP106" i="63"/>
  <c r="AU106" i="63"/>
  <c r="H108" i="63"/>
  <c r="I108" i="63"/>
  <c r="J108" i="63"/>
  <c r="K108" i="63"/>
  <c r="L108" i="63"/>
  <c r="M108" i="63"/>
  <c r="O108" i="63"/>
  <c r="P108" i="63"/>
  <c r="Q108" i="63"/>
  <c r="R108" i="63"/>
  <c r="S108" i="63"/>
  <c r="U108" i="63"/>
  <c r="V108" i="63"/>
  <c r="W108" i="63"/>
  <c r="Z108" i="63"/>
  <c r="AA108" i="63"/>
  <c r="AB108" i="63"/>
  <c r="AC108" i="63"/>
  <c r="AD108" i="63"/>
  <c r="AH108" i="63"/>
  <c r="AI108" i="63"/>
  <c r="AJ108" i="63"/>
  <c r="AK108" i="63"/>
  <c r="AO108" i="63"/>
  <c r="AQ108" i="63"/>
  <c r="AR108" i="63"/>
  <c r="AS108" i="63"/>
  <c r="AT108" i="63"/>
  <c r="T109" i="63"/>
  <c r="T108" i="63" s="1"/>
  <c r="X109" i="63"/>
  <c r="Y109" i="63"/>
  <c r="Y108" i="63" s="1"/>
  <c r="AF109" i="63"/>
  <c r="AF108" i="63" s="1"/>
  <c r="AG109" i="63"/>
  <c r="AP109" i="63"/>
  <c r="AP108" i="63" s="1"/>
  <c r="AW109" i="63"/>
  <c r="G110" i="63"/>
  <c r="D110" i="63" s="1"/>
  <c r="X110" i="63"/>
  <c r="F110" i="63" s="1"/>
  <c r="Y110" i="63"/>
  <c r="AF110" i="63"/>
  <c r="AG110" i="63"/>
  <c r="AG108" i="63" s="1"/>
  <c r="AM110" i="63"/>
  <c r="AM108" i="63" s="1"/>
  <c r="AN110" i="63"/>
  <c r="AP110" i="63"/>
  <c r="AU110" i="63"/>
  <c r="AW110" i="63"/>
  <c r="N111" i="63"/>
  <c r="N108" i="63" s="1"/>
  <c r="X111" i="63"/>
  <c r="F111" i="63" s="1"/>
  <c r="Y111" i="63"/>
  <c r="AG111" i="63"/>
  <c r="AP111" i="63"/>
  <c r="AN111" i="63" s="1"/>
  <c r="X114" i="63"/>
  <c r="F114" i="63" s="1"/>
  <c r="AF114" i="63"/>
  <c r="AM114" i="63"/>
  <c r="AW114" i="63"/>
  <c r="X115" i="63"/>
  <c r="AF115" i="63"/>
  <c r="AM115" i="63"/>
  <c r="F115" i="63" s="1"/>
  <c r="AW115" i="63"/>
  <c r="H116" i="63"/>
  <c r="I116" i="63"/>
  <c r="J116" i="63"/>
  <c r="K116" i="63"/>
  <c r="L116" i="63"/>
  <c r="N116" i="63"/>
  <c r="O116" i="63"/>
  <c r="P116" i="63"/>
  <c r="Q116" i="63"/>
  <c r="R116" i="63"/>
  <c r="S116" i="63"/>
  <c r="T116" i="63"/>
  <c r="U116" i="63"/>
  <c r="V116" i="63"/>
  <c r="Z116" i="63"/>
  <c r="AB116" i="63"/>
  <c r="AC116" i="63"/>
  <c r="AD116" i="63"/>
  <c r="AH116" i="63"/>
  <c r="AI116" i="63"/>
  <c r="AJ116" i="63"/>
  <c r="AK116" i="63"/>
  <c r="AO116" i="63"/>
  <c r="AQ116" i="63"/>
  <c r="AR116" i="63"/>
  <c r="AS116" i="63"/>
  <c r="AT116" i="63"/>
  <c r="G118" i="63"/>
  <c r="X118" i="63"/>
  <c r="F118" i="63" s="1"/>
  <c r="Y118" i="63"/>
  <c r="AF118" i="63"/>
  <c r="AF116" i="63" s="1"/>
  <c r="AG118" i="63"/>
  <c r="AG116" i="63" s="1"/>
  <c r="AP118" i="63"/>
  <c r="AP116" i="63" s="1"/>
  <c r="G119" i="63"/>
  <c r="Y119" i="63"/>
  <c r="D119" i="63" s="1"/>
  <c r="AF119" i="63"/>
  <c r="AG119" i="63"/>
  <c r="AP119" i="63"/>
  <c r="AN119" i="63" s="1"/>
  <c r="X120" i="63"/>
  <c r="X116" i="63" s="1"/>
  <c r="Y120" i="63"/>
  <c r="D120" i="63" s="1"/>
  <c r="AF120" i="63"/>
  <c r="AG120" i="63"/>
  <c r="E120" i="63" s="1"/>
  <c r="AN120" i="63"/>
  <c r="AP120" i="63"/>
  <c r="AU120" i="63"/>
  <c r="AW120" i="63"/>
  <c r="G121" i="63"/>
  <c r="E121" i="63" s="1"/>
  <c r="X121" i="63"/>
  <c r="F121" i="63" s="1"/>
  <c r="Y121" i="63"/>
  <c r="AF121" i="63"/>
  <c r="AG121" i="63"/>
  <c r="D121" i="63" s="1"/>
  <c r="AN121" i="63"/>
  <c r="AP121" i="63"/>
  <c r="AU121" i="63"/>
  <c r="G122" i="63"/>
  <c r="E122" i="63" s="1"/>
  <c r="X122" i="63"/>
  <c r="F122" i="63" s="1"/>
  <c r="Y122" i="63"/>
  <c r="AF122" i="63"/>
  <c r="AG122" i="63"/>
  <c r="AM122" i="63"/>
  <c r="AM116" i="63" s="1"/>
  <c r="AN122" i="63"/>
  <c r="AP122" i="63"/>
  <c r="AU122" i="63"/>
  <c r="AW122" i="63"/>
  <c r="AW116" i="63" s="1"/>
  <c r="G123" i="63"/>
  <c r="X123" i="63"/>
  <c r="F123" i="63" s="1"/>
  <c r="AA123" i="63"/>
  <c r="AA116" i="63" s="1"/>
  <c r="AF123" i="63"/>
  <c r="AG123" i="63"/>
  <c r="AP123" i="63"/>
  <c r="AN123" i="63" s="1"/>
  <c r="AW123" i="63"/>
  <c r="M124" i="63"/>
  <c r="M116" i="63" s="1"/>
  <c r="W124" i="63"/>
  <c r="G124" i="63" s="1"/>
  <c r="X124" i="63"/>
  <c r="F124" i="63" s="1"/>
  <c r="Y124" i="63"/>
  <c r="AA124" i="63"/>
  <c r="AF124" i="63"/>
  <c r="AG124" i="63"/>
  <c r="AM124" i="63"/>
  <c r="AP124" i="63"/>
  <c r="AN124" i="63" s="1"/>
  <c r="AW124" i="63"/>
  <c r="G125" i="63"/>
  <c r="E125" i="63" s="1"/>
  <c r="X125" i="63"/>
  <c r="F125" i="63" s="1"/>
  <c r="Y125" i="63"/>
  <c r="AF125" i="63"/>
  <c r="AG125" i="63"/>
  <c r="AM125" i="63"/>
  <c r="AN125" i="63"/>
  <c r="AP125" i="63"/>
  <c r="AU125" i="63"/>
  <c r="AW125" i="63"/>
  <c r="M127" i="63"/>
  <c r="R127" i="63"/>
  <c r="S127" i="63"/>
  <c r="T127" i="63"/>
  <c r="U127" i="63"/>
  <c r="V127" i="63"/>
  <c r="W127" i="63"/>
  <c r="Z127" i="63"/>
  <c r="AA127" i="63"/>
  <c r="AB127" i="63"/>
  <c r="AC127" i="63"/>
  <c r="AD127" i="63"/>
  <c r="AH127" i="63"/>
  <c r="AI127" i="63"/>
  <c r="AJ127" i="63"/>
  <c r="AK127" i="63"/>
  <c r="AO127" i="63"/>
  <c r="AQ127" i="63"/>
  <c r="AR127" i="63"/>
  <c r="AS127" i="63"/>
  <c r="AT127" i="63"/>
  <c r="G128" i="63"/>
  <c r="X128" i="63"/>
  <c r="X127" i="63" s="1"/>
  <c r="Y128" i="63"/>
  <c r="Y127" i="63" s="1"/>
  <c r="AF128" i="63"/>
  <c r="AG128" i="63"/>
  <c r="AG127" i="63" s="1"/>
  <c r="AP128" i="63"/>
  <c r="AP127" i="63" s="1"/>
  <c r="G129" i="63"/>
  <c r="E129" i="63" s="1"/>
  <c r="Y129" i="63"/>
  <c r="AG129" i="63"/>
  <c r="AM129" i="63"/>
  <c r="AM127" i="63" s="1"/>
  <c r="AN129" i="63"/>
  <c r="AP129" i="63"/>
  <c r="AU129" i="63"/>
  <c r="AW129" i="63"/>
  <c r="G131" i="63"/>
  <c r="M132" i="63"/>
  <c r="R132" i="63"/>
  <c r="S132" i="63"/>
  <c r="T132" i="63"/>
  <c r="U132" i="63"/>
  <c r="V132" i="63"/>
  <c r="W132" i="63"/>
  <c r="X132" i="63"/>
  <c r="Z132" i="63"/>
  <c r="AA132" i="63"/>
  <c r="AB132" i="63"/>
  <c r="AC132" i="63"/>
  <c r="AD132" i="63"/>
  <c r="AH132" i="63"/>
  <c r="AI132" i="63"/>
  <c r="AJ132" i="63"/>
  <c r="AK132" i="63"/>
  <c r="AM132" i="63"/>
  <c r="AO132" i="63"/>
  <c r="AQ132" i="63"/>
  <c r="AR132" i="63"/>
  <c r="AS132" i="63"/>
  <c r="AT132" i="63"/>
  <c r="G133" i="63"/>
  <c r="G132" i="63" s="1"/>
  <c r="X133" i="63"/>
  <c r="Y133" i="63"/>
  <c r="Y132" i="63" s="1"/>
  <c r="AF132" i="63" s="1"/>
  <c r="AF133" i="63"/>
  <c r="AG133" i="63"/>
  <c r="AG132" i="63" s="1"/>
  <c r="AP133" i="63"/>
  <c r="AP132" i="63" s="1"/>
  <c r="G134" i="63"/>
  <c r="E134" i="63" s="1"/>
  <c r="X134" i="63"/>
  <c r="Y134" i="63"/>
  <c r="AF134" i="63"/>
  <c r="AG134" i="63"/>
  <c r="AP134" i="63"/>
  <c r="AN134" i="63" s="1"/>
  <c r="G135" i="63"/>
  <c r="E135" i="63" s="1"/>
  <c r="X135" i="63"/>
  <c r="Y135" i="63"/>
  <c r="AF135" i="63"/>
  <c r="AG135" i="63"/>
  <c r="AP135" i="63"/>
  <c r="AN135" i="63" s="1"/>
  <c r="H140" i="63"/>
  <c r="I140" i="63"/>
  <c r="J140" i="63"/>
  <c r="K140" i="63"/>
  <c r="L140" i="63"/>
  <c r="M140" i="63"/>
  <c r="N140" i="63"/>
  <c r="O140" i="63"/>
  <c r="P140" i="63"/>
  <c r="Q140" i="63"/>
  <c r="R140" i="63"/>
  <c r="S140" i="63"/>
  <c r="T140" i="63"/>
  <c r="U140" i="63"/>
  <c r="V140" i="63"/>
  <c r="W140" i="63"/>
  <c r="Z140" i="63"/>
  <c r="AA140" i="63"/>
  <c r="AB140" i="63"/>
  <c r="AC140" i="63"/>
  <c r="AD140" i="63"/>
  <c r="AH140" i="63"/>
  <c r="AI140" i="63"/>
  <c r="AJ140" i="63"/>
  <c r="AK140" i="63"/>
  <c r="AO140" i="63"/>
  <c r="AQ140" i="63"/>
  <c r="AR140" i="63"/>
  <c r="AS140" i="63"/>
  <c r="AT140" i="63"/>
  <c r="G141" i="63"/>
  <c r="E141" i="63" s="1"/>
  <c r="X141" i="63"/>
  <c r="F141" i="63" s="1"/>
  <c r="Y141" i="63"/>
  <c r="Y140" i="63" s="1"/>
  <c r="AF141" i="63"/>
  <c r="AF140" i="63" s="1"/>
  <c r="AG141" i="63"/>
  <c r="AG140" i="63" s="1"/>
  <c r="AM141" i="63"/>
  <c r="AM140" i="63" s="1"/>
  <c r="AN141" i="63"/>
  <c r="AP141" i="63"/>
  <c r="AU141" i="63"/>
  <c r="AW141" i="63"/>
  <c r="AW140" i="63" s="1"/>
  <c r="G142" i="63"/>
  <c r="X142" i="63"/>
  <c r="X140" i="63" s="1"/>
  <c r="Y142" i="63"/>
  <c r="AF142" i="63"/>
  <c r="AG142" i="63"/>
  <c r="AM142" i="63"/>
  <c r="AP142" i="63"/>
  <c r="AP140" i="63" s="1"/>
  <c r="AW142" i="63"/>
  <c r="G143" i="63"/>
  <c r="E143" i="63" s="1"/>
  <c r="N143" i="63"/>
  <c r="X143" i="63"/>
  <c r="F143" i="63" s="1"/>
  <c r="Y143" i="63"/>
  <c r="AF143" i="63"/>
  <c r="AG143" i="63"/>
  <c r="AM143" i="63"/>
  <c r="AP143" i="63"/>
  <c r="AN143" i="63" s="1"/>
  <c r="AU143" i="63" s="1"/>
  <c r="AW143" i="63"/>
  <c r="G144" i="63"/>
  <c r="X144" i="63"/>
  <c r="F144" i="63" s="1"/>
  <c r="Y144" i="63"/>
  <c r="AF144" i="63"/>
  <c r="AG144" i="63"/>
  <c r="AP144" i="63"/>
  <c r="AN144" i="63" s="1"/>
  <c r="AU144" i="63" s="1"/>
  <c r="AW144" i="63"/>
  <c r="H146" i="63"/>
  <c r="I146" i="63"/>
  <c r="G146" i="63" s="1"/>
  <c r="J146" i="63"/>
  <c r="K146" i="63"/>
  <c r="L146" i="63"/>
  <c r="M146" i="63"/>
  <c r="N146" i="63"/>
  <c r="O146" i="63"/>
  <c r="P146" i="63"/>
  <c r="Q146" i="63"/>
  <c r="Y146" i="63"/>
  <c r="Z146" i="63"/>
  <c r="AA146" i="63"/>
  <c r="AB146" i="63"/>
  <c r="AC146" i="63"/>
  <c r="AD146" i="63"/>
  <c r="AH146" i="63"/>
  <c r="AI146" i="63"/>
  <c r="AJ146" i="63"/>
  <c r="AK146" i="63"/>
  <c r="AO146" i="63"/>
  <c r="AQ146" i="63"/>
  <c r="AR146" i="63"/>
  <c r="AS146" i="63"/>
  <c r="AT146" i="63"/>
  <c r="AW146" i="63"/>
  <c r="G147" i="63"/>
  <c r="X147" i="63"/>
  <c r="F147" i="63" s="1"/>
  <c r="Y147" i="63"/>
  <c r="AF147" i="63"/>
  <c r="AF146" i="63" s="1"/>
  <c r="AG147" i="63"/>
  <c r="AG146" i="63" s="1"/>
  <c r="AM147" i="63"/>
  <c r="AM146" i="63" s="1"/>
  <c r="AP147" i="63"/>
  <c r="AP146" i="63" s="1"/>
  <c r="AW147" i="63"/>
  <c r="H149" i="63"/>
  <c r="I149" i="63"/>
  <c r="J149" i="63"/>
  <c r="K149" i="63"/>
  <c r="L149" i="63"/>
  <c r="M149" i="63"/>
  <c r="N149" i="63"/>
  <c r="O149" i="63"/>
  <c r="P149" i="63"/>
  <c r="Q149" i="63"/>
  <c r="R149" i="63"/>
  <c r="S149" i="63"/>
  <c r="T149" i="63"/>
  <c r="U149" i="63"/>
  <c r="V149" i="63"/>
  <c r="W149" i="63"/>
  <c r="Z149" i="63"/>
  <c r="AA149" i="63"/>
  <c r="AB149" i="63"/>
  <c r="AC149" i="63"/>
  <c r="AD149" i="63"/>
  <c r="AH149" i="63"/>
  <c r="AI149" i="63"/>
  <c r="AO149" i="63"/>
  <c r="AQ149" i="63"/>
  <c r="AR149" i="63"/>
  <c r="AS149" i="63"/>
  <c r="AT149" i="63"/>
  <c r="G150" i="63"/>
  <c r="X150" i="63"/>
  <c r="X149" i="63" s="1"/>
  <c r="Y150" i="63"/>
  <c r="AF150" i="63"/>
  <c r="AJ150" i="63"/>
  <c r="AJ149" i="63" s="1"/>
  <c r="AK150" i="63"/>
  <c r="AK149" i="63" s="1"/>
  <c r="AP150" i="63"/>
  <c r="AW150" i="63"/>
  <c r="G151" i="63"/>
  <c r="X151" i="63"/>
  <c r="Y151" i="63"/>
  <c r="AG151" i="63"/>
  <c r="AP151" i="63"/>
  <c r="AN151" i="63" s="1"/>
  <c r="G152" i="63"/>
  <c r="X152" i="63"/>
  <c r="Y152" i="63"/>
  <c r="AF152" i="63" s="1"/>
  <c r="AG152" i="63"/>
  <c r="AP152" i="63"/>
  <c r="AN152" i="63" s="1"/>
  <c r="AU152" i="63" s="1"/>
  <c r="AW152" i="63"/>
  <c r="E153" i="63"/>
  <c r="G153" i="63"/>
  <c r="X153" i="63"/>
  <c r="Y153" i="63"/>
  <c r="AF153" i="63"/>
  <c r="AF149" i="63" s="1"/>
  <c r="AG153" i="63"/>
  <c r="AP153" i="63"/>
  <c r="AN153" i="63" s="1"/>
  <c r="AU153" i="63" s="1"/>
  <c r="AW153" i="63"/>
  <c r="G154" i="63"/>
  <c r="X154" i="63"/>
  <c r="Y154" i="63"/>
  <c r="AF154" i="63" s="1"/>
  <c r="AG154" i="63"/>
  <c r="AP154" i="63"/>
  <c r="AN154" i="63" s="1"/>
  <c r="G155" i="63"/>
  <c r="X155" i="63"/>
  <c r="Y155" i="63"/>
  <c r="AF155" i="63" s="1"/>
  <c r="AG155" i="63"/>
  <c r="AP155" i="63"/>
  <c r="AN155" i="63" s="1"/>
  <c r="AU155" i="63" s="1"/>
  <c r="AW155" i="63"/>
  <c r="E156" i="63"/>
  <c r="G156" i="63"/>
  <c r="X156" i="63"/>
  <c r="Y156" i="63"/>
  <c r="AF156" i="63"/>
  <c r="AG156" i="63"/>
  <c r="AP156" i="63"/>
  <c r="AN156" i="63" s="1"/>
  <c r="AU156" i="63" s="1"/>
  <c r="AW156" i="63"/>
  <c r="H158" i="63"/>
  <c r="I158" i="63"/>
  <c r="G158" i="63" s="1"/>
  <c r="J158" i="63"/>
  <c r="K158" i="63"/>
  <c r="L158" i="63"/>
  <c r="M158" i="63"/>
  <c r="N158" i="63"/>
  <c r="O158" i="63"/>
  <c r="P158" i="63"/>
  <c r="Q158" i="63"/>
  <c r="R158" i="63"/>
  <c r="S158" i="63"/>
  <c r="T158" i="63"/>
  <c r="U158" i="63"/>
  <c r="V158" i="63"/>
  <c r="W158" i="63"/>
  <c r="Z158" i="63"/>
  <c r="AA158" i="63"/>
  <c r="AB158" i="63"/>
  <c r="AC158" i="63"/>
  <c r="AD158" i="63"/>
  <c r="AH158" i="63"/>
  <c r="AI158" i="63"/>
  <c r="AJ158" i="63"/>
  <c r="AK158" i="63"/>
  <c r="AO158" i="63"/>
  <c r="AQ158" i="63"/>
  <c r="AR158" i="63"/>
  <c r="AS158" i="63"/>
  <c r="AT158" i="63"/>
  <c r="AW158" i="63"/>
  <c r="G159" i="63"/>
  <c r="X159" i="63"/>
  <c r="X158" i="63" s="1"/>
  <c r="Y159" i="63"/>
  <c r="AF159" i="63"/>
  <c r="AG159" i="63"/>
  <c r="AM159" i="63"/>
  <c r="AM158" i="63" s="1"/>
  <c r="AP159" i="63"/>
  <c r="AW159" i="63"/>
  <c r="E160" i="63"/>
  <c r="G160" i="63"/>
  <c r="X160" i="63"/>
  <c r="Y160" i="63"/>
  <c r="Y158" i="63" s="1"/>
  <c r="AF160" i="63"/>
  <c r="AG160" i="63"/>
  <c r="AP160" i="63"/>
  <c r="AN160" i="63" s="1"/>
  <c r="AU160" i="63" s="1"/>
  <c r="AW160" i="63"/>
  <c r="H162" i="63"/>
  <c r="I162" i="63"/>
  <c r="J162" i="63"/>
  <c r="K162" i="63"/>
  <c r="L162" i="63"/>
  <c r="M162" i="63"/>
  <c r="O162" i="63"/>
  <c r="P162" i="63"/>
  <c r="Q162" i="63"/>
  <c r="R162" i="63"/>
  <c r="S162" i="63"/>
  <c r="T162" i="63"/>
  <c r="U162" i="63"/>
  <c r="V162" i="63"/>
  <c r="W162" i="63"/>
  <c r="Z162" i="63"/>
  <c r="AA162" i="63"/>
  <c r="AB162" i="63"/>
  <c r="AC162" i="63"/>
  <c r="AD162" i="63"/>
  <c r="AH162" i="63"/>
  <c r="AI162" i="63"/>
  <c r="AJ162" i="63"/>
  <c r="AK162" i="63"/>
  <c r="AO162" i="63"/>
  <c r="AQ162" i="63"/>
  <c r="AR162" i="63"/>
  <c r="AS162" i="63"/>
  <c r="AT162" i="63"/>
  <c r="N163" i="63"/>
  <c r="N162" i="63" s="1"/>
  <c r="X163" i="63"/>
  <c r="X162" i="63" s="1"/>
  <c r="Y163" i="63"/>
  <c r="Y162" i="63" s="1"/>
  <c r="AF163" i="63"/>
  <c r="AF162" i="63" s="1"/>
  <c r="AG163" i="63"/>
  <c r="AM163" i="63"/>
  <c r="AN163" i="63"/>
  <c r="AP163" i="63"/>
  <c r="AP162" i="63" s="1"/>
  <c r="AW163" i="63"/>
  <c r="G164" i="63"/>
  <c r="X164" i="63"/>
  <c r="F164" i="63" s="1"/>
  <c r="Y164" i="63"/>
  <c r="AG164" i="63"/>
  <c r="AP164" i="63"/>
  <c r="AN164" i="63" s="1"/>
  <c r="N165" i="63"/>
  <c r="G165" i="63" s="1"/>
  <c r="X165" i="63"/>
  <c r="Y165" i="63"/>
  <c r="AF165" i="63"/>
  <c r="F165" i="63" s="1"/>
  <c r="AG165" i="63"/>
  <c r="AG162" i="63" s="1"/>
  <c r="AM165" i="63"/>
  <c r="AM162" i="63" s="1"/>
  <c r="AN165" i="63"/>
  <c r="AP165" i="63"/>
  <c r="AW165" i="63"/>
  <c r="G166" i="63"/>
  <c r="E166" i="63" s="1"/>
  <c r="X166" i="63"/>
  <c r="F166" i="63" s="1"/>
  <c r="Y166" i="63"/>
  <c r="AF166" i="63"/>
  <c r="AG166" i="63"/>
  <c r="D166" i="63" s="1"/>
  <c r="AN166" i="63"/>
  <c r="AP166" i="63"/>
  <c r="AU166" i="63"/>
  <c r="AW166" i="63"/>
  <c r="N167" i="63"/>
  <c r="G167" i="63" s="1"/>
  <c r="X167" i="63"/>
  <c r="Y167" i="63"/>
  <c r="AG167" i="63"/>
  <c r="AM167" i="63"/>
  <c r="F167" i="63" s="1"/>
  <c r="AP167" i="63"/>
  <c r="AN167" i="63" s="1"/>
  <c r="AU167" i="63" s="1"/>
  <c r="G168" i="63"/>
  <c r="X168" i="63"/>
  <c r="F168" i="63" s="1"/>
  <c r="Y168" i="63"/>
  <c r="AG168" i="63"/>
  <c r="AP168" i="63"/>
  <c r="AN168" i="63" s="1"/>
  <c r="G169" i="63"/>
  <c r="E169" i="63" s="1"/>
  <c r="X169" i="63"/>
  <c r="F169" i="63" s="1"/>
  <c r="Y169" i="63"/>
  <c r="AF169" i="63"/>
  <c r="AG169" i="63"/>
  <c r="D169" i="63" s="1"/>
  <c r="AN169" i="63"/>
  <c r="AP169" i="63"/>
  <c r="AU169" i="63"/>
  <c r="AW169" i="63"/>
  <c r="G170" i="63"/>
  <c r="E170" i="63" s="1"/>
  <c r="X170" i="63"/>
  <c r="F170" i="63" s="1"/>
  <c r="Y170" i="63"/>
  <c r="AF170" i="63"/>
  <c r="AG170" i="63"/>
  <c r="D170" i="63" s="1"/>
  <c r="AN170" i="63"/>
  <c r="AP170" i="63"/>
  <c r="AU170" i="63"/>
  <c r="AW170" i="63"/>
  <c r="H173" i="63"/>
  <c r="J173" i="63"/>
  <c r="L173" i="63"/>
  <c r="N173" i="63"/>
  <c r="P173" i="63"/>
  <c r="R173" i="63"/>
  <c r="T173" i="63"/>
  <c r="Z173" i="63"/>
  <c r="AB173" i="63"/>
  <c r="AD173" i="63"/>
  <c r="H175" i="63"/>
  <c r="I175" i="63"/>
  <c r="I173" i="63" s="1"/>
  <c r="J175" i="63"/>
  <c r="K175" i="63"/>
  <c r="K173" i="63" s="1"/>
  <c r="L175" i="63"/>
  <c r="M175" i="63"/>
  <c r="M173" i="63" s="1"/>
  <c r="N175" i="63"/>
  <c r="O175" i="63"/>
  <c r="O173" i="63" s="1"/>
  <c r="P175" i="63"/>
  <c r="Q175" i="63"/>
  <c r="Q173" i="63" s="1"/>
  <c r="R175" i="63"/>
  <c r="S175" i="63"/>
  <c r="S173" i="63" s="1"/>
  <c r="T175" i="63"/>
  <c r="U175" i="63"/>
  <c r="U173" i="63" s="1"/>
  <c r="V175" i="63"/>
  <c r="W175" i="63"/>
  <c r="W173" i="63" s="1"/>
  <c r="Z175" i="63"/>
  <c r="AA175" i="63"/>
  <c r="AA173" i="63" s="1"/>
  <c r="AB175" i="63"/>
  <c r="AC175" i="63"/>
  <c r="AC173" i="63" s="1"/>
  <c r="AD175" i="63"/>
  <c r="AH175" i="63"/>
  <c r="AI175" i="63"/>
  <c r="AI173" i="63" s="1"/>
  <c r="AO175" i="63"/>
  <c r="AO173" i="63" s="1"/>
  <c r="AT175" i="63"/>
  <c r="D176" i="63"/>
  <c r="G176" i="63"/>
  <c r="E176" i="63" s="1"/>
  <c r="X176" i="63"/>
  <c r="AF176" i="63"/>
  <c r="AG176" i="63"/>
  <c r="AL176" i="63"/>
  <c r="AM176" i="63"/>
  <c r="AW176" i="63"/>
  <c r="G177" i="63"/>
  <c r="D177" i="63" s="1"/>
  <c r="AF177" i="63"/>
  <c r="AG177" i="63"/>
  <c r="AL177" i="63"/>
  <c r="AM177" i="63"/>
  <c r="AW177" i="63"/>
  <c r="D178" i="63"/>
  <c r="G178" i="63"/>
  <c r="E178" i="63" s="1"/>
  <c r="X178" i="63"/>
  <c r="AF178" i="63"/>
  <c r="AG178" i="63"/>
  <c r="AL178" i="63"/>
  <c r="AM178" i="63"/>
  <c r="AW178" i="63"/>
  <c r="G179" i="63"/>
  <c r="D179" i="63" s="1"/>
  <c r="AF179" i="63"/>
  <c r="AG179" i="63"/>
  <c r="AL179" i="63"/>
  <c r="AM179" i="63"/>
  <c r="AW179" i="63"/>
  <c r="D180" i="63"/>
  <c r="G180" i="63"/>
  <c r="E180" i="63" s="1"/>
  <c r="X180" i="63"/>
  <c r="AF180" i="63"/>
  <c r="AG180" i="63"/>
  <c r="AL180" i="63"/>
  <c r="AM180" i="63"/>
  <c r="AW180" i="63"/>
  <c r="G181" i="63"/>
  <c r="D181" i="63" s="1"/>
  <c r="Y181" i="63"/>
  <c r="Y175" i="63" s="1"/>
  <c r="AF181" i="63"/>
  <c r="AG181" i="63"/>
  <c r="AG175" i="63" s="1"/>
  <c r="AM181" i="63"/>
  <c r="AN181" i="63"/>
  <c r="AN175" i="63" s="1"/>
  <c r="AN173" i="63" s="1"/>
  <c r="AP181" i="63"/>
  <c r="AP175" i="63" s="1"/>
  <c r="AP173" i="63" s="1"/>
  <c r="AU181" i="63"/>
  <c r="AU175" i="63" s="1"/>
  <c r="AU173" i="63" s="1"/>
  <c r="AW181" i="63"/>
  <c r="G182" i="63"/>
  <c r="X182" i="63"/>
  <c r="AF182" i="63"/>
  <c r="AL182" i="63"/>
  <c r="AW182" i="63"/>
  <c r="E183" i="63"/>
  <c r="X183" i="63"/>
  <c r="AF183" i="63"/>
  <c r="F183" i="63" s="1"/>
  <c r="AL183" i="63"/>
  <c r="AM183" i="63"/>
  <c r="AW183" i="63"/>
  <c r="V184" i="63"/>
  <c r="V173" i="63" s="1"/>
  <c r="AF184" i="63"/>
  <c r="AH184" i="63"/>
  <c r="AG184" i="63" s="1"/>
  <c r="AM184" i="63" s="1"/>
  <c r="AI184" i="63"/>
  <c r="AJ184" i="63"/>
  <c r="AK184" i="63"/>
  <c r="AL184" i="63"/>
  <c r="AN184" i="63"/>
  <c r="AO184" i="63"/>
  <c r="AP184" i="63"/>
  <c r="AQ184" i="63"/>
  <c r="AR184" i="63"/>
  <c r="AS184" i="63"/>
  <c r="AT184" i="63"/>
  <c r="AU184" i="63"/>
  <c r="AW184" i="63"/>
  <c r="G185" i="63"/>
  <c r="D185" i="63" s="1"/>
  <c r="D184" i="63" s="1"/>
  <c r="AF185" i="63"/>
  <c r="AG185" i="63"/>
  <c r="AL185" i="63"/>
  <c r="AM185" i="63"/>
  <c r="AW185" i="63"/>
  <c r="AL187" i="63"/>
  <c r="AL188" i="63"/>
  <c r="AL189" i="63"/>
  <c r="AL190" i="63"/>
  <c r="AL191" i="63"/>
  <c r="AL192" i="63"/>
  <c r="AL193" i="63"/>
  <c r="AL195" i="63"/>
  <c r="H196" i="63"/>
  <c r="H194" i="63" s="1"/>
  <c r="I196" i="63"/>
  <c r="I194" i="63" s="1"/>
  <c r="J196" i="63"/>
  <c r="J194" i="63" s="1"/>
  <c r="K196" i="63"/>
  <c r="K194" i="63" s="1"/>
  <c r="L196" i="63"/>
  <c r="L194" i="63" s="1"/>
  <c r="M196" i="63"/>
  <c r="M194" i="63" s="1"/>
  <c r="N196" i="63"/>
  <c r="N194" i="63" s="1"/>
  <c r="O196" i="63"/>
  <c r="O194" i="63" s="1"/>
  <c r="P196" i="63"/>
  <c r="P194" i="63" s="1"/>
  <c r="Q196" i="63"/>
  <c r="Q194" i="63" s="1"/>
  <c r="R196" i="63"/>
  <c r="R194" i="63" s="1"/>
  <c r="S196" i="63"/>
  <c r="S194" i="63" s="1"/>
  <c r="T196" i="63"/>
  <c r="T194" i="63" s="1"/>
  <c r="U196" i="63"/>
  <c r="U194" i="63" s="1"/>
  <c r="V196" i="63"/>
  <c r="V194" i="63" s="1"/>
  <c r="W196" i="63"/>
  <c r="W194" i="63" s="1"/>
  <c r="Z196" i="63"/>
  <c r="Z194" i="63" s="1"/>
  <c r="AA196" i="63"/>
  <c r="AA194" i="63" s="1"/>
  <c r="AB196" i="63"/>
  <c r="AB194" i="63" s="1"/>
  <c r="AC196" i="63"/>
  <c r="AC194" i="63" s="1"/>
  <c r="AD196" i="63"/>
  <c r="AD194" i="63" s="1"/>
  <c r="AJ196" i="63"/>
  <c r="AJ194" i="63" s="1"/>
  <c r="AK196" i="63"/>
  <c r="AK194" i="63" s="1"/>
  <c r="AO196" i="63"/>
  <c r="AO194" i="63" s="1"/>
  <c r="AQ196" i="63"/>
  <c r="AQ194" i="63" s="1"/>
  <c r="AR196" i="63"/>
  <c r="AR194" i="63" s="1"/>
  <c r="AS196" i="63"/>
  <c r="AS194" i="63" s="1"/>
  <c r="G197" i="63"/>
  <c r="X197" i="63" s="1"/>
  <c r="AF197" i="63"/>
  <c r="AH197" i="63"/>
  <c r="AH196" i="63" s="1"/>
  <c r="AH194" i="63" s="1"/>
  <c r="AI197" i="63"/>
  <c r="AI196" i="63" s="1"/>
  <c r="AI194" i="63" s="1"/>
  <c r="G198" i="63"/>
  <c r="X198" i="63"/>
  <c r="F198" i="63" s="1"/>
  <c r="Y198" i="63"/>
  <c r="AF198" i="63"/>
  <c r="AG198" i="63"/>
  <c r="AG197" i="63" s="1"/>
  <c r="AG196" i="63" s="1"/>
  <c r="AG194" i="63" s="1"/>
  <c r="AM198" i="63"/>
  <c r="AP198" i="63"/>
  <c r="AW198" i="63"/>
  <c r="G199" i="63"/>
  <c r="E199" i="63" s="1"/>
  <c r="Y199" i="63"/>
  <c r="AF199" i="63"/>
  <c r="AG199" i="63"/>
  <c r="AL199" i="63"/>
  <c r="AP199" i="63"/>
  <c r="AN199" i="63" s="1"/>
  <c r="AU199" i="63" s="1"/>
  <c r="G200" i="63"/>
  <c r="E200" i="63" s="1"/>
  <c r="X200" i="63"/>
  <c r="Y200" i="63"/>
  <c r="AF200" i="63"/>
  <c r="AG200" i="63"/>
  <c r="D200" i="63" s="1"/>
  <c r="AL200" i="63"/>
  <c r="AM200" i="63"/>
  <c r="AP200" i="63"/>
  <c r="AN200" i="63" s="1"/>
  <c r="G201" i="63"/>
  <c r="Y201" i="63"/>
  <c r="Y196" i="63" s="1"/>
  <c r="AF201" i="63"/>
  <c r="AG201" i="63"/>
  <c r="AM201" i="63"/>
  <c r="AT201" i="63"/>
  <c r="AT197" i="63" s="1"/>
  <c r="AT196" i="63" s="1"/>
  <c r="AT194" i="63" s="1"/>
  <c r="AW201" i="63"/>
  <c r="AW197" i="63" s="1"/>
  <c r="X202" i="63"/>
  <c r="F202" i="63" s="1"/>
  <c r="Y202" i="63"/>
  <c r="D202" i="63" s="1"/>
  <c r="AF202" i="63"/>
  <c r="AG202" i="63"/>
  <c r="E202" i="63" s="1"/>
  <c r="AL202" i="63"/>
  <c r="AM202" i="63"/>
  <c r="AP202" i="63"/>
  <c r="AN202" i="63" s="1"/>
  <c r="AU202" i="63" s="1"/>
  <c r="X203" i="63"/>
  <c r="AL203" i="63"/>
  <c r="X204" i="63"/>
  <c r="F204" i="63" s="1"/>
  <c r="AW204" i="63"/>
  <c r="F205" i="63"/>
  <c r="X205" i="63"/>
  <c r="AW205" i="63"/>
  <c r="AG208" i="63"/>
  <c r="H209" i="63"/>
  <c r="I209" i="63"/>
  <c r="J209" i="63"/>
  <c r="K209" i="63"/>
  <c r="L209" i="63"/>
  <c r="M209" i="63"/>
  <c r="O209" i="63"/>
  <c r="P209" i="63"/>
  <c r="Q209" i="63"/>
  <c r="R209" i="63"/>
  <c r="S209" i="63"/>
  <c r="T209" i="63"/>
  <c r="U209" i="63"/>
  <c r="V209" i="63"/>
  <c r="W209" i="63"/>
  <c r="Z209" i="63"/>
  <c r="AA209" i="63"/>
  <c r="AB209" i="63"/>
  <c r="AC209" i="63"/>
  <c r="AD209" i="63"/>
  <c r="AH209" i="63"/>
  <c r="AI209" i="63"/>
  <c r="AJ209" i="63"/>
  <c r="AK209" i="63"/>
  <c r="AO209" i="63"/>
  <c r="AQ209" i="63"/>
  <c r="AR209" i="63"/>
  <c r="AS209" i="63"/>
  <c r="AT209" i="63"/>
  <c r="G210" i="63"/>
  <c r="E210" i="63" s="1"/>
  <c r="X210" i="63"/>
  <c r="F210" i="63" s="1"/>
  <c r="Y210" i="63"/>
  <c r="AF210" i="63"/>
  <c r="AG210" i="63"/>
  <c r="AN210" i="63"/>
  <c r="AP210" i="63"/>
  <c r="AU210" i="63"/>
  <c r="G211" i="63"/>
  <c r="Y211" i="63"/>
  <c r="Y209" i="63" s="1"/>
  <c r="AG211" i="63"/>
  <c r="AP211" i="63"/>
  <c r="AN211" i="63" s="1"/>
  <c r="AU211" i="63" s="1"/>
  <c r="AW211" i="63"/>
  <c r="F211" i="63" s="1"/>
  <c r="G212" i="63"/>
  <c r="E212" i="63" s="1"/>
  <c r="X212" i="63"/>
  <c r="F212" i="63" s="1"/>
  <c r="Y212" i="63"/>
  <c r="AF212" i="63"/>
  <c r="AG212" i="63"/>
  <c r="AM212" i="63"/>
  <c r="AN212" i="63"/>
  <c r="AP212" i="63"/>
  <c r="AU212" i="63"/>
  <c r="AW212" i="63"/>
  <c r="AW209" i="63" s="1"/>
  <c r="N213" i="63"/>
  <c r="N209" i="63" s="1"/>
  <c r="X213" i="63"/>
  <c r="Y213" i="63"/>
  <c r="AF213" i="63"/>
  <c r="F213" i="63" s="1"/>
  <c r="AG213" i="63"/>
  <c r="AM213" i="63"/>
  <c r="AN213" i="63"/>
  <c r="AP213" i="63"/>
  <c r="AW213" i="63"/>
  <c r="N214" i="63"/>
  <c r="G214" i="63" s="1"/>
  <c r="X214" i="63"/>
  <c r="Y214" i="63"/>
  <c r="AF214" i="63"/>
  <c r="F214" i="63" s="1"/>
  <c r="AG214" i="63"/>
  <c r="AP214" i="63"/>
  <c r="AN214" i="63" s="1"/>
  <c r="AU214" i="63" s="1"/>
  <c r="AW214" i="63"/>
  <c r="F215" i="63"/>
  <c r="G215" i="63"/>
  <c r="Y215" i="63"/>
  <c r="AG215" i="63"/>
  <c r="AP215" i="63"/>
  <c r="AN215" i="63" s="1"/>
  <c r="AU215" i="63" s="1"/>
  <c r="AF216" i="63"/>
  <c r="F216" i="63" s="1"/>
  <c r="AW216" i="63"/>
  <c r="E217" i="63"/>
  <c r="G217" i="63"/>
  <c r="N217" i="63"/>
  <c r="X217" i="63"/>
  <c r="Y217" i="63"/>
  <c r="AF217" i="63"/>
  <c r="AG217" i="63"/>
  <c r="AM217" i="63"/>
  <c r="AP217" i="63"/>
  <c r="AN217" i="63" s="1"/>
  <c r="AU217" i="63" s="1"/>
  <c r="AW217" i="63"/>
  <c r="H219" i="63"/>
  <c r="I219" i="63"/>
  <c r="G219" i="63" s="1"/>
  <c r="J219" i="63"/>
  <c r="K219" i="63"/>
  <c r="L219" i="63"/>
  <c r="M219" i="63"/>
  <c r="N219" i="63"/>
  <c r="O219" i="63"/>
  <c r="P219" i="63"/>
  <c r="Q219" i="63"/>
  <c r="R219" i="63"/>
  <c r="S219" i="63"/>
  <c r="T219" i="63"/>
  <c r="U219" i="63"/>
  <c r="V219" i="63"/>
  <c r="W219" i="63"/>
  <c r="Z219" i="63"/>
  <c r="AA219" i="63"/>
  <c r="AB219" i="63"/>
  <c r="AC219" i="63"/>
  <c r="AD219" i="63"/>
  <c r="AH219" i="63"/>
  <c r="AJ219" i="63"/>
  <c r="AK219" i="63"/>
  <c r="AO219" i="63"/>
  <c r="AQ219" i="63"/>
  <c r="AR219" i="63"/>
  <c r="AS219" i="63"/>
  <c r="AT219" i="63"/>
  <c r="G220" i="63"/>
  <c r="Y220" i="63"/>
  <c r="AG220" i="63"/>
  <c r="AP220" i="63"/>
  <c r="AP219" i="63" s="1"/>
  <c r="AM221" i="63"/>
  <c r="G222" i="63"/>
  <c r="D223" i="63"/>
  <c r="AL223" i="63"/>
  <c r="AM223" i="63"/>
  <c r="F223" i="63" s="1"/>
  <c r="AW223" i="63"/>
  <c r="D224" i="63"/>
  <c r="G224" i="63"/>
  <c r="E224" i="63" s="1"/>
  <c r="AG224" i="63"/>
  <c r="AL224" i="63"/>
  <c r="AM224" i="63"/>
  <c r="AU224" i="63"/>
  <c r="AW224" i="63"/>
  <c r="F224" i="63" s="1"/>
  <c r="AG225" i="63"/>
  <c r="AG222" i="63" s="1"/>
  <c r="AL225" i="63"/>
  <c r="AM225" i="63"/>
  <c r="AP225" i="63"/>
  <c r="AP222" i="63" s="1"/>
  <c r="AG226" i="63"/>
  <c r="D226" i="63" s="1"/>
  <c r="AL226" i="63"/>
  <c r="AM226" i="63"/>
  <c r="AP226" i="63"/>
  <c r="AN226" i="63" s="1"/>
  <c r="AG227" i="63"/>
  <c r="D227" i="63" s="1"/>
  <c r="AL227" i="63"/>
  <c r="AM227" i="63"/>
  <c r="AP227" i="63"/>
  <c r="AN227" i="63" s="1"/>
  <c r="AG228" i="63"/>
  <c r="D228" i="63" s="1"/>
  <c r="AL228" i="63"/>
  <c r="AM228" i="63"/>
  <c r="F228" i="63" s="1"/>
  <c r="AN228" i="63"/>
  <c r="E228" i="63" s="1"/>
  <c r="AP228" i="63"/>
  <c r="AU228" i="63"/>
  <c r="AW228" i="63"/>
  <c r="AG229" i="63"/>
  <c r="AL229" i="63"/>
  <c r="AM229" i="63"/>
  <c r="AP229" i="63"/>
  <c r="AN229" i="63" s="1"/>
  <c r="AG230" i="63"/>
  <c r="D230" i="63" s="1"/>
  <c r="AL230" i="63"/>
  <c r="AM230" i="63"/>
  <c r="F230" i="63" s="1"/>
  <c r="AN230" i="63"/>
  <c r="E230" i="63" s="1"/>
  <c r="AP230" i="63"/>
  <c r="AU230" i="63"/>
  <c r="AW230" i="63"/>
  <c r="B231" i="63"/>
  <c r="G231" i="63"/>
  <c r="E231" i="63" s="1"/>
  <c r="AG231" i="63"/>
  <c r="AL231" i="63"/>
  <c r="AN231" i="63"/>
  <c r="AP231" i="63"/>
  <c r="AU231" i="63"/>
  <c r="AW231" i="63"/>
  <c r="F231" i="63" s="1"/>
  <c r="AG232" i="63"/>
  <c r="D232" i="63" s="1"/>
  <c r="AL232" i="63"/>
  <c r="AM232" i="63"/>
  <c r="AP232" i="63"/>
  <c r="AN232" i="63" s="1"/>
  <c r="AG233" i="63"/>
  <c r="D233" i="63" s="1"/>
  <c r="AL233" i="63"/>
  <c r="AM233" i="63"/>
  <c r="F233" i="63" s="1"/>
  <c r="AN233" i="63"/>
  <c r="E233" i="63" s="1"/>
  <c r="AP233" i="63"/>
  <c r="AU233" i="63"/>
  <c r="AW233" i="63"/>
  <c r="AG234" i="63"/>
  <c r="AL234" i="63"/>
  <c r="AM234" i="63"/>
  <c r="AP234" i="63"/>
  <c r="AN234" i="63" s="1"/>
  <c r="AG235" i="63"/>
  <c r="D235" i="63" s="1"/>
  <c r="AL235" i="63"/>
  <c r="AM235" i="63"/>
  <c r="F235" i="63" s="1"/>
  <c r="AN235" i="63"/>
  <c r="E235" i="63" s="1"/>
  <c r="AP235" i="63"/>
  <c r="AU235" i="63"/>
  <c r="AW235" i="63"/>
  <c r="A236" i="63"/>
  <c r="B236" i="63"/>
  <c r="AG236" i="63"/>
  <c r="AI236" i="63"/>
  <c r="AI222" i="63" s="1"/>
  <c r="AI219" i="63" s="1"/>
  <c r="AP236" i="63"/>
  <c r="AN236" i="63" s="1"/>
  <c r="A237" i="63"/>
  <c r="B237" i="63"/>
  <c r="AG237" i="63"/>
  <c r="D237" i="63" s="1"/>
  <c r="AM237" i="63"/>
  <c r="AM222" i="63" s="1"/>
  <c r="AN237" i="63"/>
  <c r="E237" i="63" s="1"/>
  <c r="AP237" i="63"/>
  <c r="A238" i="63"/>
  <c r="B238" i="63"/>
  <c r="G238" i="63"/>
  <c r="E238" i="63" s="1"/>
  <c r="AG238" i="63"/>
  <c r="AL238" i="63"/>
  <c r="AN238" i="63"/>
  <c r="AP238" i="63"/>
  <c r="AU238" i="63"/>
  <c r="AW238" i="63"/>
  <c r="F238" i="63" s="1"/>
  <c r="B239" i="63"/>
  <c r="F239" i="63"/>
  <c r="AL239" i="63"/>
  <c r="B240" i="63"/>
  <c r="F240" i="63"/>
  <c r="AL240" i="63"/>
  <c r="B241" i="63"/>
  <c r="AM241" i="63"/>
  <c r="F241" i="63" s="1"/>
  <c r="G243" i="63"/>
  <c r="E243" i="63" s="1"/>
  <c r="X243" i="63"/>
  <c r="F243" i="63" s="1"/>
  <c r="Y243" i="63"/>
  <c r="AF243" i="63"/>
  <c r="AG243" i="63"/>
  <c r="AM243" i="63"/>
  <c r="AN243" i="63"/>
  <c r="AP243" i="63"/>
  <c r="AU243" i="63"/>
  <c r="AW243" i="63"/>
  <c r="H245" i="63"/>
  <c r="G245" i="63" s="1"/>
  <c r="I245" i="63"/>
  <c r="J245" i="63"/>
  <c r="K245" i="63"/>
  <c r="L245" i="63"/>
  <c r="M245" i="63"/>
  <c r="N245" i="63"/>
  <c r="O245" i="63"/>
  <c r="P245" i="63"/>
  <c r="Q245" i="63"/>
  <c r="R245" i="63"/>
  <c r="S245" i="63"/>
  <c r="T245" i="63"/>
  <c r="U245" i="63"/>
  <c r="V245" i="63"/>
  <c r="W245" i="63"/>
  <c r="Z245" i="63"/>
  <c r="AA245" i="63"/>
  <c r="AB245" i="63"/>
  <c r="AC245" i="63"/>
  <c r="AD245" i="63"/>
  <c r="AH245" i="63"/>
  <c r="AI245" i="63"/>
  <c r="AJ245" i="63"/>
  <c r="AK245" i="63"/>
  <c r="AO245" i="63"/>
  <c r="AQ245" i="63"/>
  <c r="AR245" i="63"/>
  <c r="AS245" i="63"/>
  <c r="AT245" i="63"/>
  <c r="G246" i="63"/>
  <c r="E246" i="63" s="1"/>
  <c r="Y246" i="63"/>
  <c r="Y245" i="63" s="1"/>
  <c r="AF245" i="63" s="1"/>
  <c r="AF246" i="63"/>
  <c r="AG246" i="63"/>
  <c r="AG245" i="63" s="1"/>
  <c r="AM246" i="63"/>
  <c r="AM245" i="63" s="1"/>
  <c r="AN246" i="63"/>
  <c r="AP246" i="63"/>
  <c r="AU246" i="63"/>
  <c r="AW246" i="63"/>
  <c r="G247" i="63"/>
  <c r="X247" i="63"/>
  <c r="Y247" i="63"/>
  <c r="AF247" i="63"/>
  <c r="AG247" i="63"/>
  <c r="AL247" i="63"/>
  <c r="AM247" i="63"/>
  <c r="AP247" i="63"/>
  <c r="AP245" i="63" s="1"/>
  <c r="G248" i="63"/>
  <c r="E248" i="63" s="1"/>
  <c r="AF248" i="63"/>
  <c r="AG248" i="63"/>
  <c r="AL248" i="63"/>
  <c r="AM248" i="63"/>
  <c r="AW248" i="63"/>
  <c r="H251" i="63"/>
  <c r="I251" i="63"/>
  <c r="J251" i="63"/>
  <c r="K251" i="63"/>
  <c r="L251" i="63"/>
  <c r="M251" i="63"/>
  <c r="N251" i="63"/>
  <c r="O251" i="63"/>
  <c r="P251" i="63"/>
  <c r="Q251" i="63"/>
  <c r="R251" i="63"/>
  <c r="S251" i="63"/>
  <c r="T251" i="63"/>
  <c r="U251" i="63"/>
  <c r="W251" i="63"/>
  <c r="X251" i="63"/>
  <c r="Z251" i="63"/>
  <c r="AA251" i="63"/>
  <c r="AB251" i="63"/>
  <c r="AC251" i="63"/>
  <c r="AD251" i="63"/>
  <c r="AH251" i="63"/>
  <c r="AI251" i="63"/>
  <c r="AJ251" i="63"/>
  <c r="AK251" i="63"/>
  <c r="AQ251" i="63"/>
  <c r="AR251" i="63"/>
  <c r="AS251" i="63"/>
  <c r="AT251" i="63"/>
  <c r="G252" i="63"/>
  <c r="D252" i="63" s="1"/>
  <c r="X252" i="63"/>
  <c r="F252" i="63" s="1"/>
  <c r="AF252" i="63"/>
  <c r="AG252" i="63"/>
  <c r="AM252" i="63"/>
  <c r="AU252" i="63"/>
  <c r="AW252" i="63"/>
  <c r="N253" i="63"/>
  <c r="V253" i="63"/>
  <c r="V251" i="63" s="1"/>
  <c r="X253" i="63"/>
  <c r="F253" i="63" s="1"/>
  <c r="Y253" i="63"/>
  <c r="Y251" i="63" s="1"/>
  <c r="AF253" i="63"/>
  <c r="AF251" i="63" s="1"/>
  <c r="AG253" i="63"/>
  <c r="AG251" i="63" s="1"/>
  <c r="AM253" i="63"/>
  <c r="AM251" i="63" s="1"/>
  <c r="AO253" i="63"/>
  <c r="AO251" i="63" s="1"/>
  <c r="AP253" i="63"/>
  <c r="AP251" i="63" s="1"/>
  <c r="AW253" i="63"/>
  <c r="AW251" i="63" s="1"/>
  <c r="X254" i="63"/>
  <c r="F254" i="63" s="1"/>
  <c r="AF254" i="63"/>
  <c r="AM254" i="63"/>
  <c r="AW254" i="63"/>
  <c r="X255" i="63"/>
  <c r="F255" i="63" s="1"/>
  <c r="AF255" i="63"/>
  <c r="AM255" i="63"/>
  <c r="AW255" i="63"/>
  <c r="X258" i="63"/>
  <c r="AF258" i="63"/>
  <c r="AG258" i="63"/>
  <c r="AL258" i="63"/>
  <c r="AM258" i="63"/>
  <c r="F258" i="63" s="1"/>
  <c r="AW258" i="63"/>
  <c r="H259" i="63"/>
  <c r="H257" i="63" s="1"/>
  <c r="I259" i="63"/>
  <c r="I257" i="63" s="1"/>
  <c r="J259" i="63"/>
  <c r="J257" i="63" s="1"/>
  <c r="K259" i="63"/>
  <c r="K257" i="63" s="1"/>
  <c r="L259" i="63"/>
  <c r="L257" i="63" s="1"/>
  <c r="M259" i="63"/>
  <c r="M257" i="63" s="1"/>
  <c r="N259" i="63"/>
  <c r="N257" i="63" s="1"/>
  <c r="O259" i="63"/>
  <c r="O257" i="63" s="1"/>
  <c r="P259" i="63"/>
  <c r="P257" i="63" s="1"/>
  <c r="Q259" i="63"/>
  <c r="Q257" i="63" s="1"/>
  <c r="R259" i="63"/>
  <c r="R257" i="63" s="1"/>
  <c r="S259" i="63"/>
  <c r="S257" i="63" s="1"/>
  <c r="T259" i="63"/>
  <c r="T257" i="63" s="1"/>
  <c r="V259" i="63"/>
  <c r="V257" i="63" s="1"/>
  <c r="W259" i="63"/>
  <c r="W257" i="63" s="1"/>
  <c r="Y259" i="63"/>
  <c r="Z259" i="63"/>
  <c r="AA259" i="63"/>
  <c r="AA257" i="63" s="1"/>
  <c r="AB259" i="63"/>
  <c r="AB257" i="63" s="1"/>
  <c r="AC259" i="63"/>
  <c r="AC257" i="63" s="1"/>
  <c r="AD259" i="63"/>
  <c r="AD257" i="63" s="1"/>
  <c r="AH259" i="63"/>
  <c r="AH257" i="63" s="1"/>
  <c r="AI259" i="63"/>
  <c r="AI257" i="63" s="1"/>
  <c r="AJ259" i="63"/>
  <c r="AJ257" i="63" s="1"/>
  <c r="AK259" i="63"/>
  <c r="AK257" i="63" s="1"/>
  <c r="AO259" i="63"/>
  <c r="AO257" i="63" s="1"/>
  <c r="AQ259" i="63"/>
  <c r="AR259" i="63"/>
  <c r="AR257" i="63" s="1"/>
  <c r="AS259" i="63"/>
  <c r="AS257" i="63" s="1"/>
  <c r="AT259" i="63"/>
  <c r="AT257" i="63" s="1"/>
  <c r="G261" i="63"/>
  <c r="X261" i="63"/>
  <c r="Y261" i="63"/>
  <c r="AF261" i="63"/>
  <c r="AF259" i="63" s="1"/>
  <c r="AG261" i="63"/>
  <c r="AG259" i="63" s="1"/>
  <c r="AM261" i="63"/>
  <c r="AP261" i="63"/>
  <c r="AN261" i="63" s="1"/>
  <c r="G262" i="63"/>
  <c r="E262" i="63" s="1"/>
  <c r="Y262" i="63"/>
  <c r="AF262" i="63" s="1"/>
  <c r="AG262" i="63"/>
  <c r="AM262" i="63" s="1"/>
  <c r="AW262" i="63"/>
  <c r="H264" i="63"/>
  <c r="I264" i="63"/>
  <c r="G264" i="63" s="1"/>
  <c r="J264" i="63"/>
  <c r="K264" i="63"/>
  <c r="L264" i="63"/>
  <c r="M264" i="63"/>
  <c r="N264" i="63"/>
  <c r="O264" i="63"/>
  <c r="P264" i="63"/>
  <c r="Q264" i="63"/>
  <c r="R264" i="63"/>
  <c r="S264" i="63"/>
  <c r="T264" i="63"/>
  <c r="U264" i="63"/>
  <c r="U257" i="63" s="1"/>
  <c r="V264" i="63"/>
  <c r="W264" i="63"/>
  <c r="AA264" i="63"/>
  <c r="AB264" i="63"/>
  <c r="AC264" i="63"/>
  <c r="AD264" i="63"/>
  <c r="AH264" i="63"/>
  <c r="AI264" i="63"/>
  <c r="AJ264" i="63"/>
  <c r="AK264" i="63"/>
  <c r="AO264" i="63"/>
  <c r="AR264" i="63"/>
  <c r="AS264" i="63"/>
  <c r="AT264" i="63"/>
  <c r="AW264" i="63"/>
  <c r="G265" i="63"/>
  <c r="E265" i="63" s="1"/>
  <c r="Y265" i="63"/>
  <c r="AF265" i="63"/>
  <c r="F265" i="63" s="1"/>
  <c r="AG265" i="63"/>
  <c r="AM265" i="63"/>
  <c r="AN265" i="63"/>
  <c r="AP265" i="63"/>
  <c r="AU265" i="63"/>
  <c r="G266" i="63"/>
  <c r="X266" i="63"/>
  <c r="X264" i="63" s="1"/>
  <c r="Y266" i="63"/>
  <c r="AG266" i="63"/>
  <c r="AG264" i="63" s="1"/>
  <c r="AM266" i="63"/>
  <c r="AM264" i="63" s="1"/>
  <c r="AP266" i="63"/>
  <c r="AN266" i="63" s="1"/>
  <c r="AU266" i="63" s="1"/>
  <c r="G267" i="63"/>
  <c r="X267" i="63"/>
  <c r="F267" i="63" s="1"/>
  <c r="Z267" i="63"/>
  <c r="Z264" i="63" s="1"/>
  <c r="AG267" i="63"/>
  <c r="AQ267" i="63"/>
  <c r="AQ264" i="63" s="1"/>
  <c r="AW267" i="63"/>
  <c r="H269" i="63"/>
  <c r="I269" i="63"/>
  <c r="G269" i="63" s="1"/>
  <c r="J269" i="63"/>
  <c r="K269" i="63"/>
  <c r="L269" i="63"/>
  <c r="M269" i="63"/>
  <c r="N269" i="63"/>
  <c r="O269" i="63"/>
  <c r="P269" i="63"/>
  <c r="Q269" i="63"/>
  <c r="R269" i="63"/>
  <c r="S269" i="63"/>
  <c r="T269" i="63"/>
  <c r="U269" i="63"/>
  <c r="V269" i="63"/>
  <c r="W269" i="63"/>
  <c r="Y269" i="63"/>
  <c r="Z269" i="63"/>
  <c r="AA269" i="63"/>
  <c r="AB269" i="63"/>
  <c r="AC269" i="63"/>
  <c r="AD269" i="63"/>
  <c r="AJ269" i="63"/>
  <c r="AK269" i="63"/>
  <c r="AO269" i="63"/>
  <c r="AQ269" i="63"/>
  <c r="AR269" i="63"/>
  <c r="AS269" i="63"/>
  <c r="AT269" i="63"/>
  <c r="AW269" i="63"/>
  <c r="F270" i="63"/>
  <c r="X270" i="63"/>
  <c r="X269" i="63" s="1"/>
  <c r="G271" i="63"/>
  <c r="X271" i="63"/>
  <c r="F271" i="63" s="1"/>
  <c r="Y271" i="63"/>
  <c r="AF271" i="63"/>
  <c r="AF269" i="63" s="1"/>
  <c r="AG271" i="63"/>
  <c r="AG269" i="63" s="1"/>
  <c r="AM271" i="63"/>
  <c r="AM269" i="63" s="1"/>
  <c r="AP271" i="63"/>
  <c r="AP269" i="63" s="1"/>
  <c r="AW271" i="63"/>
  <c r="G272" i="63"/>
  <c r="E272" i="63" s="1"/>
  <c r="AF272" i="63"/>
  <c r="AG272" i="63"/>
  <c r="AL272" i="63"/>
  <c r="AM272" i="63"/>
  <c r="AW272" i="63"/>
  <c r="G273" i="63"/>
  <c r="X273" i="63"/>
  <c r="AF273" i="63"/>
  <c r="AH273" i="63"/>
  <c r="AG273" i="63" s="1"/>
  <c r="AW273" i="63"/>
  <c r="H275" i="63"/>
  <c r="I275" i="63"/>
  <c r="G275" i="63" s="1"/>
  <c r="J275" i="63"/>
  <c r="K275" i="63"/>
  <c r="L275" i="63"/>
  <c r="M275" i="63"/>
  <c r="N275" i="63"/>
  <c r="O275" i="63"/>
  <c r="P275" i="63"/>
  <c r="Q275" i="63"/>
  <c r="R275" i="63"/>
  <c r="S275" i="63"/>
  <c r="T275" i="63"/>
  <c r="U275" i="63"/>
  <c r="V275" i="63"/>
  <c r="W275" i="63"/>
  <c r="Y275" i="63"/>
  <c r="AF275" i="63" s="1"/>
  <c r="Z275" i="63"/>
  <c r="AA275" i="63"/>
  <c r="AB275" i="63"/>
  <c r="AC275" i="63"/>
  <c r="AD275" i="63"/>
  <c r="AH275" i="63"/>
  <c r="AI275" i="63"/>
  <c r="AI273" i="63" s="1"/>
  <c r="AJ275" i="63"/>
  <c r="AK275" i="63"/>
  <c r="AO275" i="63"/>
  <c r="AQ275" i="63"/>
  <c r="AR275" i="63"/>
  <c r="AS275" i="63"/>
  <c r="AT275" i="63"/>
  <c r="G276" i="63"/>
  <c r="E276" i="63" s="1"/>
  <c r="X276" i="63"/>
  <c r="F276" i="63" s="1"/>
  <c r="Y276" i="63"/>
  <c r="AF276" i="63"/>
  <c r="AG276" i="63"/>
  <c r="AG275" i="63" s="1"/>
  <c r="AN276" i="63"/>
  <c r="AP276" i="63"/>
  <c r="AP275" i="63" s="1"/>
  <c r="AU276" i="63"/>
  <c r="AW276" i="63"/>
  <c r="AW275" i="63" s="1"/>
  <c r="G277" i="63"/>
  <c r="X277" i="63"/>
  <c r="F277" i="63" s="1"/>
  <c r="Y277" i="63"/>
  <c r="AF277" i="63"/>
  <c r="AG277" i="63"/>
  <c r="AM277" i="63"/>
  <c r="AM275" i="63" s="1"/>
  <c r="AP277" i="63"/>
  <c r="AN277" i="63" s="1"/>
  <c r="AU277" i="63" s="1"/>
  <c r="AW277" i="63"/>
  <c r="H279" i="63"/>
  <c r="I279" i="63"/>
  <c r="G279" i="63" s="1"/>
  <c r="J279" i="63"/>
  <c r="K279" i="63"/>
  <c r="L279" i="63"/>
  <c r="M279" i="63"/>
  <c r="N279" i="63"/>
  <c r="O279" i="63"/>
  <c r="P279" i="63"/>
  <c r="Q279" i="63"/>
  <c r="R279" i="63"/>
  <c r="S279" i="63"/>
  <c r="T279" i="63"/>
  <c r="U279" i="63"/>
  <c r="V279" i="63"/>
  <c r="W279" i="63"/>
  <c r="Y279" i="63"/>
  <c r="AF279" i="63" s="1"/>
  <c r="Z279" i="63"/>
  <c r="AA279" i="63"/>
  <c r="AB279" i="63"/>
  <c r="AC279" i="63"/>
  <c r="AD279" i="63"/>
  <c r="AH279" i="63"/>
  <c r="AI279" i="63"/>
  <c r="AJ279" i="63"/>
  <c r="AK279" i="63"/>
  <c r="AO279" i="63"/>
  <c r="AQ279" i="63"/>
  <c r="AR279" i="63"/>
  <c r="AS279" i="63"/>
  <c r="AT279" i="63"/>
  <c r="G280" i="63"/>
  <c r="X280" i="63"/>
  <c r="Y280" i="63"/>
  <c r="AF280" i="63"/>
  <c r="AG280" i="63"/>
  <c r="AG279" i="63" s="1"/>
  <c r="AM279" i="63" s="1"/>
  <c r="AM280" i="63"/>
  <c r="AP280" i="63"/>
  <c r="AP279" i="63" s="1"/>
  <c r="M284" i="63"/>
  <c r="M282" i="63" s="1"/>
  <c r="R284" i="63"/>
  <c r="R282" i="63" s="1"/>
  <c r="S284" i="63"/>
  <c r="S282" i="63" s="1"/>
  <c r="T284" i="63"/>
  <c r="T282" i="63" s="1"/>
  <c r="U284" i="63"/>
  <c r="U282" i="63" s="1"/>
  <c r="V284" i="63"/>
  <c r="V282" i="63" s="1"/>
  <c r="W284" i="63"/>
  <c r="W282" i="63" s="1"/>
  <c r="Z284" i="63"/>
  <c r="Z282" i="63" s="1"/>
  <c r="AA284" i="63"/>
  <c r="AA282" i="63" s="1"/>
  <c r="AB284" i="63"/>
  <c r="AB282" i="63" s="1"/>
  <c r="AC284" i="63"/>
  <c r="AC282" i="63" s="1"/>
  <c r="AD284" i="63"/>
  <c r="AD282" i="63" s="1"/>
  <c r="AG284" i="63"/>
  <c r="AH284" i="63"/>
  <c r="AH282" i="63" s="1"/>
  <c r="AI284" i="63"/>
  <c r="AI282" i="63" s="1"/>
  <c r="AJ284" i="63"/>
  <c r="AJ282" i="63" s="1"/>
  <c r="AK284" i="63"/>
  <c r="AK282" i="63" s="1"/>
  <c r="AM284" i="63"/>
  <c r="AO284" i="63"/>
  <c r="AO282" i="63" s="1"/>
  <c r="AQ284" i="63"/>
  <c r="AQ282" i="63" s="1"/>
  <c r="AR284" i="63"/>
  <c r="AR282" i="63" s="1"/>
  <c r="AS284" i="63"/>
  <c r="AS282" i="63" s="1"/>
  <c r="AT284" i="63"/>
  <c r="AT282" i="63" s="1"/>
  <c r="D285" i="63"/>
  <c r="G285" i="63"/>
  <c r="G284" i="63" s="1"/>
  <c r="X285" i="63"/>
  <c r="F285" i="63" s="1"/>
  <c r="AF285" i="63"/>
  <c r="AG285" i="63"/>
  <c r="AL285" i="63"/>
  <c r="AM285" i="63"/>
  <c r="AW285" i="63"/>
  <c r="G286" i="63"/>
  <c r="E286" i="63" s="1"/>
  <c r="Y286" i="63"/>
  <c r="Y284" i="63" s="1"/>
  <c r="AF286" i="63"/>
  <c r="AG286" i="63"/>
  <c r="AM286" i="63"/>
  <c r="AN286" i="63"/>
  <c r="AN284" i="63" s="1"/>
  <c r="AP286" i="63"/>
  <c r="AP284" i="63" s="1"/>
  <c r="AU286" i="63"/>
  <c r="AU284" i="63" s="1"/>
  <c r="AW286" i="63"/>
  <c r="AW284" i="63" s="1"/>
  <c r="H291" i="63"/>
  <c r="H282" i="63" s="1"/>
  <c r="I291" i="63"/>
  <c r="I282" i="63" s="1"/>
  <c r="J291" i="63"/>
  <c r="J282" i="63" s="1"/>
  <c r="K291" i="63"/>
  <c r="K282" i="63" s="1"/>
  <c r="L291" i="63"/>
  <c r="L282" i="63" s="1"/>
  <c r="M291" i="63"/>
  <c r="N291" i="63"/>
  <c r="N282" i="63" s="1"/>
  <c r="O291" i="63"/>
  <c r="O282" i="63" s="1"/>
  <c r="P291" i="63"/>
  <c r="P282" i="63" s="1"/>
  <c r="Q291" i="63"/>
  <c r="Q282" i="63" s="1"/>
  <c r="R291" i="63"/>
  <c r="S291" i="63"/>
  <c r="T291" i="63"/>
  <c r="U291" i="63"/>
  <c r="V291" i="63"/>
  <c r="W291" i="63"/>
  <c r="Z291" i="63"/>
  <c r="AA291" i="63"/>
  <c r="AB291" i="63"/>
  <c r="AC291" i="63"/>
  <c r="AD291" i="63"/>
  <c r="AH291" i="63"/>
  <c r="AI291" i="63"/>
  <c r="AJ291" i="63"/>
  <c r="AK291" i="63"/>
  <c r="AO291" i="63"/>
  <c r="AQ291" i="63"/>
  <c r="AR291" i="63"/>
  <c r="AS291" i="63"/>
  <c r="AT291" i="63"/>
  <c r="G292" i="63"/>
  <c r="Y292" i="63"/>
  <c r="Y291" i="63" s="1"/>
  <c r="AF291" i="63" s="1"/>
  <c r="AF292" i="63"/>
  <c r="AG292" i="63"/>
  <c r="AG291" i="63" s="1"/>
  <c r="AP292" i="63"/>
  <c r="AP291" i="63" s="1"/>
  <c r="AT292" i="63"/>
  <c r="AW292" i="63"/>
  <c r="AW291" i="63" s="1"/>
  <c r="X293" i="63"/>
  <c r="Y293" i="63"/>
  <c r="D293" i="63" s="1"/>
  <c r="AF293" i="63"/>
  <c r="F293" i="63" s="1"/>
  <c r="AG293" i="63"/>
  <c r="AM293" i="63"/>
  <c r="AN293" i="63"/>
  <c r="AP293" i="63"/>
  <c r="AU293" i="63"/>
  <c r="AW293" i="63"/>
  <c r="X294" i="63"/>
  <c r="Y294" i="63"/>
  <c r="AF294" i="63"/>
  <c r="F294" i="63" s="1"/>
  <c r="AG294" i="63"/>
  <c r="AL294" i="63"/>
  <c r="AP294" i="63"/>
  <c r="AN294" i="63" s="1"/>
  <c r="X295" i="63"/>
  <c r="F295" i="63" s="1"/>
  <c r="Y295" i="63"/>
  <c r="D295" i="63" s="1"/>
  <c r="AF295" i="63"/>
  <c r="AG295" i="63"/>
  <c r="E295" i="63" s="1"/>
  <c r="AL295" i="63"/>
  <c r="AN295" i="63"/>
  <c r="AW295" i="63" s="1"/>
  <c r="AP295" i="63"/>
  <c r="X296" i="63"/>
  <c r="Y296" i="63"/>
  <c r="D296" i="63" s="1"/>
  <c r="AF296" i="63"/>
  <c r="AG296" i="63"/>
  <c r="E296" i="63" s="1"/>
  <c r="AL296" i="63"/>
  <c r="AN296" i="63"/>
  <c r="AW296" i="63" s="1"/>
  <c r="AP296" i="63"/>
  <c r="A297" i="63"/>
  <c r="B297" i="63"/>
  <c r="X297" i="63"/>
  <c r="F297" i="63" s="1"/>
  <c r="Y297" i="63"/>
  <c r="D297" i="63" s="1"/>
  <c r="AF297" i="63"/>
  <c r="AG297" i="63"/>
  <c r="E297" i="63" s="1"/>
  <c r="AL297" i="63"/>
  <c r="AN297" i="63"/>
  <c r="AP297" i="63"/>
  <c r="A298" i="63"/>
  <c r="B298" i="63"/>
  <c r="F298" i="63"/>
  <c r="AL298" i="63"/>
  <c r="AM299" i="63"/>
  <c r="AM291" i="63" s="1"/>
  <c r="A300" i="63"/>
  <c r="B300" i="63"/>
  <c r="AM300" i="63"/>
  <c r="F300" i="63" s="1"/>
  <c r="X301" i="63"/>
  <c r="AF301" i="63"/>
  <c r="X303" i="63"/>
  <c r="AF303" i="63"/>
  <c r="AH303" i="63"/>
  <c r="AH301" i="63" s="1"/>
  <c r="AI303" i="63"/>
  <c r="AI301" i="63" s="1"/>
  <c r="AJ303" i="63"/>
  <c r="AJ301" i="63" s="1"/>
  <c r="AK303" i="63"/>
  <c r="AK301" i="63" s="1"/>
  <c r="AO303" i="63"/>
  <c r="AO301" i="63" s="1"/>
  <c r="AQ303" i="63"/>
  <c r="AQ301" i="63" s="1"/>
  <c r="AR303" i="63"/>
  <c r="AR301" i="63" s="1"/>
  <c r="AS303" i="63"/>
  <c r="AS301" i="63" s="1"/>
  <c r="AT303" i="63"/>
  <c r="AT301" i="63" s="1"/>
  <c r="E304" i="63"/>
  <c r="X304" i="63"/>
  <c r="F304" i="63" s="1"/>
  <c r="AF304" i="63"/>
  <c r="AG304" i="63"/>
  <c r="D304" i="63" s="1"/>
  <c r="AL304" i="63"/>
  <c r="AM304" i="63"/>
  <c r="AW304" i="63"/>
  <c r="E305" i="63"/>
  <c r="X305" i="63"/>
  <c r="F305" i="63" s="1"/>
  <c r="AF305" i="63"/>
  <c r="AG305" i="63"/>
  <c r="D305" i="63" s="1"/>
  <c r="AL305" i="63"/>
  <c r="AM305" i="63"/>
  <c r="AW305" i="63"/>
  <c r="E306" i="63"/>
  <c r="X306" i="63"/>
  <c r="F306" i="63" s="1"/>
  <c r="AF306" i="63"/>
  <c r="AG306" i="63"/>
  <c r="D306" i="63" s="1"/>
  <c r="AL306" i="63"/>
  <c r="AM306" i="63"/>
  <c r="AW306" i="63"/>
  <c r="X307" i="63"/>
  <c r="F307" i="63" s="1"/>
  <c r="Y307" i="63"/>
  <c r="AF307" i="63"/>
  <c r="AG307" i="63"/>
  <c r="AM307" i="63"/>
  <c r="AP307" i="63"/>
  <c r="AP303" i="63" s="1"/>
  <c r="AP301" i="63" s="1"/>
  <c r="AW307" i="63"/>
  <c r="AW303" i="63" s="1"/>
  <c r="X311" i="63"/>
  <c r="X309" i="63" s="1"/>
  <c r="AF311" i="63"/>
  <c r="AF309" i="63" s="1"/>
  <c r="AI311" i="63"/>
  <c r="AI309" i="63" s="1"/>
  <c r="AJ311" i="63"/>
  <c r="AJ309" i="63" s="1"/>
  <c r="AK311" i="63"/>
  <c r="AK309" i="63" s="1"/>
  <c r="AO311" i="63"/>
  <c r="AO309" i="63" s="1"/>
  <c r="AQ311" i="63"/>
  <c r="AQ309" i="63" s="1"/>
  <c r="AR311" i="63"/>
  <c r="AR309" i="63" s="1"/>
  <c r="AS311" i="63"/>
  <c r="AS309" i="63" s="1"/>
  <c r="AT311" i="63"/>
  <c r="AT309" i="63" s="1"/>
  <c r="X312" i="63"/>
  <c r="Y312" i="63"/>
  <c r="D312" i="63" s="1"/>
  <c r="AF312" i="63"/>
  <c r="AG312" i="63"/>
  <c r="E312" i="63" s="1"/>
  <c r="AN312" i="63"/>
  <c r="AP312" i="63"/>
  <c r="AU312" i="63"/>
  <c r="AW312" i="63"/>
  <c r="X313" i="63"/>
  <c r="Z313" i="63"/>
  <c r="Z311" i="63" s="1"/>
  <c r="Z309" i="63" s="1"/>
  <c r="AA313" i="63"/>
  <c r="AB313" i="63"/>
  <c r="AB311" i="63" s="1"/>
  <c r="AB309" i="63" s="1"/>
  <c r="AC313" i="63"/>
  <c r="AC311" i="63" s="1"/>
  <c r="AC309" i="63" s="1"/>
  <c r="AD313" i="63"/>
  <c r="AD311" i="63" s="1"/>
  <c r="AD309" i="63" s="1"/>
  <c r="AH313" i="63"/>
  <c r="AH311" i="63" s="1"/>
  <c r="AH309" i="63" s="1"/>
  <c r="AM313" i="63"/>
  <c r="F313" i="63" s="1"/>
  <c r="AP313" i="63"/>
  <c r="AP311" i="63" s="1"/>
  <c r="AP309" i="63" s="1"/>
  <c r="AW313" i="63"/>
  <c r="AW311" i="63" s="1"/>
  <c r="D315" i="63"/>
  <c r="D316" i="63"/>
  <c r="O316" i="63"/>
  <c r="AO316" i="63"/>
  <c r="K318" i="63"/>
  <c r="O318" i="63"/>
  <c r="N319" i="63"/>
  <c r="O321" i="63"/>
  <c r="V321" i="63"/>
  <c r="N323" i="63"/>
  <c r="O324" i="63"/>
  <c r="O327" i="63" s="1"/>
  <c r="N325" i="63"/>
  <c r="O325" i="63"/>
  <c r="N330" i="63"/>
  <c r="D331" i="63"/>
  <c r="N332" i="63"/>
  <c r="N336" i="63"/>
  <c r="N337" i="63"/>
  <c r="N338" i="63"/>
  <c r="AG10" i="62"/>
  <c r="AM10" i="62"/>
  <c r="H11" i="62"/>
  <c r="I11" i="62"/>
  <c r="K11" i="62"/>
  <c r="L11" i="62"/>
  <c r="M11" i="62"/>
  <c r="N11" i="62"/>
  <c r="O11" i="62"/>
  <c r="P11" i="62"/>
  <c r="Q11" i="62"/>
  <c r="R11" i="62"/>
  <c r="S11" i="62"/>
  <c r="T11" i="62"/>
  <c r="U11" i="62"/>
  <c r="V11" i="62"/>
  <c r="W11" i="62"/>
  <c r="Z11" i="62"/>
  <c r="AA11" i="62"/>
  <c r="AB11" i="62"/>
  <c r="AC11" i="62"/>
  <c r="AD11" i="62"/>
  <c r="AH11" i="62"/>
  <c r="AI11" i="62"/>
  <c r="AJ11" i="62"/>
  <c r="AK11" i="62"/>
  <c r="AQ11" i="62"/>
  <c r="AR11" i="62"/>
  <c r="AS11" i="62"/>
  <c r="AT11" i="62"/>
  <c r="F12" i="62"/>
  <c r="J12" i="62"/>
  <c r="G12" i="62" s="1"/>
  <c r="X12" i="62"/>
  <c r="Y12" i="62"/>
  <c r="AF12" i="62"/>
  <c r="AG12" i="62"/>
  <c r="AM12" i="62"/>
  <c r="AO12" i="62"/>
  <c r="AO11" i="62" s="1"/>
  <c r="AP12" i="62"/>
  <c r="AP11" i="62" s="1"/>
  <c r="AW12" i="62"/>
  <c r="AZ12" i="62"/>
  <c r="BD12" i="62"/>
  <c r="G13" i="62"/>
  <c r="Y13" i="62"/>
  <c r="AG13" i="62"/>
  <c r="AP13" i="62"/>
  <c r="AN13" i="62" s="1"/>
  <c r="AU13" i="62" s="1"/>
  <c r="BB13" i="62"/>
  <c r="G14" i="62"/>
  <c r="Y14" i="62"/>
  <c r="AF14" i="62"/>
  <c r="AG14" i="62"/>
  <c r="AM14" i="62"/>
  <c r="AN14" i="62"/>
  <c r="AW14" i="62" s="1"/>
  <c r="AP14" i="62"/>
  <c r="AU14" i="62"/>
  <c r="BF14" i="62"/>
  <c r="F15" i="62"/>
  <c r="G15" i="62"/>
  <c r="X15" i="62"/>
  <c r="Y15" i="62"/>
  <c r="AF15" i="62"/>
  <c r="AG15" i="62"/>
  <c r="AM15" i="62"/>
  <c r="AN15" i="62"/>
  <c r="AP15" i="62"/>
  <c r="AU15" i="62"/>
  <c r="AW15" i="62"/>
  <c r="AZ15" i="62"/>
  <c r="BB15" i="62"/>
  <c r="BC15" i="62"/>
  <c r="BD15" i="62"/>
  <c r="BF15" i="62"/>
  <c r="BG15" i="62"/>
  <c r="BF16" i="62"/>
  <c r="H17" i="62"/>
  <c r="I17" i="62"/>
  <c r="G17" i="62" s="1"/>
  <c r="J17" i="62"/>
  <c r="K17" i="62"/>
  <c r="L17" i="62"/>
  <c r="M17" i="62"/>
  <c r="N17" i="62"/>
  <c r="O17" i="62"/>
  <c r="P17" i="62"/>
  <c r="Q17" i="62"/>
  <c r="R17" i="62"/>
  <c r="S17" i="62"/>
  <c r="T17" i="62"/>
  <c r="U17" i="62"/>
  <c r="V17" i="62"/>
  <c r="W17" i="62"/>
  <c r="Z17" i="62"/>
  <c r="AA17" i="62"/>
  <c r="AB17" i="62"/>
  <c r="AC17" i="62"/>
  <c r="AD17" i="62"/>
  <c r="AH17" i="62"/>
  <c r="AI17" i="62"/>
  <c r="AJ17" i="62"/>
  <c r="AK17" i="62"/>
  <c r="AM17" i="62"/>
  <c r="AO17" i="62"/>
  <c r="AQ17" i="62"/>
  <c r="AR17" i="62"/>
  <c r="AS17" i="62"/>
  <c r="AT17" i="62"/>
  <c r="F18" i="62"/>
  <c r="F17" i="62" s="1"/>
  <c r="G18" i="62"/>
  <c r="X18" i="62"/>
  <c r="Y18" i="62"/>
  <c r="AF18" i="62"/>
  <c r="AG18" i="62"/>
  <c r="AN18" i="62"/>
  <c r="AP18" i="62"/>
  <c r="AU18" i="62"/>
  <c r="AW18" i="62"/>
  <c r="AZ18" i="62"/>
  <c r="AZ17" i="62" s="1"/>
  <c r="BB18" i="62"/>
  <c r="BC18" i="62"/>
  <c r="BD18" i="62"/>
  <c r="BD17" i="62" s="1"/>
  <c r="BF18" i="62"/>
  <c r="BG18" i="62"/>
  <c r="G19" i="62"/>
  <c r="X19" i="62"/>
  <c r="Y19" i="62"/>
  <c r="AF19" i="62"/>
  <c r="AG19" i="62"/>
  <c r="AG17" i="62" s="1"/>
  <c r="AN19" i="62"/>
  <c r="AP19" i="62"/>
  <c r="AU19" i="62"/>
  <c r="AZ19" i="62"/>
  <c r="BB19" i="62"/>
  <c r="BC19" i="62"/>
  <c r="BF19" i="62"/>
  <c r="BG19" i="62" s="1"/>
  <c r="G20" i="62"/>
  <c r="Y20" i="62"/>
  <c r="AG20" i="62"/>
  <c r="AM20" i="62" s="1"/>
  <c r="AN20" i="62"/>
  <c r="AW20" i="62" s="1"/>
  <c r="AP20" i="62"/>
  <c r="AU20" i="62"/>
  <c r="AZ20" i="62"/>
  <c r="BF20" i="62"/>
  <c r="BG20" i="62" s="1"/>
  <c r="F21" i="62"/>
  <c r="G21" i="62"/>
  <c r="X21" i="62"/>
  <c r="Y21" i="62"/>
  <c r="AG21" i="62"/>
  <c r="AM21" i="62"/>
  <c r="AP21" i="62"/>
  <c r="AN21" i="62" s="1"/>
  <c r="AZ21" i="62"/>
  <c r="BF21" i="62"/>
  <c r="BG21" i="62" s="1"/>
  <c r="K23" i="62"/>
  <c r="X23" i="62"/>
  <c r="I24" i="62"/>
  <c r="K24" i="62"/>
  <c r="L24" i="62"/>
  <c r="M24" i="62"/>
  <c r="N24" i="62"/>
  <c r="O24" i="62"/>
  <c r="P24" i="62"/>
  <c r="Q24" i="62"/>
  <c r="R24" i="62"/>
  <c r="S24" i="62"/>
  <c r="T24" i="62"/>
  <c r="U24" i="62"/>
  <c r="V24" i="62"/>
  <c r="W24" i="62"/>
  <c r="X24" i="62"/>
  <c r="Z24" i="62"/>
  <c r="Z23" i="62" s="1"/>
  <c r="AA24" i="62"/>
  <c r="AB24" i="62"/>
  <c r="AB23" i="62" s="1"/>
  <c r="AC24" i="62"/>
  <c r="AD24" i="62"/>
  <c r="AD23" i="62" s="1"/>
  <c r="AH24" i="62"/>
  <c r="AI24" i="62"/>
  <c r="AJ24" i="62"/>
  <c r="AK24" i="62"/>
  <c r="AP24" i="62"/>
  <c r="AQ24" i="62"/>
  <c r="AR24" i="62"/>
  <c r="AR23" i="62" s="1"/>
  <c r="AS24" i="62"/>
  <c r="AT24" i="62"/>
  <c r="AT23" i="62" s="1"/>
  <c r="BD24" i="62"/>
  <c r="F25" i="62"/>
  <c r="J25" i="62"/>
  <c r="G25" i="62" s="1"/>
  <c r="X25" i="62"/>
  <c r="Y25" i="62"/>
  <c r="AF25" i="62"/>
  <c r="AG25" i="62"/>
  <c r="AG24" i="62" s="1"/>
  <c r="AM25" i="62"/>
  <c r="AO25" i="62"/>
  <c r="AO24" i="62" s="1"/>
  <c r="AP25" i="62"/>
  <c r="AN25" i="62" s="1"/>
  <c r="AW25" i="62"/>
  <c r="AZ25" i="62"/>
  <c r="BD25" i="62"/>
  <c r="F26" i="62"/>
  <c r="G26" i="62"/>
  <c r="X26" i="62"/>
  <c r="Y26" i="62"/>
  <c r="AF26" i="62"/>
  <c r="AG26" i="62"/>
  <c r="AM26" i="62"/>
  <c r="AO26" i="62"/>
  <c r="AP26" i="62"/>
  <c r="AN26" i="62" s="1"/>
  <c r="AU26" i="62" s="1"/>
  <c r="AW26" i="62"/>
  <c r="AZ26" i="62"/>
  <c r="BB26" i="62"/>
  <c r="BC26" i="62" s="1"/>
  <c r="BD26" i="62"/>
  <c r="BF26" i="62"/>
  <c r="BF27" i="62"/>
  <c r="H28" i="62"/>
  <c r="H23" i="62" s="1"/>
  <c r="I28" i="62"/>
  <c r="K28" i="62"/>
  <c r="L28" i="62"/>
  <c r="M28" i="62"/>
  <c r="N28" i="62"/>
  <c r="O28" i="62"/>
  <c r="O23" i="62" s="1"/>
  <c r="P28" i="62"/>
  <c r="Q28" i="62"/>
  <c r="Q23" i="62" s="1"/>
  <c r="R28" i="62"/>
  <c r="S28" i="62"/>
  <c r="S23" i="62" s="1"/>
  <c r="T28" i="62"/>
  <c r="U28" i="62"/>
  <c r="U23" i="62" s="1"/>
  <c r="V28" i="62"/>
  <c r="W28" i="62"/>
  <c r="W23" i="62" s="1"/>
  <c r="X28" i="62"/>
  <c r="Y28" i="62"/>
  <c r="Z28" i="62"/>
  <c r="AA28" i="62"/>
  <c r="AA23" i="62" s="1"/>
  <c r="AB28" i="62"/>
  <c r="AC28" i="62"/>
  <c r="AC23" i="62" s="1"/>
  <c r="AD28" i="62"/>
  <c r="AH28" i="62"/>
  <c r="AI28" i="62"/>
  <c r="AJ28" i="62"/>
  <c r="AK28" i="62"/>
  <c r="AQ28" i="62"/>
  <c r="AQ23" i="62" s="1"/>
  <c r="AR28" i="62"/>
  <c r="AS28" i="62"/>
  <c r="AS23" i="62" s="1"/>
  <c r="AT28" i="62"/>
  <c r="F29" i="62"/>
  <c r="G29" i="62"/>
  <c r="J29" i="62"/>
  <c r="J28" i="62" s="1"/>
  <c r="X29" i="62"/>
  <c r="Y29" i="62"/>
  <c r="AF29" i="62"/>
  <c r="AG29" i="62"/>
  <c r="AG28" i="62" s="1"/>
  <c r="AM29" i="62"/>
  <c r="AO29" i="62"/>
  <c r="AP29" i="62"/>
  <c r="AP28" i="62" s="1"/>
  <c r="AW29" i="62"/>
  <c r="AZ29" i="62"/>
  <c r="BB29" i="62"/>
  <c r="BC29" i="62"/>
  <c r="BD29" i="62"/>
  <c r="BF29" i="62"/>
  <c r="D30" i="62"/>
  <c r="F30" i="62"/>
  <c r="BB30" i="62" s="1"/>
  <c r="G30" i="62"/>
  <c r="E30" i="62" s="1"/>
  <c r="X30" i="62"/>
  <c r="Y30" i="62"/>
  <c r="AF30" i="62"/>
  <c r="AG30" i="62"/>
  <c r="AM30" i="62" s="1"/>
  <c r="AN30" i="62"/>
  <c r="AZ30" i="62"/>
  <c r="BC30" i="62"/>
  <c r="BD30" i="62"/>
  <c r="BF30" i="62"/>
  <c r="F32" i="62"/>
  <c r="I32" i="62"/>
  <c r="J32" i="62"/>
  <c r="G32" i="62" s="1"/>
  <c r="K32" i="62"/>
  <c r="M32" i="62"/>
  <c r="O32" i="62"/>
  <c r="P32" i="62"/>
  <c r="Q32" i="62"/>
  <c r="R32" i="62"/>
  <c r="S32" i="62"/>
  <c r="T32" i="62"/>
  <c r="U32" i="62"/>
  <c r="V32" i="62"/>
  <c r="W32" i="62"/>
  <c r="X32" i="62"/>
  <c r="Z32" i="62"/>
  <c r="AA32" i="62"/>
  <c r="AB32" i="62"/>
  <c r="AC32" i="62"/>
  <c r="AD32" i="62"/>
  <c r="AF32" i="62"/>
  <c r="AH32" i="62"/>
  <c r="AI32" i="62"/>
  <c r="AJ32" i="62"/>
  <c r="AK32" i="62"/>
  <c r="AM32" i="62"/>
  <c r="AO32" i="62"/>
  <c r="AQ32" i="62"/>
  <c r="AR32" i="62"/>
  <c r="AP32" i="62" s="1"/>
  <c r="AN32" i="62" s="1"/>
  <c r="AS32" i="62"/>
  <c r="AT32" i="62"/>
  <c r="AW32" i="62"/>
  <c r="AZ32" i="62"/>
  <c r="BB32" i="62"/>
  <c r="BC32" i="62" s="1"/>
  <c r="BD32" i="62"/>
  <c r="BF32" i="62"/>
  <c r="BG32" i="62" s="1"/>
  <c r="F33" i="62"/>
  <c r="J33" i="62"/>
  <c r="G33" i="62" s="1"/>
  <c r="S33" i="62"/>
  <c r="X33" i="62"/>
  <c r="Y33" i="62"/>
  <c r="AF33" i="62"/>
  <c r="AG33" i="62"/>
  <c r="AM33" i="62"/>
  <c r="AO33" i="62"/>
  <c r="AN33" i="62" s="1"/>
  <c r="AP33" i="62"/>
  <c r="AU33" i="62"/>
  <c r="AW33" i="62"/>
  <c r="AZ33" i="62"/>
  <c r="BF33" i="62"/>
  <c r="BG33" i="62" s="1"/>
  <c r="H35" i="62"/>
  <c r="I35" i="62"/>
  <c r="K35" i="62"/>
  <c r="L35" i="62"/>
  <c r="M35" i="62"/>
  <c r="N35" i="62"/>
  <c r="O35" i="62"/>
  <c r="P35" i="62"/>
  <c r="Q35" i="62"/>
  <c r="R35" i="62"/>
  <c r="S35" i="62"/>
  <c r="T35" i="62"/>
  <c r="U35" i="62"/>
  <c r="V35" i="62"/>
  <c r="W35" i="62"/>
  <c r="X35" i="62"/>
  <c r="Z35" i="62"/>
  <c r="AA35" i="62"/>
  <c r="AB35" i="62"/>
  <c r="AC35" i="62"/>
  <c r="AD35" i="62"/>
  <c r="AH35" i="62"/>
  <c r="AI35" i="62"/>
  <c r="AJ35" i="62"/>
  <c r="AK35" i="62"/>
  <c r="AK23" i="62" s="1"/>
  <c r="AO35" i="62"/>
  <c r="AQ35" i="62"/>
  <c r="AR35" i="62"/>
  <c r="AS35" i="62"/>
  <c r="AT35" i="62"/>
  <c r="BD35" i="62"/>
  <c r="F36" i="62"/>
  <c r="G36" i="62"/>
  <c r="X36" i="62"/>
  <c r="Y36" i="62"/>
  <c r="AF36" i="62"/>
  <c r="AG36" i="62"/>
  <c r="AM36" i="62"/>
  <c r="AN36" i="62"/>
  <c r="AU36" i="62"/>
  <c r="AZ36" i="62"/>
  <c r="BB36" i="62"/>
  <c r="BC36" i="62"/>
  <c r="BD36" i="62"/>
  <c r="BF36" i="62"/>
  <c r="F37" i="62"/>
  <c r="J37" i="62"/>
  <c r="X37" i="62"/>
  <c r="Y37" i="62"/>
  <c r="AF37" i="62"/>
  <c r="AF35" i="62" s="1"/>
  <c r="AG37" i="62"/>
  <c r="AM37" i="62"/>
  <c r="AO37" i="62"/>
  <c r="AP37" i="62"/>
  <c r="AP35" i="62" s="1"/>
  <c r="AW37" i="62"/>
  <c r="AW35" i="62" s="1"/>
  <c r="AZ37" i="62"/>
  <c r="BD37" i="62"/>
  <c r="G38" i="62"/>
  <c r="X38" i="62"/>
  <c r="Y38" i="62"/>
  <c r="AF38" i="62"/>
  <c r="AG38" i="62"/>
  <c r="AN38" i="62"/>
  <c r="AP38" i="62"/>
  <c r="BB38" i="62"/>
  <c r="BD38" i="62"/>
  <c r="E39" i="62"/>
  <c r="G39" i="62"/>
  <c r="Y39" i="62"/>
  <c r="AF39" i="62"/>
  <c r="F39" i="62" s="1"/>
  <c r="AG39" i="62"/>
  <c r="AM39" i="62" s="1"/>
  <c r="AN39" i="62"/>
  <c r="AP39" i="62"/>
  <c r="AU39" i="62"/>
  <c r="BF39" i="62"/>
  <c r="D40" i="62"/>
  <c r="G40" i="62"/>
  <c r="Y40" i="62"/>
  <c r="AF40" i="62" s="1"/>
  <c r="AG40" i="62"/>
  <c r="AN40" i="62"/>
  <c r="AW40" i="62" s="1"/>
  <c r="AP40" i="62"/>
  <c r="AZ40" i="62"/>
  <c r="BF40" i="62"/>
  <c r="BG40" i="62" s="1"/>
  <c r="G41" i="62"/>
  <c r="Y41" i="62"/>
  <c r="AG41" i="62"/>
  <c r="AM41" i="62" s="1"/>
  <c r="AN41" i="62"/>
  <c r="AW41" i="62" s="1"/>
  <c r="AP41" i="62"/>
  <c r="AU41" i="62"/>
  <c r="AZ41" i="62"/>
  <c r="BF41" i="62"/>
  <c r="BG41" i="62" s="1"/>
  <c r="D42" i="62"/>
  <c r="G42" i="62"/>
  <c r="Y42" i="62"/>
  <c r="AF42" i="62" s="1"/>
  <c r="AG42" i="62"/>
  <c r="AN42" i="62"/>
  <c r="AW42" i="62" s="1"/>
  <c r="AP42" i="62"/>
  <c r="AZ42" i="62"/>
  <c r="BF42" i="62"/>
  <c r="BG42" i="62" s="1"/>
  <c r="G43" i="62"/>
  <c r="D43" i="62" s="1"/>
  <c r="Y43" i="62"/>
  <c r="AF43" i="62"/>
  <c r="AG43" i="62"/>
  <c r="AM43" i="62"/>
  <c r="AP43" i="62"/>
  <c r="AN43" i="62" s="1"/>
  <c r="AW43" i="62"/>
  <c r="AZ43" i="62"/>
  <c r="AF44" i="62"/>
  <c r="AG44" i="62"/>
  <c r="H45" i="62"/>
  <c r="L45" i="62"/>
  <c r="N45" i="62"/>
  <c r="U45" i="62"/>
  <c r="X45" i="62"/>
  <c r="AA45" i="62"/>
  <c r="AQ45" i="62"/>
  <c r="F46" i="62"/>
  <c r="F45" i="62" s="1"/>
  <c r="I46" i="62"/>
  <c r="J46" i="62"/>
  <c r="K46" i="62"/>
  <c r="M46" i="62"/>
  <c r="M45" i="62" s="1"/>
  <c r="O46" i="62"/>
  <c r="P46" i="62"/>
  <c r="Q46" i="62"/>
  <c r="R46" i="62"/>
  <c r="S46" i="62"/>
  <c r="T46" i="62"/>
  <c r="U46" i="62"/>
  <c r="V46" i="62"/>
  <c r="W46" i="62"/>
  <c r="X46" i="62"/>
  <c r="Z46" i="62"/>
  <c r="AA46" i="62"/>
  <c r="AB46" i="62"/>
  <c r="AC46" i="62"/>
  <c r="AD46" i="62"/>
  <c r="AF46" i="62"/>
  <c r="AH46" i="62"/>
  <c r="AI46" i="62"/>
  <c r="AJ46" i="62"/>
  <c r="AK46" i="62"/>
  <c r="AM46" i="62"/>
  <c r="AO46" i="62"/>
  <c r="AQ46" i="62"/>
  <c r="AR46" i="62"/>
  <c r="AS46" i="62"/>
  <c r="AT46" i="62"/>
  <c r="AW46" i="62"/>
  <c r="AZ46" i="62"/>
  <c r="BD46" i="62"/>
  <c r="F47" i="62"/>
  <c r="BB47" i="62" s="1"/>
  <c r="I47" i="62"/>
  <c r="J47" i="62"/>
  <c r="K47" i="62"/>
  <c r="K45" i="62" s="1"/>
  <c r="M47" i="62"/>
  <c r="O47" i="62"/>
  <c r="O45" i="62" s="1"/>
  <c r="P47" i="62"/>
  <c r="Q47" i="62"/>
  <c r="Q45" i="62" s="1"/>
  <c r="R47" i="62"/>
  <c r="S47" i="62"/>
  <c r="S45" i="62" s="1"/>
  <c r="T47" i="62"/>
  <c r="U47" i="62"/>
  <c r="V47" i="62"/>
  <c r="W47" i="62"/>
  <c r="W45" i="62" s="1"/>
  <c r="X47" i="62"/>
  <c r="Z47" i="62"/>
  <c r="AA47" i="62"/>
  <c r="Y47" i="62" s="1"/>
  <c r="AB47" i="62"/>
  <c r="AC47" i="62"/>
  <c r="AC45" i="62" s="1"/>
  <c r="AD47" i="62"/>
  <c r="AF47" i="62"/>
  <c r="AH47" i="62"/>
  <c r="AI47" i="62"/>
  <c r="AI45" i="62" s="1"/>
  <c r="AJ47" i="62"/>
  <c r="AK47" i="62"/>
  <c r="AK45" i="62" s="1"/>
  <c r="AM47" i="62"/>
  <c r="AO47" i="62"/>
  <c r="AQ47" i="62"/>
  <c r="AR47" i="62"/>
  <c r="AS47" i="62"/>
  <c r="AS45" i="62" s="1"/>
  <c r="AT47" i="62"/>
  <c r="AW47" i="62"/>
  <c r="AZ47" i="62"/>
  <c r="BC47" i="62"/>
  <c r="BD47" i="62"/>
  <c r="BF47" i="62"/>
  <c r="BG47" i="62"/>
  <c r="F48" i="62"/>
  <c r="I48" i="62"/>
  <c r="J48" i="62"/>
  <c r="G48" i="62" s="1"/>
  <c r="K48" i="62"/>
  <c r="M48" i="62"/>
  <c r="O48" i="62"/>
  <c r="P48" i="62"/>
  <c r="Q48" i="62"/>
  <c r="R48" i="62"/>
  <c r="S48" i="62"/>
  <c r="T48" i="62"/>
  <c r="U48" i="62"/>
  <c r="V48" i="62"/>
  <c r="W48" i="62"/>
  <c r="X48" i="62"/>
  <c r="Z48" i="62"/>
  <c r="AA48" i="62"/>
  <c r="AB48" i="62"/>
  <c r="AC48" i="62"/>
  <c r="AD48" i="62"/>
  <c r="AF48" i="62"/>
  <c r="AH48" i="62"/>
  <c r="AI48" i="62"/>
  <c r="AJ48" i="62"/>
  <c r="AK48" i="62"/>
  <c r="AM48" i="62"/>
  <c r="AO48" i="62"/>
  <c r="AQ48" i="62"/>
  <c r="AR48" i="62"/>
  <c r="AP48" i="62" s="1"/>
  <c r="AN48" i="62" s="1"/>
  <c r="AS48" i="62"/>
  <c r="AT48" i="62"/>
  <c r="AW48" i="62"/>
  <c r="AZ48" i="62"/>
  <c r="BD48" i="62"/>
  <c r="F49" i="62"/>
  <c r="BB49" i="62" s="1"/>
  <c r="I49" i="62"/>
  <c r="J49" i="62"/>
  <c r="K49" i="62"/>
  <c r="M49" i="62"/>
  <c r="O49" i="62"/>
  <c r="P49" i="62"/>
  <c r="Q49" i="62"/>
  <c r="R49" i="62"/>
  <c r="S49" i="62"/>
  <c r="T49" i="62"/>
  <c r="U49" i="62"/>
  <c r="V49" i="62"/>
  <c r="W49" i="62"/>
  <c r="X49" i="62"/>
  <c r="Z49" i="62"/>
  <c r="AA49" i="62"/>
  <c r="Y49" i="62" s="1"/>
  <c r="AB49" i="62"/>
  <c r="AC49" i="62"/>
  <c r="AD49" i="62"/>
  <c r="AF49" i="62"/>
  <c r="AH49" i="62"/>
  <c r="AI49" i="62"/>
  <c r="AG49" i="62" s="1"/>
  <c r="AJ49" i="62"/>
  <c r="AK49" i="62"/>
  <c r="AM49" i="62"/>
  <c r="AO49" i="62"/>
  <c r="AQ49" i="62"/>
  <c r="AR49" i="62"/>
  <c r="AS49" i="62"/>
  <c r="AT49" i="62"/>
  <c r="AW49" i="62"/>
  <c r="AZ49" i="62"/>
  <c r="BC49" i="62"/>
  <c r="BD49" i="62"/>
  <c r="BF49" i="62"/>
  <c r="BG49" i="62"/>
  <c r="F50" i="62"/>
  <c r="I50" i="62"/>
  <c r="J50" i="62"/>
  <c r="G50" i="62" s="1"/>
  <c r="K50" i="62"/>
  <c r="M50" i="62"/>
  <c r="O50" i="62"/>
  <c r="P50" i="62"/>
  <c r="Q50" i="62"/>
  <c r="R50" i="62"/>
  <c r="S50" i="62"/>
  <c r="T50" i="62"/>
  <c r="U50" i="62"/>
  <c r="V50" i="62"/>
  <c r="W50" i="62"/>
  <c r="X50" i="62"/>
  <c r="Z50" i="62"/>
  <c r="AA50" i="62"/>
  <c r="AB50" i="62"/>
  <c r="AC50" i="62"/>
  <c r="AD50" i="62"/>
  <c r="AF50" i="62"/>
  <c r="AH50" i="62"/>
  <c r="AI50" i="62"/>
  <c r="AJ50" i="62"/>
  <c r="AK50" i="62"/>
  <c r="AM50" i="62"/>
  <c r="AO50" i="62"/>
  <c r="AQ50" i="62"/>
  <c r="AR50" i="62"/>
  <c r="AP50" i="62" s="1"/>
  <c r="AN50" i="62" s="1"/>
  <c r="AS50" i="62"/>
  <c r="AT50" i="62"/>
  <c r="AW50" i="62"/>
  <c r="AZ50" i="62"/>
  <c r="BD50" i="62"/>
  <c r="AG51" i="62"/>
  <c r="H52" i="62"/>
  <c r="I52" i="62"/>
  <c r="L52" i="62"/>
  <c r="N52" i="62"/>
  <c r="Q52" i="62"/>
  <c r="U52" i="62"/>
  <c r="AC52" i="62"/>
  <c r="AK52" i="62"/>
  <c r="AO52" i="62"/>
  <c r="F53" i="62"/>
  <c r="I53" i="62"/>
  <c r="J53" i="62"/>
  <c r="K53" i="62"/>
  <c r="M53" i="62"/>
  <c r="O53" i="62"/>
  <c r="P53" i="62"/>
  <c r="Q53" i="62"/>
  <c r="R53" i="62"/>
  <c r="S53" i="62"/>
  <c r="T53" i="62"/>
  <c r="U53" i="62"/>
  <c r="V53" i="62"/>
  <c r="W53" i="62"/>
  <c r="X53" i="62"/>
  <c r="Z53" i="62"/>
  <c r="AA53" i="62"/>
  <c r="AB53" i="62"/>
  <c r="AC53" i="62"/>
  <c r="AD53" i="62"/>
  <c r="AF53" i="62"/>
  <c r="AH53" i="62"/>
  <c r="AI53" i="62"/>
  <c r="AJ53" i="62"/>
  <c r="AK53" i="62"/>
  <c r="AM53" i="62"/>
  <c r="AO53" i="62"/>
  <c r="AQ53" i="62"/>
  <c r="AR53" i="62"/>
  <c r="AS53" i="62"/>
  <c r="AT53" i="62"/>
  <c r="AW53" i="62"/>
  <c r="AZ53" i="62"/>
  <c r="BB53" i="62"/>
  <c r="BC53" i="62" s="1"/>
  <c r="BD53" i="62"/>
  <c r="BF53" i="62"/>
  <c r="BG53" i="62" s="1"/>
  <c r="F54" i="62"/>
  <c r="BB54" i="62" s="1"/>
  <c r="BC54" i="62" s="1"/>
  <c r="I54" i="62"/>
  <c r="J54" i="62"/>
  <c r="K54" i="62"/>
  <c r="K52" i="62" s="1"/>
  <c r="M54" i="62"/>
  <c r="O54" i="62"/>
  <c r="O52" i="62" s="1"/>
  <c r="P54" i="62"/>
  <c r="Q54" i="62"/>
  <c r="R54" i="62"/>
  <c r="S54" i="62"/>
  <c r="S52" i="62" s="1"/>
  <c r="T54" i="62"/>
  <c r="U54" i="62"/>
  <c r="V54" i="62"/>
  <c r="W54" i="62"/>
  <c r="W52" i="62" s="1"/>
  <c r="X54" i="62"/>
  <c r="Z54" i="62"/>
  <c r="AA54" i="62"/>
  <c r="AA52" i="62" s="1"/>
  <c r="AB54" i="62"/>
  <c r="AC54" i="62"/>
  <c r="AD54" i="62"/>
  <c r="AF54" i="62"/>
  <c r="AH54" i="62"/>
  <c r="AI54" i="62"/>
  <c r="AI52" i="62" s="1"/>
  <c r="AJ54" i="62"/>
  <c r="AK54" i="62"/>
  <c r="AM54" i="62"/>
  <c r="AO54" i="62"/>
  <c r="AQ54" i="62"/>
  <c r="AR54" i="62"/>
  <c r="AS54" i="62"/>
  <c r="AS52" i="62" s="1"/>
  <c r="AT54" i="62"/>
  <c r="AW54" i="62"/>
  <c r="AZ54" i="62"/>
  <c r="BD54" i="62"/>
  <c r="BF54" i="62"/>
  <c r="BG54" i="62"/>
  <c r="F55" i="62"/>
  <c r="I55" i="62"/>
  <c r="J55" i="62"/>
  <c r="G55" i="62" s="1"/>
  <c r="K55" i="62"/>
  <c r="M55" i="62"/>
  <c r="O55" i="62"/>
  <c r="P55" i="62"/>
  <c r="Q55" i="62"/>
  <c r="R55" i="62"/>
  <c r="S55" i="62"/>
  <c r="T55" i="62"/>
  <c r="U55" i="62"/>
  <c r="V55" i="62"/>
  <c r="W55" i="62"/>
  <c r="X55" i="62"/>
  <c r="Z55" i="62"/>
  <c r="AA55" i="62"/>
  <c r="AB55" i="62"/>
  <c r="AC55" i="62"/>
  <c r="AD55" i="62"/>
  <c r="AF55" i="62"/>
  <c r="AH55" i="62"/>
  <c r="AI55" i="62"/>
  <c r="AJ55" i="62"/>
  <c r="AK55" i="62"/>
  <c r="AM55" i="62"/>
  <c r="AO55" i="62"/>
  <c r="AQ55" i="62"/>
  <c r="AR55" i="62"/>
  <c r="AP55" i="62" s="1"/>
  <c r="AN55" i="62" s="1"/>
  <c r="AS55" i="62"/>
  <c r="AT55" i="62"/>
  <c r="AW55" i="62"/>
  <c r="AZ55" i="62"/>
  <c r="BB55" i="62"/>
  <c r="BC55" i="62" s="1"/>
  <c r="BD55" i="62"/>
  <c r="BF55" i="62"/>
  <c r="BG55" i="62" s="1"/>
  <c r="F56" i="62"/>
  <c r="I56" i="62"/>
  <c r="J56" i="62"/>
  <c r="K56" i="62"/>
  <c r="M56" i="62"/>
  <c r="O56" i="62"/>
  <c r="P56" i="62"/>
  <c r="Q56" i="62"/>
  <c r="R56" i="62"/>
  <c r="S56" i="62"/>
  <c r="T56" i="62"/>
  <c r="U56" i="62"/>
  <c r="V56" i="62"/>
  <c r="W56" i="62"/>
  <c r="X56" i="62"/>
  <c r="Z56" i="62"/>
  <c r="AA56" i="62"/>
  <c r="Y56" i="62" s="1"/>
  <c r="AB56" i="62"/>
  <c r="AC56" i="62"/>
  <c r="AD56" i="62"/>
  <c r="AF56" i="62"/>
  <c r="AH56" i="62"/>
  <c r="AI56" i="62"/>
  <c r="AG56" i="62" s="1"/>
  <c r="AJ56" i="62"/>
  <c r="AK56" i="62"/>
  <c r="AM56" i="62"/>
  <c r="AO56" i="62"/>
  <c r="AQ56" i="62"/>
  <c r="AR56" i="62"/>
  <c r="AS56" i="62"/>
  <c r="AT56" i="62"/>
  <c r="AW56" i="62"/>
  <c r="AZ56" i="62"/>
  <c r="BD56" i="62"/>
  <c r="BF56" i="62"/>
  <c r="BG56" i="62"/>
  <c r="AG57" i="62"/>
  <c r="E57" i="62" s="1"/>
  <c r="R58" i="62"/>
  <c r="S58" i="62"/>
  <c r="T58" i="62"/>
  <c r="U58" i="62"/>
  <c r="V58" i="62"/>
  <c r="W58" i="62"/>
  <c r="AF58" i="62"/>
  <c r="AG58" i="62"/>
  <c r="AM58" i="62" s="1"/>
  <c r="AO58" i="62"/>
  <c r="AP58" i="62"/>
  <c r="AQ58" i="62"/>
  <c r="AR58" i="62"/>
  <c r="AS58" i="62"/>
  <c r="AT58" i="62"/>
  <c r="AZ58" i="62"/>
  <c r="BF58" i="62"/>
  <c r="BG58" i="62" s="1"/>
  <c r="D59" i="62"/>
  <c r="D58" i="62" s="1"/>
  <c r="G59" i="62"/>
  <c r="G58" i="62" s="1"/>
  <c r="E58" i="62" s="1"/>
  <c r="X59" i="62"/>
  <c r="F59" i="62" s="1"/>
  <c r="Y59" i="62"/>
  <c r="AF59" i="62"/>
  <c r="AG59" i="62"/>
  <c r="AM59" i="62"/>
  <c r="AZ59" i="62"/>
  <c r="AF60" i="62"/>
  <c r="F60" i="62" s="1"/>
  <c r="BB60" i="62" s="1"/>
  <c r="AM60" i="62"/>
  <c r="AZ60" i="62"/>
  <c r="BC60" i="62"/>
  <c r="BF60" i="62"/>
  <c r="BG60" i="62" s="1"/>
  <c r="X61" i="62"/>
  <c r="AF61" i="62"/>
  <c r="AM61" i="62"/>
  <c r="AW61" i="62"/>
  <c r="AZ61" i="62"/>
  <c r="BF61" i="62"/>
  <c r="BG61" i="62" s="1"/>
  <c r="X62" i="62"/>
  <c r="AF62" i="62"/>
  <c r="AG62" i="62"/>
  <c r="AM62" i="62" s="1"/>
  <c r="AW62" i="62"/>
  <c r="AZ62" i="62"/>
  <c r="X63" i="62"/>
  <c r="AF64" i="62"/>
  <c r="AG64" i="62"/>
  <c r="AW64" i="62"/>
  <c r="H65" i="62"/>
  <c r="H63" i="62" s="1"/>
  <c r="I65" i="62"/>
  <c r="J65" i="62"/>
  <c r="J63" i="62" s="1"/>
  <c r="K65" i="62"/>
  <c r="L65" i="62"/>
  <c r="L63" i="62" s="1"/>
  <c r="M65" i="62"/>
  <c r="N65" i="62"/>
  <c r="O65" i="62"/>
  <c r="P65" i="62"/>
  <c r="Q65" i="62"/>
  <c r="R65" i="62"/>
  <c r="S65" i="62"/>
  <c r="T65" i="62"/>
  <c r="U65" i="62"/>
  <c r="V65" i="62"/>
  <c r="W65" i="62"/>
  <c r="Z65" i="62"/>
  <c r="AA65" i="62"/>
  <c r="AB65" i="62"/>
  <c r="AC65" i="62"/>
  <c r="AD65" i="62"/>
  <c r="AH65" i="62"/>
  <c r="AI65" i="62"/>
  <c r="AJ65" i="62"/>
  <c r="AK65" i="62"/>
  <c r="AO65" i="62"/>
  <c r="AQ65" i="62"/>
  <c r="AR65" i="62"/>
  <c r="AS65" i="62"/>
  <c r="AT65" i="62"/>
  <c r="F66" i="62"/>
  <c r="G66" i="62"/>
  <c r="X66" i="62"/>
  <c r="Y66" i="62"/>
  <c r="AG66" i="62"/>
  <c r="AN66" i="62"/>
  <c r="AP66" i="62"/>
  <c r="AU66" i="62"/>
  <c r="BB66" i="62"/>
  <c r="BF66" i="62"/>
  <c r="F67" i="62"/>
  <c r="G67" i="62"/>
  <c r="X67" i="62"/>
  <c r="Y67" i="62"/>
  <c r="AF67" i="62"/>
  <c r="AG67" i="62"/>
  <c r="AP67" i="62"/>
  <c r="AN67" i="62" s="1"/>
  <c r="AU67" i="62" s="1"/>
  <c r="AW67" i="62"/>
  <c r="AZ67" i="62"/>
  <c r="BD67" i="62"/>
  <c r="D68" i="62"/>
  <c r="F68" i="62"/>
  <c r="G68" i="62"/>
  <c r="E68" i="62" s="1"/>
  <c r="X68" i="62"/>
  <c r="Y68" i="62"/>
  <c r="AF68" i="62"/>
  <c r="AG68" i="62"/>
  <c r="AP68" i="62"/>
  <c r="AN68" i="62" s="1"/>
  <c r="AU68" i="62" s="1"/>
  <c r="AZ68" i="62"/>
  <c r="F69" i="62"/>
  <c r="G69" i="62"/>
  <c r="X69" i="62"/>
  <c r="Y69" i="62"/>
  <c r="AF69" i="62"/>
  <c r="AG69" i="62"/>
  <c r="AM69" i="62"/>
  <c r="AP69" i="62"/>
  <c r="AN69" i="62" s="1"/>
  <c r="AU69" i="62" s="1"/>
  <c r="AZ69" i="62"/>
  <c r="BB69" i="62"/>
  <c r="BF69" i="62"/>
  <c r="F70" i="62"/>
  <c r="G70" i="62"/>
  <c r="X70" i="62"/>
  <c r="Y70" i="62"/>
  <c r="AG70" i="62"/>
  <c r="AN70" i="62"/>
  <c r="AP70" i="62"/>
  <c r="AW70" i="62"/>
  <c r="AZ70" i="62"/>
  <c r="BB70" i="62"/>
  <c r="BF70" i="62"/>
  <c r="AF71" i="62"/>
  <c r="AG71" i="62"/>
  <c r="F72" i="62"/>
  <c r="H72" i="62"/>
  <c r="I72" i="62"/>
  <c r="J72" i="62"/>
  <c r="K72" i="62"/>
  <c r="L72" i="62"/>
  <c r="M72" i="62"/>
  <c r="N72" i="62"/>
  <c r="O72" i="62"/>
  <c r="P72" i="62"/>
  <c r="Q72" i="62"/>
  <c r="R72" i="62"/>
  <c r="S72" i="62"/>
  <c r="T72" i="62"/>
  <c r="U72" i="62"/>
  <c r="V72" i="62"/>
  <c r="W72" i="62"/>
  <c r="Z72" i="62"/>
  <c r="AB72" i="62"/>
  <c r="AD72" i="62"/>
  <c r="AH72" i="62"/>
  <c r="AI72" i="62"/>
  <c r="AJ72" i="62"/>
  <c r="AK72" i="62"/>
  <c r="AO72" i="62"/>
  <c r="AQ72" i="62"/>
  <c r="AQ63" i="62" s="1"/>
  <c r="AR72" i="62"/>
  <c r="AS72" i="62"/>
  <c r="AT72" i="62"/>
  <c r="F73" i="62"/>
  <c r="G73" i="62"/>
  <c r="X73" i="62"/>
  <c r="Z73" i="62"/>
  <c r="AA73" i="62"/>
  <c r="AA72" i="62" s="1"/>
  <c r="AB73" i="62"/>
  <c r="AC73" i="62"/>
  <c r="AC72" i="62" s="1"/>
  <c r="AD73" i="62"/>
  <c r="AG73" i="62"/>
  <c r="AN73" i="62"/>
  <c r="AP73" i="62"/>
  <c r="AP72" i="62" s="1"/>
  <c r="AZ73" i="62"/>
  <c r="BB73" i="62"/>
  <c r="BC73" i="62" s="1"/>
  <c r="BD73" i="62"/>
  <c r="BF73" i="62"/>
  <c r="BG73" i="62" s="1"/>
  <c r="F74" i="62"/>
  <c r="G74" i="62"/>
  <c r="X74" i="62"/>
  <c r="Y74" i="62"/>
  <c r="AF74" i="62"/>
  <c r="AG74" i="62"/>
  <c r="AN74" i="62"/>
  <c r="AP74" i="62"/>
  <c r="AZ74" i="62"/>
  <c r="BB74" i="62"/>
  <c r="BC74" i="62" s="1"/>
  <c r="BD74" i="62"/>
  <c r="BF74" i="62"/>
  <c r="BG74" i="62" s="1"/>
  <c r="F75" i="62"/>
  <c r="G75" i="62"/>
  <c r="X75" i="62"/>
  <c r="Y75" i="62"/>
  <c r="AF75" i="62"/>
  <c r="AG75" i="62"/>
  <c r="D75" i="62" s="1"/>
  <c r="AP75" i="62"/>
  <c r="AN75" i="62" s="1"/>
  <c r="AZ75" i="62"/>
  <c r="BD75" i="62"/>
  <c r="BF75" i="62"/>
  <c r="BG75" i="62"/>
  <c r="F76" i="62"/>
  <c r="G76" i="62"/>
  <c r="X76" i="62"/>
  <c r="Y76" i="62"/>
  <c r="AF76" i="62"/>
  <c r="AG76" i="62"/>
  <c r="AM76" i="62"/>
  <c r="AP76" i="62"/>
  <c r="AN76" i="62" s="1"/>
  <c r="AU76" i="62" s="1"/>
  <c r="AW76" i="62"/>
  <c r="AW72" i="62" s="1"/>
  <c r="AZ76" i="62"/>
  <c r="BB76" i="62"/>
  <c r="BC76" i="62" s="1"/>
  <c r="BD76" i="62"/>
  <c r="BF76" i="62"/>
  <c r="BG76" i="62" s="1"/>
  <c r="F77" i="62"/>
  <c r="G77" i="62"/>
  <c r="X77" i="62"/>
  <c r="Y77" i="62"/>
  <c r="AF77" i="62"/>
  <c r="AG77" i="62"/>
  <c r="D77" i="62" s="1"/>
  <c r="AP77" i="62"/>
  <c r="AN77" i="62" s="1"/>
  <c r="AZ77" i="62"/>
  <c r="BD77" i="62"/>
  <c r="BF77" i="62"/>
  <c r="BG77" i="62"/>
  <c r="H79" i="62"/>
  <c r="I79" i="62"/>
  <c r="I63" i="62" s="1"/>
  <c r="J79" i="62"/>
  <c r="K79" i="62"/>
  <c r="L79" i="62"/>
  <c r="M79" i="62"/>
  <c r="O79" i="62"/>
  <c r="P79" i="62"/>
  <c r="Q79" i="62"/>
  <c r="R79" i="62"/>
  <c r="S79" i="62"/>
  <c r="U79" i="62"/>
  <c r="U63" i="62" s="1"/>
  <c r="W79" i="62"/>
  <c r="Z79" i="62"/>
  <c r="AA79" i="62"/>
  <c r="AB79" i="62"/>
  <c r="AC79" i="62"/>
  <c r="AD79" i="62"/>
  <c r="AH79" i="62"/>
  <c r="AI79" i="62"/>
  <c r="AJ79" i="62"/>
  <c r="AK79" i="62"/>
  <c r="AQ79" i="62"/>
  <c r="AR79" i="62"/>
  <c r="AS79" i="62"/>
  <c r="AT79" i="62"/>
  <c r="F80" i="62"/>
  <c r="F79" i="62" s="1"/>
  <c r="G80" i="62"/>
  <c r="X80" i="62"/>
  <c r="Y80" i="62"/>
  <c r="AF80" i="62"/>
  <c r="AG80" i="62"/>
  <c r="AO80" i="62"/>
  <c r="AN80" i="62" s="1"/>
  <c r="AP80" i="62"/>
  <c r="AP79" i="62" s="1"/>
  <c r="AU80" i="62"/>
  <c r="AW80" i="62"/>
  <c r="AZ80" i="62"/>
  <c r="BB80" i="62"/>
  <c r="BC80" i="62"/>
  <c r="BD80" i="62"/>
  <c r="BD79" i="62" s="1"/>
  <c r="BF80" i="62"/>
  <c r="BG80" i="62"/>
  <c r="F81" i="62"/>
  <c r="G81" i="62"/>
  <c r="X81" i="62"/>
  <c r="Y81" i="62"/>
  <c r="AG81" i="62"/>
  <c r="AG79" i="62" s="1"/>
  <c r="AN81" i="62"/>
  <c r="AP81" i="62"/>
  <c r="AU81" i="62"/>
  <c r="AW81" i="62"/>
  <c r="AZ81" i="62"/>
  <c r="BB81" i="62"/>
  <c r="BC81" i="62"/>
  <c r="BF81" i="62"/>
  <c r="BG81" i="62" s="1"/>
  <c r="F82" i="62"/>
  <c r="N82" i="62"/>
  <c r="T82" i="62"/>
  <c r="T79" i="62" s="1"/>
  <c r="X82" i="62"/>
  <c r="Y82" i="62"/>
  <c r="AF82" i="62"/>
  <c r="AG82" i="62"/>
  <c r="AM82" i="62"/>
  <c r="AM79" i="62" s="1"/>
  <c r="AP82" i="62"/>
  <c r="AN82" i="62" s="1"/>
  <c r="AW82" i="62"/>
  <c r="AZ82" i="62"/>
  <c r="F83" i="62"/>
  <c r="G83" i="62"/>
  <c r="X83" i="62"/>
  <c r="Y83" i="62"/>
  <c r="AG83" i="62"/>
  <c r="AP83" i="62"/>
  <c r="AN83" i="62" s="1"/>
  <c r="AU83" i="62" s="1"/>
  <c r="AZ83" i="62"/>
  <c r="BB83" i="62"/>
  <c r="BF83" i="62"/>
  <c r="F84" i="62"/>
  <c r="BB84" i="62" s="1"/>
  <c r="V84" i="62"/>
  <c r="X84" i="62"/>
  <c r="Y84" i="62"/>
  <c r="Y79" i="62" s="1"/>
  <c r="AG84" i="62"/>
  <c r="AO84" i="62"/>
  <c r="AN84" i="62" s="1"/>
  <c r="AP84" i="62"/>
  <c r="AW84" i="62"/>
  <c r="AZ84" i="62"/>
  <c r="BC84" i="62"/>
  <c r="BF84" i="62"/>
  <c r="BG84" i="62" s="1"/>
  <c r="F85" i="62"/>
  <c r="BB85" i="62" s="1"/>
  <c r="G85" i="62"/>
  <c r="X85" i="62"/>
  <c r="Y85" i="62"/>
  <c r="AG85" i="62"/>
  <c r="AN85" i="62"/>
  <c r="D85" i="62" s="1"/>
  <c r="AP85" i="62"/>
  <c r="AU85" i="62"/>
  <c r="AW85" i="62"/>
  <c r="AZ85" i="62"/>
  <c r="BF85" i="62"/>
  <c r="BG85" i="62"/>
  <c r="H87" i="62"/>
  <c r="I87" i="62"/>
  <c r="J87" i="62"/>
  <c r="K87" i="62"/>
  <c r="L87" i="62"/>
  <c r="M87" i="62"/>
  <c r="N87" i="62"/>
  <c r="O87" i="62"/>
  <c r="P87" i="62"/>
  <c r="Q87" i="62"/>
  <c r="Q63" i="62" s="1"/>
  <c r="R87" i="62"/>
  <c r="S87" i="62"/>
  <c r="T87" i="62"/>
  <c r="U87" i="62"/>
  <c r="Z87" i="62"/>
  <c r="AA87" i="62"/>
  <c r="AB87" i="62"/>
  <c r="AC87" i="62"/>
  <c r="AD87" i="62"/>
  <c r="AH87" i="62"/>
  <c r="AI87" i="62"/>
  <c r="AJ87" i="62"/>
  <c r="AK87" i="62"/>
  <c r="AQ87" i="62"/>
  <c r="AR87" i="62"/>
  <c r="AS87" i="62"/>
  <c r="AT87" i="62"/>
  <c r="F88" i="62"/>
  <c r="F87" i="62" s="1"/>
  <c r="G88" i="62"/>
  <c r="X88" i="62"/>
  <c r="Y88" i="62"/>
  <c r="AF88" i="62"/>
  <c r="AG88" i="62"/>
  <c r="AM88" i="62"/>
  <c r="AP88" i="62"/>
  <c r="AZ88" i="62"/>
  <c r="BB88" i="62"/>
  <c r="BF88" i="62"/>
  <c r="F89" i="62"/>
  <c r="G89" i="62"/>
  <c r="V89" i="62"/>
  <c r="V87" i="62" s="1"/>
  <c r="X89" i="62"/>
  <c r="Y89" i="62"/>
  <c r="AF89" i="62"/>
  <c r="AG89" i="62"/>
  <c r="AN89" i="62"/>
  <c r="AP89" i="62"/>
  <c r="AW89" i="62"/>
  <c r="AZ89" i="62"/>
  <c r="BB89" i="62"/>
  <c r="BC89" i="62"/>
  <c r="BD89" i="62"/>
  <c r="BD87" i="62" s="1"/>
  <c r="BF89" i="62"/>
  <c r="BG89" i="62"/>
  <c r="F90" i="62"/>
  <c r="G90" i="62"/>
  <c r="X90" i="62"/>
  <c r="Y90" i="62"/>
  <c r="AU90" i="62" s="1"/>
  <c r="AF90" i="62"/>
  <c r="AG90" i="62"/>
  <c r="AM90" i="62"/>
  <c r="AN90" i="62"/>
  <c r="AP90" i="62"/>
  <c r="AW90" i="62"/>
  <c r="AZ90" i="62"/>
  <c r="BB90" i="62"/>
  <c r="BC90" i="62"/>
  <c r="BF90" i="62"/>
  <c r="BG90" i="62" s="1"/>
  <c r="F91" i="62"/>
  <c r="G91" i="62"/>
  <c r="X91" i="62"/>
  <c r="Y91" i="62"/>
  <c r="AF91" i="62"/>
  <c r="AG91" i="62"/>
  <c r="AM91" i="62"/>
  <c r="AP91" i="62"/>
  <c r="AN91" i="62" s="1"/>
  <c r="AU91" i="62" s="1"/>
  <c r="AW91" i="62"/>
  <c r="AZ91" i="62"/>
  <c r="G92" i="62"/>
  <c r="X92" i="62"/>
  <c r="Y92" i="62"/>
  <c r="AF92" i="62"/>
  <c r="AG92" i="62"/>
  <c r="AU92" i="62" s="1"/>
  <c r="AO92" i="62"/>
  <c r="AN92" i="62" s="1"/>
  <c r="AP92" i="62"/>
  <c r="AW92" i="62"/>
  <c r="AZ92" i="62"/>
  <c r="BB92" i="62"/>
  <c r="BF92" i="62"/>
  <c r="BG92" i="62"/>
  <c r="F93" i="62"/>
  <c r="G93" i="62"/>
  <c r="X93" i="62"/>
  <c r="Y93" i="62"/>
  <c r="AF93" i="62" s="1"/>
  <c r="AG93" i="62"/>
  <c r="AM93" i="62"/>
  <c r="AO93" i="62"/>
  <c r="AN93" i="62" s="1"/>
  <c r="AP93" i="62"/>
  <c r="AU93" i="62"/>
  <c r="AW93" i="62"/>
  <c r="AZ93" i="62"/>
  <c r="BB93" i="62"/>
  <c r="BC93" i="62"/>
  <c r="BF93" i="62"/>
  <c r="BG93" i="62" s="1"/>
  <c r="F94" i="62"/>
  <c r="BB94" i="62" s="1"/>
  <c r="W94" i="62"/>
  <c r="X94" i="62"/>
  <c r="Y94" i="62"/>
  <c r="AF94" i="62"/>
  <c r="AG94" i="62"/>
  <c r="AM94" i="62"/>
  <c r="AN94" i="62"/>
  <c r="AP94" i="62"/>
  <c r="AW94" i="62"/>
  <c r="AZ94" i="62"/>
  <c r="BC94" i="62"/>
  <c r="BF94" i="62"/>
  <c r="BG94" i="62" s="1"/>
  <c r="F96" i="62"/>
  <c r="H96" i="62"/>
  <c r="I96" i="62"/>
  <c r="J96" i="62"/>
  <c r="K96" i="62"/>
  <c r="L96" i="62"/>
  <c r="M96" i="62"/>
  <c r="O96" i="62"/>
  <c r="P96" i="62"/>
  <c r="Q96" i="62"/>
  <c r="R96" i="62"/>
  <c r="S96" i="62"/>
  <c r="T96" i="62"/>
  <c r="U96" i="62"/>
  <c r="V96" i="62"/>
  <c r="W96" i="62"/>
  <c r="Z96" i="62"/>
  <c r="AA96" i="62"/>
  <c r="AB96" i="62"/>
  <c r="AC96" i="62"/>
  <c r="AD96" i="62"/>
  <c r="AH96" i="62"/>
  <c r="AI96" i="62"/>
  <c r="AJ96" i="62"/>
  <c r="AK96" i="62"/>
  <c r="AO96" i="62"/>
  <c r="AQ96" i="62"/>
  <c r="AR96" i="62"/>
  <c r="AS96" i="62"/>
  <c r="AT96" i="62"/>
  <c r="AZ96" i="62"/>
  <c r="BD96" i="62"/>
  <c r="F97" i="62"/>
  <c r="BB97" i="62" s="1"/>
  <c r="N97" i="62"/>
  <c r="X97" i="62"/>
  <c r="Y97" i="62"/>
  <c r="AF97" i="62"/>
  <c r="AG97" i="62"/>
  <c r="AG96" i="62" s="1"/>
  <c r="AM97" i="62"/>
  <c r="AN97" i="62"/>
  <c r="AP97" i="62"/>
  <c r="AW97" i="62"/>
  <c r="AZ97" i="62"/>
  <c r="BC97" i="62"/>
  <c r="BF97" i="62"/>
  <c r="BG97" i="62" s="1"/>
  <c r="F98" i="62"/>
  <c r="BB98" i="62" s="1"/>
  <c r="N98" i="62"/>
  <c r="G98" i="62" s="1"/>
  <c r="X98" i="62"/>
  <c r="Y98" i="62"/>
  <c r="AU98" i="62" s="1"/>
  <c r="AF98" i="62"/>
  <c r="AG98" i="62"/>
  <c r="AM98" i="62"/>
  <c r="AN98" i="62"/>
  <c r="AP98" i="62"/>
  <c r="AW98" i="62"/>
  <c r="AZ98" i="62"/>
  <c r="BC98" i="62"/>
  <c r="BF98" i="62"/>
  <c r="BG98" i="62" s="1"/>
  <c r="F99" i="62"/>
  <c r="G99" i="62"/>
  <c r="Y99" i="62"/>
  <c r="AF99" i="62"/>
  <c r="AG99" i="62"/>
  <c r="AN99" i="62"/>
  <c r="D99" i="62" s="1"/>
  <c r="AP99" i="62"/>
  <c r="AU99" i="62"/>
  <c r="AZ99" i="62"/>
  <c r="BF99" i="62"/>
  <c r="G100" i="62"/>
  <c r="Y100" i="62"/>
  <c r="AF100" i="62"/>
  <c r="F100" i="62" s="1"/>
  <c r="BB100" i="62" s="1"/>
  <c r="AG100" i="62"/>
  <c r="AP100" i="62"/>
  <c r="AN100" i="62" s="1"/>
  <c r="AZ100" i="62"/>
  <c r="BF100" i="62"/>
  <c r="AZ101" i="62"/>
  <c r="G102" i="62"/>
  <c r="H102" i="62"/>
  <c r="I102" i="62"/>
  <c r="J102" i="62"/>
  <c r="K102" i="62"/>
  <c r="L102" i="62"/>
  <c r="M102" i="62"/>
  <c r="N102" i="62"/>
  <c r="O102" i="62"/>
  <c r="P102" i="62"/>
  <c r="Q102" i="62"/>
  <c r="R102" i="62"/>
  <c r="S102" i="62"/>
  <c r="T102" i="62"/>
  <c r="U102" i="62"/>
  <c r="V102" i="62"/>
  <c r="W102" i="62"/>
  <c r="AF102" i="62"/>
  <c r="AH102" i="62"/>
  <c r="AI102" i="62"/>
  <c r="AJ102" i="62"/>
  <c r="AK102" i="62"/>
  <c r="AO102" i="62"/>
  <c r="AP102" i="62"/>
  <c r="AQ102" i="62"/>
  <c r="AR102" i="62"/>
  <c r="AS102" i="62"/>
  <c r="AT102" i="62"/>
  <c r="AZ102" i="62"/>
  <c r="BD102" i="62"/>
  <c r="BF102" i="62"/>
  <c r="BG102" i="62" s="1"/>
  <c r="F103" i="62"/>
  <c r="G103" i="62"/>
  <c r="X103" i="62"/>
  <c r="Y103" i="62"/>
  <c r="AF103" i="62"/>
  <c r="AG103" i="62"/>
  <c r="AN103" i="62"/>
  <c r="AP103" i="62"/>
  <c r="AW103" i="62"/>
  <c r="AZ103" i="62"/>
  <c r="BF103" i="62"/>
  <c r="BG103" i="62" s="1"/>
  <c r="F104" i="62"/>
  <c r="BB104" i="62" s="1"/>
  <c r="G104" i="62"/>
  <c r="X104" i="62"/>
  <c r="Y104" i="62"/>
  <c r="AF104" i="62"/>
  <c r="AG104" i="62"/>
  <c r="AM104" i="62" s="1"/>
  <c r="AN104" i="62"/>
  <c r="D104" i="62" s="1"/>
  <c r="AP104" i="62"/>
  <c r="AU104" i="62"/>
  <c r="AW104" i="62"/>
  <c r="AZ104" i="62"/>
  <c r="BC104" i="62"/>
  <c r="BF104" i="62"/>
  <c r="F105" i="62"/>
  <c r="G105" i="62"/>
  <c r="X105" i="62"/>
  <c r="Y105" i="62"/>
  <c r="AF105" i="62"/>
  <c r="AG105" i="62"/>
  <c r="AM105" i="62"/>
  <c r="AP105" i="62"/>
  <c r="AN105" i="62" s="1"/>
  <c r="AU105" i="62" s="1"/>
  <c r="AW105" i="62"/>
  <c r="AZ105" i="62"/>
  <c r="BB105" i="62"/>
  <c r="BF105" i="62"/>
  <c r="BF106" i="62"/>
  <c r="H107" i="62"/>
  <c r="I107" i="62"/>
  <c r="J107" i="62"/>
  <c r="K107" i="62"/>
  <c r="L107" i="62"/>
  <c r="M107" i="62"/>
  <c r="O107" i="62"/>
  <c r="P107" i="62"/>
  <c r="Q107" i="62"/>
  <c r="R107" i="62"/>
  <c r="S107" i="62"/>
  <c r="U107" i="62"/>
  <c r="V107" i="62"/>
  <c r="W107" i="62"/>
  <c r="Z107" i="62"/>
  <c r="AA107" i="62"/>
  <c r="AB107" i="62"/>
  <c r="AC107" i="62"/>
  <c r="AD107" i="62"/>
  <c r="AH107" i="62"/>
  <c r="AI107" i="62"/>
  <c r="AJ107" i="62"/>
  <c r="AK107" i="62"/>
  <c r="AO107" i="62"/>
  <c r="AQ107" i="62"/>
  <c r="AR107" i="62"/>
  <c r="AS107" i="62"/>
  <c r="AT107" i="62"/>
  <c r="BD107" i="62"/>
  <c r="F108" i="62"/>
  <c r="T108" i="62"/>
  <c r="X108" i="62"/>
  <c r="Y108" i="62"/>
  <c r="AF108" i="62"/>
  <c r="AF107" i="62" s="1"/>
  <c r="AG108" i="62"/>
  <c r="AP108" i="62"/>
  <c r="AW108" i="62"/>
  <c r="AZ108" i="62"/>
  <c r="F109" i="62"/>
  <c r="G109" i="62"/>
  <c r="X109" i="62"/>
  <c r="Y109" i="62"/>
  <c r="AG109" i="62"/>
  <c r="AN109" i="62"/>
  <c r="AP109" i="62"/>
  <c r="AW109" i="62"/>
  <c r="AZ109" i="62"/>
  <c r="BF109" i="62"/>
  <c r="N110" i="62"/>
  <c r="X110" i="62"/>
  <c r="F110" i="62" s="1"/>
  <c r="Y110" i="62"/>
  <c r="AG110" i="62"/>
  <c r="AN110" i="62"/>
  <c r="AP110" i="62"/>
  <c r="AZ110" i="62"/>
  <c r="X113" i="62"/>
  <c r="AF113" i="62"/>
  <c r="AM113" i="62"/>
  <c r="AW113" i="62"/>
  <c r="AZ113" i="62"/>
  <c r="BF113" i="62"/>
  <c r="BG113" i="62" s="1"/>
  <c r="X114" i="62"/>
  <c r="AF114" i="62"/>
  <c r="AM114" i="62"/>
  <c r="AW114" i="62"/>
  <c r="AZ114" i="62"/>
  <c r="BF114" i="62"/>
  <c r="BG114" i="62" s="1"/>
  <c r="H115" i="62"/>
  <c r="I115" i="62"/>
  <c r="J115" i="62"/>
  <c r="K115" i="62"/>
  <c r="L115" i="62"/>
  <c r="N115" i="62"/>
  <c r="O115" i="62"/>
  <c r="P115" i="62"/>
  <c r="Q115" i="62"/>
  <c r="R115" i="62"/>
  <c r="S115" i="62"/>
  <c r="T115" i="62"/>
  <c r="U115" i="62"/>
  <c r="V115" i="62"/>
  <c r="Z115" i="62"/>
  <c r="AB115" i="62"/>
  <c r="AC115" i="62"/>
  <c r="AD115" i="62"/>
  <c r="AH115" i="62"/>
  <c r="AI115" i="62"/>
  <c r="AJ115" i="62"/>
  <c r="AK115" i="62"/>
  <c r="AM115" i="62"/>
  <c r="AO115" i="62"/>
  <c r="AQ115" i="62"/>
  <c r="AR115" i="62"/>
  <c r="AS115" i="62"/>
  <c r="AT115" i="62"/>
  <c r="AZ115" i="62"/>
  <c r="BD115" i="62"/>
  <c r="AF116" i="62"/>
  <c r="F117" i="62"/>
  <c r="G117" i="62"/>
  <c r="X117" i="62"/>
  <c r="Y117" i="62"/>
  <c r="AG117" i="62"/>
  <c r="AG115" i="62" s="1"/>
  <c r="AN117" i="62"/>
  <c r="AP117" i="62"/>
  <c r="AZ117" i="62"/>
  <c r="BB117" i="62"/>
  <c r="BF117" i="62"/>
  <c r="BG117" i="62" s="1"/>
  <c r="G118" i="62"/>
  <c r="X118" i="62"/>
  <c r="Y118" i="62"/>
  <c r="AF118" i="62"/>
  <c r="AG118" i="62"/>
  <c r="AM118" i="62"/>
  <c r="AP118" i="62"/>
  <c r="AZ118" i="62"/>
  <c r="F119" i="62"/>
  <c r="X119" i="62"/>
  <c r="Y119" i="62"/>
  <c r="AF119" i="62"/>
  <c r="AG119" i="62"/>
  <c r="AM119" i="62"/>
  <c r="AP119" i="62"/>
  <c r="AN119" i="62" s="1"/>
  <c r="AZ119" i="62"/>
  <c r="BB119" i="62"/>
  <c r="BF119" i="62"/>
  <c r="F120" i="62"/>
  <c r="G120" i="62"/>
  <c r="X120" i="62"/>
  <c r="Y120" i="62"/>
  <c r="AG120" i="62"/>
  <c r="AN120" i="62"/>
  <c r="AP120" i="62"/>
  <c r="AZ120" i="62"/>
  <c r="BB120" i="62"/>
  <c r="BC120" i="62" s="1"/>
  <c r="F121" i="62"/>
  <c r="G121" i="62"/>
  <c r="X121" i="62"/>
  <c r="Y121" i="62"/>
  <c r="AF121" i="62"/>
  <c r="AG121" i="62"/>
  <c r="AN121" i="62"/>
  <c r="AP121" i="62"/>
  <c r="AU121" i="62"/>
  <c r="AZ121" i="62"/>
  <c r="F122" i="62"/>
  <c r="G122" i="62"/>
  <c r="X122" i="62"/>
  <c r="Y122" i="62"/>
  <c r="AA122" i="62"/>
  <c r="AF122" i="62"/>
  <c r="AG122" i="62"/>
  <c r="AU122" i="62" s="1"/>
  <c r="AN122" i="62"/>
  <c r="AP122" i="62"/>
  <c r="AW122" i="62"/>
  <c r="AZ122" i="62"/>
  <c r="BB122" i="62"/>
  <c r="BC122" i="62"/>
  <c r="BF122" i="62"/>
  <c r="BG122" i="62" s="1"/>
  <c r="F123" i="62"/>
  <c r="M123" i="62"/>
  <c r="W123" i="62"/>
  <c r="W115" i="62" s="1"/>
  <c r="X123" i="62"/>
  <c r="AA123" i="62"/>
  <c r="Y123" i="62" s="1"/>
  <c r="AF123" i="62"/>
  <c r="AG123" i="62"/>
  <c r="AN123" i="62"/>
  <c r="AP123" i="62"/>
  <c r="AW123" i="62"/>
  <c r="AZ123" i="62"/>
  <c r="BF123" i="62"/>
  <c r="BG123" i="62" s="1"/>
  <c r="F124" i="62"/>
  <c r="BB124" i="62" s="1"/>
  <c r="G124" i="62"/>
  <c r="X124" i="62"/>
  <c r="Y124" i="62"/>
  <c r="AG124" i="62"/>
  <c r="AP124" i="62"/>
  <c r="AN124" i="62" s="1"/>
  <c r="AU124" i="62" s="1"/>
  <c r="AZ124" i="62"/>
  <c r="BC124" i="62"/>
  <c r="BF124" i="62"/>
  <c r="BG124" i="62" s="1"/>
  <c r="M126" i="62"/>
  <c r="R126" i="62"/>
  <c r="S126" i="62"/>
  <c r="T126" i="62"/>
  <c r="U126" i="62"/>
  <c r="V126" i="62"/>
  <c r="W126" i="62"/>
  <c r="Y126" i="62"/>
  <c r="Z126" i="62"/>
  <c r="AA126" i="62"/>
  <c r="AB126" i="62"/>
  <c r="AC126" i="62"/>
  <c r="AD126" i="62"/>
  <c r="AH126" i="62"/>
  <c r="AI126" i="62"/>
  <c r="AJ126" i="62"/>
  <c r="AK126" i="62"/>
  <c r="AO126" i="62"/>
  <c r="AQ126" i="62"/>
  <c r="AR126" i="62"/>
  <c r="AS126" i="62"/>
  <c r="AT126" i="62"/>
  <c r="BD126" i="62"/>
  <c r="F127" i="62"/>
  <c r="G127" i="62"/>
  <c r="X127" i="62"/>
  <c r="Y127" i="62"/>
  <c r="AF127" i="62"/>
  <c r="AG127" i="62"/>
  <c r="AP127" i="62"/>
  <c r="AN127" i="62" s="1"/>
  <c r="AZ127" i="62"/>
  <c r="F128" i="62"/>
  <c r="G128" i="62"/>
  <c r="X128" i="62"/>
  <c r="Y128" i="62"/>
  <c r="AG128" i="62"/>
  <c r="AM128" i="62"/>
  <c r="AM126" i="62" s="1"/>
  <c r="AP128" i="62"/>
  <c r="AN128" i="62" s="1"/>
  <c r="AZ128" i="62"/>
  <c r="BB128" i="62"/>
  <c r="BC128" i="62" s="1"/>
  <c r="G129" i="62"/>
  <c r="AF129" i="62"/>
  <c r="AW129" i="62"/>
  <c r="M130" i="62"/>
  <c r="R130" i="62"/>
  <c r="S130" i="62"/>
  <c r="T130" i="62"/>
  <c r="U130" i="62"/>
  <c r="V130" i="62"/>
  <c r="W130" i="62"/>
  <c r="Z130" i="62"/>
  <c r="AA130" i="62"/>
  <c r="AB130" i="62"/>
  <c r="AC130" i="62"/>
  <c r="AD130" i="62"/>
  <c r="AH130" i="62"/>
  <c r="AI130" i="62"/>
  <c r="AI63" i="62" s="1"/>
  <c r="AJ130" i="62"/>
  <c r="AK130" i="62"/>
  <c r="AM130" i="62"/>
  <c r="AO130" i="62"/>
  <c r="AP130" i="62"/>
  <c r="AQ130" i="62"/>
  <c r="AR130" i="62"/>
  <c r="AS130" i="62"/>
  <c r="AT130" i="62"/>
  <c r="BD130" i="62"/>
  <c r="F131" i="62"/>
  <c r="BB131" i="62" s="1"/>
  <c r="G131" i="62"/>
  <c r="X131" i="62"/>
  <c r="Y131" i="62"/>
  <c r="AF131" i="62"/>
  <c r="AG131" i="62"/>
  <c r="AN131" i="62"/>
  <c r="D131" i="62" s="1"/>
  <c r="AP131" i="62"/>
  <c r="AU131" i="62"/>
  <c r="AZ131" i="62"/>
  <c r="BF131" i="62"/>
  <c r="F132" i="62"/>
  <c r="G132" i="62"/>
  <c r="X132" i="62"/>
  <c r="Y132" i="62"/>
  <c r="AF132" i="62"/>
  <c r="AG132" i="62"/>
  <c r="D132" i="62" s="1"/>
  <c r="AP132" i="62"/>
  <c r="AN132" i="62" s="1"/>
  <c r="AZ132" i="62"/>
  <c r="BF132" i="62"/>
  <c r="F133" i="62"/>
  <c r="G133" i="62"/>
  <c r="X133" i="62"/>
  <c r="Y133" i="62"/>
  <c r="Y130" i="62" s="1"/>
  <c r="AF130" i="62" s="1"/>
  <c r="AF133" i="62"/>
  <c r="AG133" i="62"/>
  <c r="AN133" i="62"/>
  <c r="AW133" i="62" s="1"/>
  <c r="AP133" i="62"/>
  <c r="AU133" i="62"/>
  <c r="AZ133" i="62"/>
  <c r="BB133" i="62"/>
  <c r="BF133" i="62"/>
  <c r="H138" i="62"/>
  <c r="I138" i="62"/>
  <c r="I136" i="62" s="1"/>
  <c r="J138" i="62"/>
  <c r="K138" i="62"/>
  <c r="K136" i="62" s="1"/>
  <c r="L138" i="62"/>
  <c r="M138" i="62"/>
  <c r="M136" i="62" s="1"/>
  <c r="O138" i="62"/>
  <c r="O136" i="62" s="1"/>
  <c r="P138" i="62"/>
  <c r="Q138" i="62"/>
  <c r="Q136" i="62" s="1"/>
  <c r="R138" i="62"/>
  <c r="S138" i="62"/>
  <c r="S136" i="62" s="1"/>
  <c r="T138" i="62"/>
  <c r="U138" i="62"/>
  <c r="U136" i="62" s="1"/>
  <c r="V138" i="62"/>
  <c r="W138" i="62"/>
  <c r="W136" i="62" s="1"/>
  <c r="Z138" i="62"/>
  <c r="AA138" i="62"/>
  <c r="AA136" i="62" s="1"/>
  <c r="AB138" i="62"/>
  <c r="AC138" i="62"/>
  <c r="AC136" i="62" s="1"/>
  <c r="AD138" i="62"/>
  <c r="AH138" i="62"/>
  <c r="AI138" i="62"/>
  <c r="AI136" i="62" s="1"/>
  <c r="AJ138" i="62"/>
  <c r="AK138" i="62"/>
  <c r="AO138" i="62"/>
  <c r="AO136" i="62" s="1"/>
  <c r="AQ138" i="62"/>
  <c r="AR138" i="62"/>
  <c r="AS138" i="62"/>
  <c r="AT138" i="62"/>
  <c r="BD138" i="62"/>
  <c r="F139" i="62"/>
  <c r="F138" i="62" s="1"/>
  <c r="G139" i="62"/>
  <c r="X139" i="62"/>
  <c r="Y139" i="62"/>
  <c r="Y138" i="62" s="1"/>
  <c r="AF139" i="62"/>
  <c r="AG139" i="62"/>
  <c r="AM139" i="62"/>
  <c r="AP139" i="62"/>
  <c r="AZ139" i="62"/>
  <c r="F140" i="62"/>
  <c r="G140" i="62"/>
  <c r="X140" i="62"/>
  <c r="Y140" i="62"/>
  <c r="AF140" i="62" s="1"/>
  <c r="AG140" i="62"/>
  <c r="AM140" i="62"/>
  <c r="AP140" i="62"/>
  <c r="AN140" i="62" s="1"/>
  <c r="AZ140" i="62"/>
  <c r="BB140" i="62"/>
  <c r="BF140" i="62"/>
  <c r="F141" i="62"/>
  <c r="G141" i="62"/>
  <c r="N141" i="62"/>
  <c r="N138" i="62" s="1"/>
  <c r="X141" i="62"/>
  <c r="Y141" i="62"/>
  <c r="AF141" i="62"/>
  <c r="AG141" i="62"/>
  <c r="AG138" i="62" s="1"/>
  <c r="AM141" i="62"/>
  <c r="AP141" i="62"/>
  <c r="AN141" i="62" s="1"/>
  <c r="AU141" i="62" s="1"/>
  <c r="AW141" i="62"/>
  <c r="AZ141" i="62"/>
  <c r="F142" i="62"/>
  <c r="G142" i="62"/>
  <c r="X142" i="62"/>
  <c r="Y142" i="62"/>
  <c r="AG142" i="62"/>
  <c r="AM142" i="62"/>
  <c r="AP142" i="62"/>
  <c r="AN142" i="62" s="1"/>
  <c r="AW142" i="62"/>
  <c r="AZ142" i="62"/>
  <c r="BB142" i="62"/>
  <c r="BC142" i="62" s="1"/>
  <c r="F144" i="62"/>
  <c r="H144" i="62"/>
  <c r="I144" i="62"/>
  <c r="J144" i="62"/>
  <c r="K144" i="62"/>
  <c r="L144" i="62"/>
  <c r="M144" i="62"/>
  <c r="N144" i="62"/>
  <c r="O144" i="62"/>
  <c r="P144" i="62"/>
  <c r="Q144" i="62"/>
  <c r="Z144" i="62"/>
  <c r="AA144" i="62"/>
  <c r="AB144" i="62"/>
  <c r="AC144" i="62"/>
  <c r="AD144" i="62"/>
  <c r="AF144" i="62"/>
  <c r="AH144" i="62"/>
  <c r="AH136" i="62" s="1"/>
  <c r="AI144" i="62"/>
  <c r="AJ144" i="62"/>
  <c r="AJ136" i="62" s="1"/>
  <c r="AK144" i="62"/>
  <c r="AO144" i="62"/>
  <c r="AP144" i="62"/>
  <c r="AQ144" i="62"/>
  <c r="AR144" i="62"/>
  <c r="AR136" i="62" s="1"/>
  <c r="AS144" i="62"/>
  <c r="AT144" i="62"/>
  <c r="AZ144" i="62"/>
  <c r="BD144" i="62"/>
  <c r="D145" i="62"/>
  <c r="D144" i="62" s="1"/>
  <c r="F145" i="62"/>
  <c r="BB145" i="62" s="1"/>
  <c r="G145" i="62"/>
  <c r="E145" i="62" s="1"/>
  <c r="X145" i="62"/>
  <c r="X144" i="62" s="1"/>
  <c r="Y145" i="62"/>
  <c r="Y144" i="62" s="1"/>
  <c r="AG145" i="62"/>
  <c r="AG144" i="62" s="1"/>
  <c r="AM145" i="62"/>
  <c r="AM144" i="62" s="1"/>
  <c r="AN145" i="62"/>
  <c r="AN144" i="62" s="1"/>
  <c r="AP145" i="62"/>
  <c r="AU145" i="62"/>
  <c r="AU144" i="62" s="1"/>
  <c r="AW145" i="62"/>
  <c r="AZ145" i="62"/>
  <c r="BC145" i="62"/>
  <c r="BD145" i="62"/>
  <c r="BF145" i="62"/>
  <c r="BG145" i="62"/>
  <c r="H147" i="62"/>
  <c r="I147" i="62"/>
  <c r="J147" i="62"/>
  <c r="K147" i="62"/>
  <c r="L147" i="62"/>
  <c r="L136" i="62" s="1"/>
  <c r="M147" i="62"/>
  <c r="N147" i="62"/>
  <c r="O147" i="62"/>
  <c r="P147" i="62"/>
  <c r="P136" i="62" s="1"/>
  <c r="Q147" i="62"/>
  <c r="R147" i="62"/>
  <c r="S147" i="62"/>
  <c r="T147" i="62"/>
  <c r="T136" i="62" s="1"/>
  <c r="U147" i="62"/>
  <c r="V147" i="62"/>
  <c r="W147" i="62"/>
  <c r="Z147" i="62"/>
  <c r="Z136" i="62" s="1"/>
  <c r="AA147" i="62"/>
  <c r="AB147" i="62"/>
  <c r="AB136" i="62" s="1"/>
  <c r="AC147" i="62"/>
  <c r="AD147" i="62"/>
  <c r="AD136" i="62" s="1"/>
  <c r="AF147" i="62"/>
  <c r="AH147" i="62"/>
  <c r="AI147" i="62"/>
  <c r="AJ147" i="62"/>
  <c r="AO147" i="62"/>
  <c r="AQ147" i="62"/>
  <c r="AR147" i="62"/>
  <c r="AS147" i="62"/>
  <c r="AT147" i="62"/>
  <c r="AT136" i="62" s="1"/>
  <c r="BD147" i="62"/>
  <c r="F148" i="62"/>
  <c r="BB148" i="62" s="1"/>
  <c r="G148" i="62"/>
  <c r="X148" i="62"/>
  <c r="Y148" i="62"/>
  <c r="AF148" i="62"/>
  <c r="AJ148" i="62"/>
  <c r="AK148" i="62"/>
  <c r="AK147" i="62" s="1"/>
  <c r="AN148" i="62"/>
  <c r="AP148" i="62"/>
  <c r="AW148" i="62"/>
  <c r="AZ148" i="62"/>
  <c r="BC148" i="62"/>
  <c r="BD148" i="62"/>
  <c r="BF148" i="62"/>
  <c r="BG148" i="62"/>
  <c r="F149" i="62"/>
  <c r="G149" i="62"/>
  <c r="X149" i="62"/>
  <c r="Y149" i="62"/>
  <c r="AF149" i="62"/>
  <c r="AG149" i="62"/>
  <c r="AN149" i="62"/>
  <c r="AW149" i="62" s="1"/>
  <c r="AP149" i="62"/>
  <c r="AU149" i="62"/>
  <c r="AZ149" i="62"/>
  <c r="BB149" i="62"/>
  <c r="BF149" i="62"/>
  <c r="F150" i="62"/>
  <c r="G150" i="62"/>
  <c r="X150" i="62"/>
  <c r="Y150" i="62"/>
  <c r="AF150" i="62"/>
  <c r="AG150" i="62"/>
  <c r="AP150" i="62"/>
  <c r="AN150" i="62" s="1"/>
  <c r="AZ150" i="62"/>
  <c r="BB150" i="62"/>
  <c r="BF150" i="62"/>
  <c r="BG150" i="62" s="1"/>
  <c r="F151" i="62"/>
  <c r="G151" i="62"/>
  <c r="X151" i="62"/>
  <c r="Y151" i="62"/>
  <c r="AG151" i="62"/>
  <c r="AP151" i="62"/>
  <c r="AN151" i="62" s="1"/>
  <c r="AU151" i="62" s="1"/>
  <c r="AW151" i="62"/>
  <c r="AZ151" i="62"/>
  <c r="F152" i="62"/>
  <c r="G152" i="62"/>
  <c r="X152" i="62"/>
  <c r="Y152" i="62"/>
  <c r="AF152" i="62" s="1"/>
  <c r="AG152" i="62"/>
  <c r="AN152" i="62"/>
  <c r="AP152" i="62"/>
  <c r="AW152" i="62"/>
  <c r="AZ152" i="62"/>
  <c r="BB152" i="62"/>
  <c r="BF152" i="62"/>
  <c r="F153" i="62"/>
  <c r="G153" i="62"/>
  <c r="X153" i="62"/>
  <c r="Y153" i="62"/>
  <c r="AF153" i="62"/>
  <c r="AG153" i="62"/>
  <c r="D153" i="62" s="1"/>
  <c r="AP153" i="62"/>
  <c r="AN153" i="62" s="1"/>
  <c r="AZ153" i="62"/>
  <c r="F154" i="62"/>
  <c r="G154" i="62"/>
  <c r="X154" i="62"/>
  <c r="Y154" i="62"/>
  <c r="AF154" i="62" s="1"/>
  <c r="AG154" i="62"/>
  <c r="AN154" i="62"/>
  <c r="AP154" i="62"/>
  <c r="AW154" i="62"/>
  <c r="AZ154" i="62"/>
  <c r="BB154" i="62"/>
  <c r="BC154" i="62"/>
  <c r="BF154" i="62"/>
  <c r="BG154" i="62" s="1"/>
  <c r="H156" i="62"/>
  <c r="I156" i="62"/>
  <c r="J156" i="62"/>
  <c r="K156" i="62"/>
  <c r="L156" i="62"/>
  <c r="M156" i="62"/>
  <c r="N156" i="62"/>
  <c r="O156" i="62"/>
  <c r="P156" i="62"/>
  <c r="Q156" i="62"/>
  <c r="R156" i="62"/>
  <c r="S156" i="62"/>
  <c r="T156" i="62"/>
  <c r="U156" i="62"/>
  <c r="V156" i="62"/>
  <c r="W156" i="62"/>
  <c r="Z156" i="62"/>
  <c r="AA156" i="62"/>
  <c r="AB156" i="62"/>
  <c r="AC156" i="62"/>
  <c r="AD156" i="62"/>
  <c r="AF156" i="62"/>
  <c r="AH156" i="62"/>
  <c r="AI156" i="62"/>
  <c r="AJ156" i="62"/>
  <c r="AK156" i="62"/>
  <c r="AO156" i="62"/>
  <c r="AQ156" i="62"/>
  <c r="AR156" i="62"/>
  <c r="AS156" i="62"/>
  <c r="AT156" i="62"/>
  <c r="AZ156" i="62"/>
  <c r="BD156" i="62"/>
  <c r="F157" i="62"/>
  <c r="BB157" i="62" s="1"/>
  <c r="G157" i="62"/>
  <c r="X157" i="62"/>
  <c r="Y157" i="62"/>
  <c r="Y156" i="62" s="1"/>
  <c r="AG157" i="62"/>
  <c r="AG156" i="62" s="1"/>
  <c r="AP157" i="62"/>
  <c r="AZ157" i="62"/>
  <c r="BC157" i="62"/>
  <c r="BF157" i="62"/>
  <c r="BG157" i="62" s="1"/>
  <c r="F158" i="62"/>
  <c r="BB158" i="62" s="1"/>
  <c r="G158" i="62"/>
  <c r="X158" i="62"/>
  <c r="Y158" i="62"/>
  <c r="AG158" i="62"/>
  <c r="AP158" i="62"/>
  <c r="AN158" i="62" s="1"/>
  <c r="AU158" i="62" s="1"/>
  <c r="AZ158" i="62"/>
  <c r="BC158" i="62"/>
  <c r="BF158" i="62"/>
  <c r="BG158" i="62" s="1"/>
  <c r="H160" i="62"/>
  <c r="I160" i="62"/>
  <c r="J160" i="62"/>
  <c r="J136" i="62" s="1"/>
  <c r="K160" i="62"/>
  <c r="L160" i="62"/>
  <c r="M160" i="62"/>
  <c r="N160" i="62"/>
  <c r="N136" i="62" s="1"/>
  <c r="O160" i="62"/>
  <c r="P160" i="62"/>
  <c r="Q160" i="62"/>
  <c r="R160" i="62"/>
  <c r="R136" i="62" s="1"/>
  <c r="S160" i="62"/>
  <c r="T160" i="62"/>
  <c r="U160" i="62"/>
  <c r="V160" i="62"/>
  <c r="V136" i="62" s="1"/>
  <c r="W160" i="62"/>
  <c r="Z160" i="62"/>
  <c r="AA160" i="62"/>
  <c r="AB160" i="62"/>
  <c r="AC160" i="62"/>
  <c r="AD160" i="62"/>
  <c r="AH160" i="62"/>
  <c r="AI160" i="62"/>
  <c r="AJ160" i="62"/>
  <c r="AK160" i="62"/>
  <c r="AO160" i="62"/>
  <c r="AQ160" i="62"/>
  <c r="AR160" i="62"/>
  <c r="AS160" i="62"/>
  <c r="AT160" i="62"/>
  <c r="BD160" i="62"/>
  <c r="F161" i="62"/>
  <c r="BB161" i="62" s="1"/>
  <c r="BC161" i="62" s="1"/>
  <c r="N161" i="62"/>
  <c r="G161" i="62" s="1"/>
  <c r="X161" i="62"/>
  <c r="Y161" i="62"/>
  <c r="AF161" i="62"/>
  <c r="AG161" i="62"/>
  <c r="AM161" i="62"/>
  <c r="AN161" i="62"/>
  <c r="AN160" i="62" s="1"/>
  <c r="AP161" i="62"/>
  <c r="AU161" i="62"/>
  <c r="AW161" i="62"/>
  <c r="AZ161" i="62"/>
  <c r="BF161" i="62"/>
  <c r="BG161" i="62" s="1"/>
  <c r="F162" i="62"/>
  <c r="G162" i="62"/>
  <c r="X162" i="62"/>
  <c r="Y162" i="62"/>
  <c r="AG162" i="62"/>
  <c r="AN162" i="62"/>
  <c r="D162" i="62" s="1"/>
  <c r="AP162" i="62"/>
  <c r="AU162" i="62"/>
  <c r="AZ162" i="62"/>
  <c r="BF162" i="62"/>
  <c r="F163" i="62"/>
  <c r="G163" i="62"/>
  <c r="N163" i="62"/>
  <c r="X163" i="62"/>
  <c r="Y163" i="62"/>
  <c r="AF163" i="62"/>
  <c r="AG163" i="62"/>
  <c r="AM163" i="62"/>
  <c r="AP163" i="62"/>
  <c r="AN163" i="62" s="1"/>
  <c r="AU163" i="62" s="1"/>
  <c r="AW163" i="62"/>
  <c r="AZ163" i="62"/>
  <c r="BB163" i="62"/>
  <c r="BC163" i="62" s="1"/>
  <c r="F164" i="62"/>
  <c r="G164" i="62"/>
  <c r="X164" i="62"/>
  <c r="Y164" i="62"/>
  <c r="AG164" i="62"/>
  <c r="AP164" i="62"/>
  <c r="AN164" i="62" s="1"/>
  <c r="AZ164" i="62"/>
  <c r="BB164" i="62"/>
  <c r="BC164" i="62"/>
  <c r="BF164" i="62"/>
  <c r="BG164" i="62" s="1"/>
  <c r="F165" i="62"/>
  <c r="N165" i="62"/>
  <c r="G165" i="62" s="1"/>
  <c r="X165" i="62"/>
  <c r="Y165" i="62"/>
  <c r="AF165" i="62"/>
  <c r="AG165" i="62"/>
  <c r="AM165" i="62"/>
  <c r="AN165" i="62"/>
  <c r="AP165" i="62"/>
  <c r="AU165" i="62"/>
  <c r="AZ165" i="62"/>
  <c r="F166" i="62"/>
  <c r="G166" i="62"/>
  <c r="X166" i="62"/>
  <c r="Y166" i="62"/>
  <c r="AG166" i="62"/>
  <c r="AP166" i="62"/>
  <c r="AN166" i="62" s="1"/>
  <c r="AU166" i="62" s="1"/>
  <c r="AZ166" i="62"/>
  <c r="BB166" i="62"/>
  <c r="BF166" i="62"/>
  <c r="BG166" i="62"/>
  <c r="F167" i="62"/>
  <c r="G167" i="62"/>
  <c r="X167" i="62"/>
  <c r="Y167" i="62"/>
  <c r="AF167" i="62"/>
  <c r="AG167" i="62"/>
  <c r="AP167" i="62"/>
  <c r="AN167" i="62" s="1"/>
  <c r="AU167" i="62" s="1"/>
  <c r="AZ167" i="62"/>
  <c r="BB167" i="62"/>
  <c r="BF167" i="62"/>
  <c r="F168" i="62"/>
  <c r="BB168" i="62" s="1"/>
  <c r="BC168" i="62" s="1"/>
  <c r="G168" i="62"/>
  <c r="X168" i="62"/>
  <c r="Y168" i="62"/>
  <c r="AG168" i="62"/>
  <c r="AM168" i="62"/>
  <c r="AN168" i="62"/>
  <c r="D168" i="62" s="1"/>
  <c r="AP168" i="62"/>
  <c r="AU168" i="62"/>
  <c r="AW168" i="62"/>
  <c r="AZ168" i="62"/>
  <c r="BF168" i="62"/>
  <c r="BG168" i="62" s="1"/>
  <c r="H171" i="62"/>
  <c r="J171" i="62"/>
  <c r="L171" i="62"/>
  <c r="N171" i="62"/>
  <c r="P171" i="62"/>
  <c r="R171" i="62"/>
  <c r="T171" i="62"/>
  <c r="V171" i="62"/>
  <c r="Z171" i="62"/>
  <c r="AB171" i="62"/>
  <c r="AD171" i="62"/>
  <c r="AI171" i="62"/>
  <c r="AT171" i="62"/>
  <c r="H173" i="62"/>
  <c r="I173" i="62"/>
  <c r="I171" i="62" s="1"/>
  <c r="J173" i="62"/>
  <c r="K173" i="62"/>
  <c r="K171" i="62" s="1"/>
  <c r="L173" i="62"/>
  <c r="M173" i="62"/>
  <c r="M171" i="62" s="1"/>
  <c r="N173" i="62"/>
  <c r="O173" i="62"/>
  <c r="O171" i="62" s="1"/>
  <c r="P173" i="62"/>
  <c r="Q173" i="62"/>
  <c r="Q171" i="62" s="1"/>
  <c r="R173" i="62"/>
  <c r="S173" i="62"/>
  <c r="S171" i="62" s="1"/>
  <c r="T173" i="62"/>
  <c r="U173" i="62"/>
  <c r="U171" i="62" s="1"/>
  <c r="V173" i="62"/>
  <c r="W173" i="62"/>
  <c r="W171" i="62" s="1"/>
  <c r="Y173" i="62"/>
  <c r="Y171" i="62" s="1"/>
  <c r="AF171" i="62" s="1"/>
  <c r="Z173" i="62"/>
  <c r="AA173" i="62"/>
  <c r="AA171" i="62" s="1"/>
  <c r="AB173" i="62"/>
  <c r="AC173" i="62"/>
  <c r="AC171" i="62" s="1"/>
  <c r="AD173" i="62"/>
  <c r="AF173" i="62"/>
  <c r="AH173" i="62"/>
  <c r="AI173" i="62"/>
  <c r="AO173" i="62"/>
  <c r="AT173" i="62"/>
  <c r="BD173" i="62"/>
  <c r="G174" i="62"/>
  <c r="AF174" i="62"/>
  <c r="AG174" i="62"/>
  <c r="AM174" i="62" s="1"/>
  <c r="AW174" i="62"/>
  <c r="AZ174" i="62"/>
  <c r="G175" i="62"/>
  <c r="AF175" i="62"/>
  <c r="AG175" i="62"/>
  <c r="AM175" i="62" s="1"/>
  <c r="AW175" i="62"/>
  <c r="AZ175" i="62"/>
  <c r="G176" i="62"/>
  <c r="AF176" i="62"/>
  <c r="AG176" i="62"/>
  <c r="AM176" i="62" s="1"/>
  <c r="AW176" i="62"/>
  <c r="AZ176" i="62"/>
  <c r="G177" i="62"/>
  <c r="AF177" i="62"/>
  <c r="AG177" i="62"/>
  <c r="AM177" i="62" s="1"/>
  <c r="AW177" i="62"/>
  <c r="AZ177" i="62"/>
  <c r="G178" i="62"/>
  <c r="AF178" i="62"/>
  <c r="AG178" i="62"/>
  <c r="AM178" i="62" s="1"/>
  <c r="AW178" i="62"/>
  <c r="AZ178" i="62"/>
  <c r="F179" i="62"/>
  <c r="G179" i="62"/>
  <c r="X179" i="62"/>
  <c r="Y179" i="62"/>
  <c r="AF179" i="62"/>
  <c r="AG179" i="62"/>
  <c r="AG173" i="62" s="1"/>
  <c r="AG171" i="62" s="1"/>
  <c r="AM171" i="62" s="1"/>
  <c r="AM179" i="62"/>
  <c r="AP179" i="62"/>
  <c r="AW179" i="62"/>
  <c r="AW173" i="62" s="1"/>
  <c r="AZ179" i="62"/>
  <c r="BB179" i="62"/>
  <c r="BC179" i="62" s="1"/>
  <c r="G180" i="62"/>
  <c r="AF180" i="62"/>
  <c r="AW180" i="62"/>
  <c r="AZ180" i="62"/>
  <c r="BF180" i="62"/>
  <c r="E181" i="62"/>
  <c r="X181" i="62"/>
  <c r="AF181" i="62"/>
  <c r="AM181" i="62"/>
  <c r="AW181" i="62"/>
  <c r="G182" i="62"/>
  <c r="V182" i="62"/>
  <c r="X182" i="62"/>
  <c r="AF182" i="62"/>
  <c r="AH182" i="62"/>
  <c r="AI182" i="62"/>
  <c r="AJ182" i="62"/>
  <c r="AK182" i="62"/>
  <c r="AN182" i="62"/>
  <c r="AO182" i="62"/>
  <c r="AO180" i="62" s="1"/>
  <c r="AP182" i="62"/>
  <c r="AQ182" i="62"/>
  <c r="AR182" i="62"/>
  <c r="AS182" i="62"/>
  <c r="AS180" i="62" s="1"/>
  <c r="AS173" i="62" s="1"/>
  <c r="AS171" i="62" s="1"/>
  <c r="AT182" i="62"/>
  <c r="AU182" i="62"/>
  <c r="AW182" i="62"/>
  <c r="BD182" i="62"/>
  <c r="D183" i="62"/>
  <c r="D182" i="62" s="1"/>
  <c r="G183" i="62"/>
  <c r="E183" i="62" s="1"/>
  <c r="X183" i="62"/>
  <c r="AF183" i="62"/>
  <c r="AG183" i="62"/>
  <c r="AM183" i="62"/>
  <c r="AW183" i="62"/>
  <c r="AZ183" i="62"/>
  <c r="AZ182" i="62" s="1"/>
  <c r="BD183" i="62"/>
  <c r="BF183" i="62"/>
  <c r="BG183" i="62" s="1"/>
  <c r="Z185" i="62"/>
  <c r="AD185" i="62"/>
  <c r="AI185" i="62"/>
  <c r="AS185" i="62"/>
  <c r="H187" i="62"/>
  <c r="I187" i="62"/>
  <c r="I185" i="62" s="1"/>
  <c r="J187" i="62"/>
  <c r="J185" i="62" s="1"/>
  <c r="K187" i="62"/>
  <c r="K185" i="62" s="1"/>
  <c r="L187" i="62"/>
  <c r="L185" i="62" s="1"/>
  <c r="M187" i="62"/>
  <c r="M185" i="62" s="1"/>
  <c r="N187" i="62"/>
  <c r="N185" i="62" s="1"/>
  <c r="O187" i="62"/>
  <c r="O185" i="62" s="1"/>
  <c r="P187" i="62"/>
  <c r="P185" i="62" s="1"/>
  <c r="Q187" i="62"/>
  <c r="Q185" i="62" s="1"/>
  <c r="R187" i="62"/>
  <c r="R185" i="62" s="1"/>
  <c r="S187" i="62"/>
  <c r="S185" i="62" s="1"/>
  <c r="T187" i="62"/>
  <c r="T185" i="62" s="1"/>
  <c r="U187" i="62"/>
  <c r="U185" i="62" s="1"/>
  <c r="V187" i="62"/>
  <c r="V185" i="62" s="1"/>
  <c r="W187" i="62"/>
  <c r="W185" i="62" s="1"/>
  <c r="Z187" i="62"/>
  <c r="AA187" i="62"/>
  <c r="AA185" i="62" s="1"/>
  <c r="AB187" i="62"/>
  <c r="AB185" i="62" s="1"/>
  <c r="AC187" i="62"/>
  <c r="AC185" i="62" s="1"/>
  <c r="AD187" i="62"/>
  <c r="AI187" i="62"/>
  <c r="AJ187" i="62"/>
  <c r="AJ185" i="62" s="1"/>
  <c r="AK187" i="62"/>
  <c r="AK185" i="62" s="1"/>
  <c r="AK180" i="62" s="1"/>
  <c r="AK173" i="62" s="1"/>
  <c r="AK171" i="62" s="1"/>
  <c r="AO187" i="62"/>
  <c r="AO185" i="62" s="1"/>
  <c r="AQ187" i="62"/>
  <c r="AQ185" i="62" s="1"/>
  <c r="AR187" i="62"/>
  <c r="AR185" i="62" s="1"/>
  <c r="AS187" i="62"/>
  <c r="G188" i="62"/>
  <c r="X188" i="62" s="1"/>
  <c r="AF188" i="62"/>
  <c r="AH188" i="62"/>
  <c r="AH187" i="62" s="1"/>
  <c r="AH185" i="62" s="1"/>
  <c r="AI188" i="62"/>
  <c r="BD188" i="62"/>
  <c r="BD187" i="62" s="1"/>
  <c r="BD185" i="62" s="1"/>
  <c r="F189" i="62"/>
  <c r="G189" i="62"/>
  <c r="Y189" i="62"/>
  <c r="AF189" i="62" s="1"/>
  <c r="AG189" i="62"/>
  <c r="AN189" i="62"/>
  <c r="AN188" i="62" s="1"/>
  <c r="AN187" i="62" s="1"/>
  <c r="AN185" i="62" s="1"/>
  <c r="AP189" i="62"/>
  <c r="AU189" i="62"/>
  <c r="AW189" i="62"/>
  <c r="AZ189" i="62"/>
  <c r="BB189" i="62"/>
  <c r="BC189" i="62"/>
  <c r="BF189" i="62"/>
  <c r="G190" i="62"/>
  <c r="Y190" i="62"/>
  <c r="AF190" i="62" s="1"/>
  <c r="AG190" i="62"/>
  <c r="AP190" i="62"/>
  <c r="AN190" i="62" s="1"/>
  <c r="AU190" i="62" s="1"/>
  <c r="AZ190" i="62"/>
  <c r="BF190" i="62"/>
  <c r="G191" i="62"/>
  <c r="X191" i="62"/>
  <c r="Y191" i="62"/>
  <c r="AF191" i="62"/>
  <c r="AG191" i="62"/>
  <c r="AM191" i="62"/>
  <c r="AP191" i="62"/>
  <c r="AN191" i="62" s="1"/>
  <c r="AZ191" i="62"/>
  <c r="E192" i="62"/>
  <c r="G192" i="62"/>
  <c r="X192" i="62"/>
  <c r="Y192" i="62"/>
  <c r="Y187" i="62" s="1"/>
  <c r="AF192" i="62"/>
  <c r="AG192" i="62"/>
  <c r="AM192" i="62"/>
  <c r="AP192" i="62"/>
  <c r="AN192" i="62" s="1"/>
  <c r="AT192" i="62"/>
  <c r="AT188" i="62" s="1"/>
  <c r="AT187" i="62" s="1"/>
  <c r="AT185" i="62" s="1"/>
  <c r="AU192" i="62"/>
  <c r="AW192" i="62"/>
  <c r="AZ192" i="62"/>
  <c r="BB192" i="62"/>
  <c r="BC192" i="62"/>
  <c r="BF192" i="62"/>
  <c r="F193" i="62"/>
  <c r="X193" i="62"/>
  <c r="Y193" i="62"/>
  <c r="AF193" i="62"/>
  <c r="AG193" i="62"/>
  <c r="AM193" i="62"/>
  <c r="AP193" i="62"/>
  <c r="AN193" i="62" s="1"/>
  <c r="AU193" i="62" s="1"/>
  <c r="AZ193" i="62"/>
  <c r="BB193" i="62"/>
  <c r="BF193" i="62"/>
  <c r="F194" i="62"/>
  <c r="AZ194" i="62"/>
  <c r="BF195" i="62"/>
  <c r="J196" i="62"/>
  <c r="R196" i="62"/>
  <c r="V196" i="62"/>
  <c r="AG197" i="62"/>
  <c r="AW197" i="62"/>
  <c r="BF197" i="62"/>
  <c r="H198" i="62"/>
  <c r="I198" i="62"/>
  <c r="I196" i="62" s="1"/>
  <c r="J198" i="62"/>
  <c r="K198" i="62"/>
  <c r="K196" i="62" s="1"/>
  <c r="L198" i="62"/>
  <c r="L196" i="62" s="1"/>
  <c r="M198" i="62"/>
  <c r="M196" i="62" s="1"/>
  <c r="O198" i="62"/>
  <c r="P198" i="62"/>
  <c r="P196" i="62" s="1"/>
  <c r="Q198" i="62"/>
  <c r="R198" i="62"/>
  <c r="S198" i="62"/>
  <c r="T198" i="62"/>
  <c r="T196" i="62" s="1"/>
  <c r="U198" i="62"/>
  <c r="V198" i="62"/>
  <c r="W198" i="62"/>
  <c r="W196" i="62" s="1"/>
  <c r="Z198" i="62"/>
  <c r="Z196" i="62" s="1"/>
  <c r="AA198" i="62"/>
  <c r="AB198" i="62"/>
  <c r="AB196" i="62" s="1"/>
  <c r="AC198" i="62"/>
  <c r="AD198" i="62"/>
  <c r="AD196" i="62" s="1"/>
  <c r="AH198" i="62"/>
  <c r="AH196" i="62" s="1"/>
  <c r="AI198" i="62"/>
  <c r="AJ198" i="62"/>
  <c r="AJ196" i="62" s="1"/>
  <c r="AK198" i="62"/>
  <c r="AO198" i="62"/>
  <c r="AQ198" i="62"/>
  <c r="AR198" i="62"/>
  <c r="AR196" i="62" s="1"/>
  <c r="AS198" i="62"/>
  <c r="AT198" i="62"/>
  <c r="AZ198" i="62"/>
  <c r="BD198" i="62"/>
  <c r="F199" i="62"/>
  <c r="BB199" i="62" s="1"/>
  <c r="G199" i="62"/>
  <c r="X199" i="62"/>
  <c r="Y199" i="62"/>
  <c r="AF199" i="62"/>
  <c r="AG199" i="62"/>
  <c r="AP199" i="62"/>
  <c r="AN199" i="62" s="1"/>
  <c r="AU199" i="62" s="1"/>
  <c r="AZ199" i="62"/>
  <c r="BC199" i="62"/>
  <c r="BD199" i="62"/>
  <c r="BF199" i="62"/>
  <c r="BG199" i="62"/>
  <c r="G200" i="62"/>
  <c r="X200" i="62"/>
  <c r="Y200" i="62"/>
  <c r="AG200" i="62"/>
  <c r="E200" i="62" s="1"/>
  <c r="AP200" i="62"/>
  <c r="AN200" i="62" s="1"/>
  <c r="AZ200" i="62"/>
  <c r="BB200" i="62"/>
  <c r="BF200" i="62"/>
  <c r="F201" i="62"/>
  <c r="BB201" i="62" s="1"/>
  <c r="G201" i="62"/>
  <c r="X201" i="62"/>
  <c r="Y201" i="62"/>
  <c r="AG201" i="62"/>
  <c r="AM201" i="62"/>
  <c r="AP201" i="62"/>
  <c r="AN201" i="62" s="1"/>
  <c r="AU201" i="62" s="1"/>
  <c r="AZ201" i="62"/>
  <c r="BC201" i="62"/>
  <c r="BF201" i="62"/>
  <c r="BG201" i="62" s="1"/>
  <c r="F202" i="62"/>
  <c r="BB202" i="62" s="1"/>
  <c r="N202" i="62"/>
  <c r="G202" i="62" s="1"/>
  <c r="X202" i="62"/>
  <c r="Y202" i="62"/>
  <c r="AU202" i="62" s="1"/>
  <c r="AF202" i="62"/>
  <c r="AG202" i="62"/>
  <c r="AM202" i="62"/>
  <c r="AN202" i="62"/>
  <c r="AP202" i="62"/>
  <c r="AW202" i="62"/>
  <c r="AZ202" i="62"/>
  <c r="BF202" i="62"/>
  <c r="BG202" i="62"/>
  <c r="F203" i="62"/>
  <c r="G203" i="62"/>
  <c r="N203" i="62"/>
  <c r="X203" i="62"/>
  <c r="Y203" i="62"/>
  <c r="AF203" i="62"/>
  <c r="AG203" i="62"/>
  <c r="AN203" i="62"/>
  <c r="AP203" i="62"/>
  <c r="AU203" i="62"/>
  <c r="AW203" i="62"/>
  <c r="AZ203" i="62"/>
  <c r="BB203" i="62"/>
  <c r="BC203" i="62"/>
  <c r="BF203" i="62"/>
  <c r="BG203" i="62" s="1"/>
  <c r="G204" i="62"/>
  <c r="X204" i="62"/>
  <c r="Y204" i="62"/>
  <c r="AG204" i="62"/>
  <c r="D204" i="62" s="1"/>
  <c r="AP204" i="62"/>
  <c r="AN204" i="62" s="1"/>
  <c r="AZ204" i="62"/>
  <c r="BB204" i="62"/>
  <c r="BF204" i="62"/>
  <c r="F205" i="62"/>
  <c r="AZ205" i="62"/>
  <c r="BF205" i="62"/>
  <c r="F206" i="62"/>
  <c r="G206" i="62"/>
  <c r="N206" i="62"/>
  <c r="X206" i="62"/>
  <c r="Y206" i="62"/>
  <c r="AG206" i="62"/>
  <c r="AM206" i="62"/>
  <c r="AN206" i="62"/>
  <c r="AP206" i="62"/>
  <c r="AU206" i="62"/>
  <c r="AW206" i="62"/>
  <c r="AZ206" i="62"/>
  <c r="BB206" i="62"/>
  <c r="BC206" i="62"/>
  <c r="BF206" i="62"/>
  <c r="BG206" i="62" s="1"/>
  <c r="H208" i="62"/>
  <c r="I208" i="62"/>
  <c r="J208" i="62"/>
  <c r="K208" i="62"/>
  <c r="L208" i="62"/>
  <c r="M208" i="62"/>
  <c r="N208" i="62"/>
  <c r="O208" i="62"/>
  <c r="P208" i="62"/>
  <c r="Q208" i="62"/>
  <c r="R208" i="62"/>
  <c r="S208" i="62"/>
  <c r="T208" i="62"/>
  <c r="U208" i="62"/>
  <c r="V208" i="62"/>
  <c r="W208" i="62"/>
  <c r="Z208" i="62"/>
  <c r="AA208" i="62"/>
  <c r="AB208" i="62"/>
  <c r="AC208" i="62"/>
  <c r="AD208" i="62"/>
  <c r="AH208" i="62"/>
  <c r="AJ208" i="62"/>
  <c r="AK208" i="62"/>
  <c r="AO208" i="62"/>
  <c r="AQ208" i="62"/>
  <c r="AR208" i="62"/>
  <c r="AS208" i="62"/>
  <c r="AT208" i="62"/>
  <c r="AT196" i="62" s="1"/>
  <c r="BD208" i="62"/>
  <c r="E209" i="62"/>
  <c r="G209" i="62"/>
  <c r="X209" i="62"/>
  <c r="X208" i="62" s="1"/>
  <c r="Y209" i="62"/>
  <c r="AG209" i="62"/>
  <c r="AP209" i="62"/>
  <c r="AN209" i="62" s="1"/>
  <c r="AZ209" i="62"/>
  <c r="BB209" i="62"/>
  <c r="BF209" i="62"/>
  <c r="F210" i="62"/>
  <c r="AZ210" i="62"/>
  <c r="BF210" i="62" s="1"/>
  <c r="G211" i="62"/>
  <c r="X211" i="62" s="1"/>
  <c r="AF211" i="62"/>
  <c r="AF208" i="62" s="1"/>
  <c r="BD211" i="62"/>
  <c r="D212" i="62"/>
  <c r="X212" i="62"/>
  <c r="AF212" i="62"/>
  <c r="AM212" i="62"/>
  <c r="AW212" i="62"/>
  <c r="AZ212" i="62"/>
  <c r="BF212" i="62"/>
  <c r="G213" i="62"/>
  <c r="AF213" i="62"/>
  <c r="AG213" i="62"/>
  <c r="AM213" i="62" s="1"/>
  <c r="AW213" i="62"/>
  <c r="AZ213" i="62"/>
  <c r="X214" i="62"/>
  <c r="AF214" i="62"/>
  <c r="AG214" i="62"/>
  <c r="AN214" i="62"/>
  <c r="AW214" i="62" s="1"/>
  <c r="AP214" i="62"/>
  <c r="AU214" i="62"/>
  <c r="AZ214" i="62"/>
  <c r="X215" i="62"/>
  <c r="AF215" i="62"/>
  <c r="AG215" i="62"/>
  <c r="AM215" i="62"/>
  <c r="AP215" i="62"/>
  <c r="AN215" i="62" s="1"/>
  <c r="D215" i="62" s="1"/>
  <c r="AZ215" i="62"/>
  <c r="X216" i="62"/>
  <c r="AF216" i="62"/>
  <c r="AG216" i="62"/>
  <c r="AN216" i="62"/>
  <c r="AP216" i="62"/>
  <c r="AW216" i="62"/>
  <c r="AZ216" i="62"/>
  <c r="X217" i="62"/>
  <c r="AF217" i="62"/>
  <c r="AG217" i="62"/>
  <c r="AN217" i="62"/>
  <c r="AW217" i="62" s="1"/>
  <c r="AP217" i="62"/>
  <c r="AU217" i="62"/>
  <c r="AZ217" i="62"/>
  <c r="X218" i="62"/>
  <c r="AF218" i="62"/>
  <c r="AG218" i="62"/>
  <c r="AN218" i="62"/>
  <c r="AP218" i="62"/>
  <c r="AW218" i="62"/>
  <c r="AZ218" i="62"/>
  <c r="X219" i="62"/>
  <c r="AF219" i="62"/>
  <c r="AG219" i="62"/>
  <c r="AN219" i="62"/>
  <c r="AW219" i="62" s="1"/>
  <c r="AP219" i="62"/>
  <c r="AU219" i="62"/>
  <c r="AZ219" i="62"/>
  <c r="B220" i="62"/>
  <c r="G220" i="62"/>
  <c r="X220" i="62"/>
  <c r="AF220" i="62"/>
  <c r="AG220" i="62"/>
  <c r="E220" i="62" s="1"/>
  <c r="AM220" i="62"/>
  <c r="AN220" i="62"/>
  <c r="AW220" i="62" s="1"/>
  <c r="AP220" i="62"/>
  <c r="AU220" i="62"/>
  <c r="AZ220" i="62"/>
  <c r="BF220" i="62"/>
  <c r="X221" i="62"/>
  <c r="AF221" i="62"/>
  <c r="AG221" i="62"/>
  <c r="AM221" i="62"/>
  <c r="AP221" i="62"/>
  <c r="AN221" i="62" s="1"/>
  <c r="AZ221" i="62"/>
  <c r="BF221" i="62"/>
  <c r="X222" i="62"/>
  <c r="AF222" i="62"/>
  <c r="AG222" i="62"/>
  <c r="AM222" i="62"/>
  <c r="AP222" i="62"/>
  <c r="AN222" i="62" s="1"/>
  <c r="AZ222" i="62"/>
  <c r="BF222" i="62"/>
  <c r="X223" i="62"/>
  <c r="AF223" i="62"/>
  <c r="AG223" i="62"/>
  <c r="AM223" i="62"/>
  <c r="AP223" i="62"/>
  <c r="AN223" i="62" s="1"/>
  <c r="AZ223" i="62"/>
  <c r="BF223" i="62"/>
  <c r="X224" i="62"/>
  <c r="AF224" i="62"/>
  <c r="AG224" i="62"/>
  <c r="AM224" i="62"/>
  <c r="AP224" i="62"/>
  <c r="AN224" i="62" s="1"/>
  <c r="AZ224" i="62"/>
  <c r="BF224" i="62"/>
  <c r="A225" i="62"/>
  <c r="B225" i="62"/>
  <c r="X225" i="62"/>
  <c r="AF225" i="62"/>
  <c r="AI225" i="62"/>
  <c r="AG225" i="62" s="1"/>
  <c r="AM225" i="62"/>
  <c r="AN225" i="62"/>
  <c r="AW225" i="62" s="1"/>
  <c r="AP225" i="62"/>
  <c r="AU225" i="62"/>
  <c r="AZ225" i="62"/>
  <c r="BF225" i="62"/>
  <c r="A226" i="62"/>
  <c r="B226" i="62"/>
  <c r="F226" i="62"/>
  <c r="F211" i="62" s="1"/>
  <c r="X226" i="62"/>
  <c r="AF226" i="62"/>
  <c r="AG226" i="62"/>
  <c r="AM226" i="62"/>
  <c r="AN226" i="62"/>
  <c r="AW226" i="62" s="1"/>
  <c r="AP226" i="62"/>
  <c r="AZ226" i="62"/>
  <c r="BB226" i="62"/>
  <c r="BF226" i="62"/>
  <c r="A227" i="62"/>
  <c r="B227" i="62"/>
  <c r="D227" i="62"/>
  <c r="G227" i="62"/>
  <c r="AF227" i="62"/>
  <c r="AG227" i="62"/>
  <c r="AM227" i="62"/>
  <c r="AP227" i="62"/>
  <c r="AN227" i="62" s="1"/>
  <c r="AZ227" i="62"/>
  <c r="BB227" i="62"/>
  <c r="BF227" i="62"/>
  <c r="B228" i="62"/>
  <c r="AM228" i="62"/>
  <c r="AZ228" i="62"/>
  <c r="BB228" i="62"/>
  <c r="BF228" i="62"/>
  <c r="B229" i="62"/>
  <c r="AM229" i="62"/>
  <c r="AZ229" i="62"/>
  <c r="BB229" i="62"/>
  <c r="BF229" i="62"/>
  <c r="B230" i="62"/>
  <c r="F230" i="62"/>
  <c r="AM230" i="62"/>
  <c r="AZ230" i="62"/>
  <c r="BF230" i="62"/>
  <c r="F231" i="62"/>
  <c r="G231" i="62"/>
  <c r="X231" i="62"/>
  <c r="Y231" i="62"/>
  <c r="AF231" i="62"/>
  <c r="AG231" i="62"/>
  <c r="AM231" i="62"/>
  <c r="AP231" i="62"/>
  <c r="AN231" i="62" s="1"/>
  <c r="AZ231" i="62"/>
  <c r="BB231" i="62"/>
  <c r="BF231" i="62"/>
  <c r="F233" i="62"/>
  <c r="H233" i="62"/>
  <c r="I233" i="62"/>
  <c r="J233" i="62"/>
  <c r="K233" i="62"/>
  <c r="L233" i="62"/>
  <c r="M233" i="62"/>
  <c r="N233" i="62"/>
  <c r="O233" i="62"/>
  <c r="P233" i="62"/>
  <c r="Q233" i="62"/>
  <c r="R233" i="62"/>
  <c r="S233" i="62"/>
  <c r="T233" i="62"/>
  <c r="U233" i="62"/>
  <c r="V233" i="62"/>
  <c r="W233" i="62"/>
  <c r="Z233" i="62"/>
  <c r="AA233" i="62"/>
  <c r="AB233" i="62"/>
  <c r="AC233" i="62"/>
  <c r="AD233" i="62"/>
  <c r="AH233" i="62"/>
  <c r="AI233" i="62"/>
  <c r="AJ233" i="62"/>
  <c r="AK233" i="62"/>
  <c r="AO233" i="62"/>
  <c r="AP233" i="62"/>
  <c r="AQ233" i="62"/>
  <c r="AR233" i="62"/>
  <c r="AS233" i="62"/>
  <c r="AT233" i="62"/>
  <c r="BD233" i="62"/>
  <c r="F234" i="62"/>
  <c r="G234" i="62"/>
  <c r="Y234" i="62"/>
  <c r="AG234" i="62"/>
  <c r="AG233" i="62" s="1"/>
  <c r="AM234" i="62"/>
  <c r="AM233" i="62" s="1"/>
  <c r="AN234" i="62"/>
  <c r="AW234" i="62" s="1"/>
  <c r="AP234" i="62"/>
  <c r="AU234" i="62"/>
  <c r="AZ234" i="62"/>
  <c r="BF234" i="62"/>
  <c r="G235" i="62"/>
  <c r="Y235" i="62"/>
  <c r="AF235" i="62"/>
  <c r="AG235" i="62"/>
  <c r="AM235" i="62"/>
  <c r="AP235" i="62"/>
  <c r="AN235" i="62" s="1"/>
  <c r="AZ235" i="62"/>
  <c r="G236" i="62"/>
  <c r="AF236" i="62"/>
  <c r="AG236" i="62"/>
  <c r="AM236" i="62" s="1"/>
  <c r="AW236" i="62"/>
  <c r="AZ236" i="62"/>
  <c r="H239" i="62"/>
  <c r="I239" i="62"/>
  <c r="G239" i="62" s="1"/>
  <c r="E239" i="62" s="1"/>
  <c r="J239" i="62"/>
  <c r="K239" i="62"/>
  <c r="L239" i="62"/>
  <c r="M239" i="62"/>
  <c r="O239" i="62"/>
  <c r="P239" i="62"/>
  <c r="Q239" i="62"/>
  <c r="R239" i="62"/>
  <c r="S239" i="62"/>
  <c r="T239" i="62"/>
  <c r="U239" i="62"/>
  <c r="W239" i="62"/>
  <c r="Y239" i="62"/>
  <c r="Z239" i="62"/>
  <c r="AA239" i="62"/>
  <c r="AB239" i="62"/>
  <c r="AC239" i="62"/>
  <c r="AD239" i="62"/>
  <c r="AG239" i="62"/>
  <c r="AH239" i="62"/>
  <c r="AI239" i="62"/>
  <c r="AJ239" i="62"/>
  <c r="AK239" i="62"/>
  <c r="AM239" i="62"/>
  <c r="AQ239" i="62"/>
  <c r="AR239" i="62"/>
  <c r="AS239" i="62"/>
  <c r="AT239" i="62"/>
  <c r="G240" i="62"/>
  <c r="D240" i="62" s="1"/>
  <c r="X240" i="62"/>
  <c r="AF240" i="62"/>
  <c r="AG240" i="62"/>
  <c r="AM240" i="62"/>
  <c r="AU240" i="62"/>
  <c r="AW240" i="62"/>
  <c r="AZ240" i="62"/>
  <c r="F241" i="62"/>
  <c r="F239" i="62" s="1"/>
  <c r="N241" i="62"/>
  <c r="N239" i="62" s="1"/>
  <c r="V241" i="62"/>
  <c r="V239" i="62" s="1"/>
  <c r="X241" i="62"/>
  <c r="X239" i="62" s="1"/>
  <c r="Y241" i="62"/>
  <c r="AF241" i="62"/>
  <c r="AF239" i="62" s="1"/>
  <c r="AG241" i="62"/>
  <c r="AO241" i="62"/>
  <c r="AN241" i="62" s="1"/>
  <c r="AN239" i="62" s="1"/>
  <c r="AP241" i="62"/>
  <c r="AP239" i="62" s="1"/>
  <c r="AW241" i="62"/>
  <c r="AZ241" i="62"/>
  <c r="AZ239" i="62" s="1"/>
  <c r="BB241" i="62"/>
  <c r="BC241" i="62"/>
  <c r="BD241" i="62"/>
  <c r="BD239" i="62" s="1"/>
  <c r="BF241" i="62"/>
  <c r="BG241" i="62"/>
  <c r="X242" i="62"/>
  <c r="AF242" i="62"/>
  <c r="AM242" i="62"/>
  <c r="AW242" i="62"/>
  <c r="AZ242" i="62"/>
  <c r="X243" i="62"/>
  <c r="AF243" i="62"/>
  <c r="AM243" i="62"/>
  <c r="AW243" i="62"/>
  <c r="AZ243" i="62"/>
  <c r="I245" i="62"/>
  <c r="M245" i="62"/>
  <c r="Q245" i="62"/>
  <c r="U245" i="62"/>
  <c r="X245" i="62"/>
  <c r="X246" i="62"/>
  <c r="AF246" i="62"/>
  <c r="AG246" i="62"/>
  <c r="AM246" i="62"/>
  <c r="AW246" i="62"/>
  <c r="AZ246" i="62"/>
  <c r="BF246" i="62"/>
  <c r="BG246" i="62" s="1"/>
  <c r="F247" i="62"/>
  <c r="H247" i="62"/>
  <c r="I247" i="62"/>
  <c r="J247" i="62"/>
  <c r="K247" i="62"/>
  <c r="L247" i="62"/>
  <c r="M247" i="62"/>
  <c r="N247" i="62"/>
  <c r="O247" i="62"/>
  <c r="P247" i="62"/>
  <c r="Q247" i="62"/>
  <c r="R247" i="62"/>
  <c r="S247" i="62"/>
  <c r="T247" i="62"/>
  <c r="V247" i="62"/>
  <c r="W247" i="62"/>
  <c r="W245" i="62" s="1"/>
  <c r="X247" i="62"/>
  <c r="Z247" i="62"/>
  <c r="AA247" i="62"/>
  <c r="AB247" i="62"/>
  <c r="AC247" i="62"/>
  <c r="AC245" i="62" s="1"/>
  <c r="AD247" i="62"/>
  <c r="AG247" i="62"/>
  <c r="AM247" i="62" s="1"/>
  <c r="AH247" i="62"/>
  <c r="AI247" i="62"/>
  <c r="AI245" i="62" s="1"/>
  <c r="AJ247" i="62"/>
  <c r="AK247" i="62"/>
  <c r="AK245" i="62" s="1"/>
  <c r="AO247" i="62"/>
  <c r="AQ247" i="62"/>
  <c r="AR247" i="62"/>
  <c r="AS247" i="62"/>
  <c r="AT247" i="62"/>
  <c r="BD247" i="62"/>
  <c r="BD245" i="62" s="1"/>
  <c r="AZ249" i="62"/>
  <c r="AZ247" i="62" s="1"/>
  <c r="BB249" i="62"/>
  <c r="BC249" i="62"/>
  <c r="BF249" i="62"/>
  <c r="F250" i="62"/>
  <c r="G250" i="62"/>
  <c r="X250" i="62"/>
  <c r="Y250" i="62"/>
  <c r="Y247" i="62" s="1"/>
  <c r="AG250" i="62"/>
  <c r="AM250" i="62"/>
  <c r="AP250" i="62"/>
  <c r="AN250" i="62" s="1"/>
  <c r="AZ250" i="62"/>
  <c r="BB250" i="62"/>
  <c r="BC250" i="62"/>
  <c r="BF250" i="62"/>
  <c r="BG250" i="62" s="1"/>
  <c r="D251" i="62"/>
  <c r="G251" i="62"/>
  <c r="E251" i="62" s="1"/>
  <c r="X251" i="62"/>
  <c r="F251" i="62" s="1"/>
  <c r="Y251" i="62"/>
  <c r="AF251" i="62"/>
  <c r="AG251" i="62"/>
  <c r="AM251" i="62"/>
  <c r="AW251" i="62"/>
  <c r="AZ251" i="62"/>
  <c r="H253" i="62"/>
  <c r="I253" i="62"/>
  <c r="J253" i="62"/>
  <c r="K253" i="62"/>
  <c r="L253" i="62"/>
  <c r="M253" i="62"/>
  <c r="N253" i="62"/>
  <c r="O253" i="62"/>
  <c r="P253" i="62"/>
  <c r="Q253" i="62"/>
  <c r="R253" i="62"/>
  <c r="S253" i="62"/>
  <c r="T253" i="62"/>
  <c r="U253" i="62"/>
  <c r="V253" i="62"/>
  <c r="W253" i="62"/>
  <c r="Z253" i="62"/>
  <c r="AA253" i="62"/>
  <c r="AB253" i="62"/>
  <c r="AC253" i="62"/>
  <c r="AD253" i="62"/>
  <c r="AH253" i="62"/>
  <c r="AI253" i="62"/>
  <c r="AJ253" i="62"/>
  <c r="AK253" i="62"/>
  <c r="AO253" i="62"/>
  <c r="AR253" i="62"/>
  <c r="AS253" i="62"/>
  <c r="AT253" i="62"/>
  <c r="BD253" i="62"/>
  <c r="F254" i="62"/>
  <c r="G254" i="62"/>
  <c r="X254" i="62"/>
  <c r="Y254" i="62"/>
  <c r="AF254" i="62"/>
  <c r="AG254" i="62"/>
  <c r="AN254" i="62"/>
  <c r="AN253" i="62" s="1"/>
  <c r="AP254" i="62"/>
  <c r="AZ254" i="62"/>
  <c r="BB254" i="62"/>
  <c r="BF254" i="62"/>
  <c r="F255" i="62"/>
  <c r="G255" i="62"/>
  <c r="X255" i="62"/>
  <c r="Y255" i="62"/>
  <c r="AF255" i="62" s="1"/>
  <c r="AF253" i="62" s="1"/>
  <c r="AG255" i="62"/>
  <c r="AM255" i="62"/>
  <c r="AP255" i="62"/>
  <c r="AN255" i="62" s="1"/>
  <c r="AU255" i="62" s="1"/>
  <c r="AZ255" i="62"/>
  <c r="F256" i="62"/>
  <c r="G256" i="62"/>
  <c r="X256" i="62"/>
  <c r="Y256" i="62"/>
  <c r="AU256" i="62" s="1"/>
  <c r="Z256" i="62"/>
  <c r="AG256" i="62"/>
  <c r="AP256" i="62"/>
  <c r="AN256" i="62" s="1"/>
  <c r="AQ256" i="62"/>
  <c r="AQ253" i="62" s="1"/>
  <c r="AQ245" i="62" s="1"/>
  <c r="AW256" i="62"/>
  <c r="AZ256" i="62"/>
  <c r="BB256" i="62"/>
  <c r="BC256" i="62"/>
  <c r="BF256" i="62"/>
  <c r="BG256" i="62" s="1"/>
  <c r="F258" i="62"/>
  <c r="H258" i="62"/>
  <c r="I258" i="62"/>
  <c r="J258" i="62"/>
  <c r="K258" i="62"/>
  <c r="L258" i="62"/>
  <c r="M258" i="62"/>
  <c r="N258" i="62"/>
  <c r="O258" i="62"/>
  <c r="P258" i="62"/>
  <c r="Q258" i="62"/>
  <c r="R258" i="62"/>
  <c r="S258" i="62"/>
  <c r="T258" i="62"/>
  <c r="U258" i="62"/>
  <c r="V258" i="62"/>
  <c r="W258" i="62"/>
  <c r="Z258" i="62"/>
  <c r="AA258" i="62"/>
  <c r="AB258" i="62"/>
  <c r="AC258" i="62"/>
  <c r="AD258" i="62"/>
  <c r="AJ258" i="62"/>
  <c r="AK258" i="62"/>
  <c r="AO258" i="62"/>
  <c r="AO245" i="62" s="1"/>
  <c r="AQ258" i="62"/>
  <c r="AR258" i="62"/>
  <c r="AS258" i="62"/>
  <c r="AS245" i="62" s="1"/>
  <c r="AT258" i="62"/>
  <c r="BD258" i="62"/>
  <c r="F259" i="62"/>
  <c r="AZ259" i="62"/>
  <c r="BC259" i="62"/>
  <c r="BF259" i="62"/>
  <c r="BG259" i="62"/>
  <c r="F260" i="62"/>
  <c r="G260" i="62"/>
  <c r="X260" i="62"/>
  <c r="X258" i="62" s="1"/>
  <c r="Y260" i="62"/>
  <c r="Y258" i="62" s="1"/>
  <c r="AF260" i="62"/>
  <c r="AF258" i="62" s="1"/>
  <c r="AG260" i="62"/>
  <c r="AG258" i="62" s="1"/>
  <c r="AM260" i="62"/>
  <c r="AM258" i="62" s="1"/>
  <c r="AP260" i="62"/>
  <c r="AW260" i="62"/>
  <c r="AW258" i="62" s="1"/>
  <c r="AZ260" i="62"/>
  <c r="D261" i="62"/>
  <c r="G261" i="62"/>
  <c r="E261" i="62" s="1"/>
  <c r="X261" i="62"/>
  <c r="AF261" i="62"/>
  <c r="AG261" i="62"/>
  <c r="AM261" i="62"/>
  <c r="AW261" i="62"/>
  <c r="AZ261" i="62"/>
  <c r="BF261" i="62"/>
  <c r="BG261" i="62" s="1"/>
  <c r="G262" i="62"/>
  <c r="X262" i="62"/>
  <c r="AF262" i="62"/>
  <c r="AH262" i="62"/>
  <c r="AW262" i="62"/>
  <c r="AZ262" i="62"/>
  <c r="BF262" i="62"/>
  <c r="BG262" i="62" s="1"/>
  <c r="H264" i="62"/>
  <c r="I264" i="62"/>
  <c r="G264" i="62" s="1"/>
  <c r="J264" i="62"/>
  <c r="K264" i="62"/>
  <c r="K245" i="62" s="1"/>
  <c r="L264" i="62"/>
  <c r="M264" i="62"/>
  <c r="N264" i="62"/>
  <c r="O264" i="62"/>
  <c r="O245" i="62" s="1"/>
  <c r="P264" i="62"/>
  <c r="Q264" i="62"/>
  <c r="R264" i="62"/>
  <c r="S264" i="62"/>
  <c r="S245" i="62" s="1"/>
  <c r="T264" i="62"/>
  <c r="U264" i="62"/>
  <c r="V264" i="62"/>
  <c r="W264" i="62"/>
  <c r="Z264" i="62"/>
  <c r="AA264" i="62"/>
  <c r="AA245" i="62" s="1"/>
  <c r="AB264" i="62"/>
  <c r="AC264" i="62"/>
  <c r="AD264" i="62"/>
  <c r="AG264" i="62"/>
  <c r="AH264" i="62"/>
  <c r="AI264" i="62"/>
  <c r="AI262" i="62" s="1"/>
  <c r="AJ264" i="62"/>
  <c r="AK264" i="62"/>
  <c r="AN264" i="62"/>
  <c r="AO264" i="62"/>
  <c r="AP264" i="62"/>
  <c r="AQ264" i="62"/>
  <c r="AR264" i="62"/>
  <c r="AS264" i="62"/>
  <c r="AT264" i="62"/>
  <c r="BD264" i="62"/>
  <c r="F265" i="62"/>
  <c r="F264" i="62" s="1"/>
  <c r="G265" i="62"/>
  <c r="X265" i="62"/>
  <c r="Y265" i="62"/>
  <c r="AF265" i="62" s="1"/>
  <c r="AG265" i="62"/>
  <c r="AN265" i="62"/>
  <c r="AP265" i="62"/>
  <c r="AW265" i="62"/>
  <c r="AZ265" i="62"/>
  <c r="BB265" i="62"/>
  <c r="BC265" i="62" s="1"/>
  <c r="F266" i="62"/>
  <c r="G266" i="62"/>
  <c r="X266" i="62"/>
  <c r="Y266" i="62"/>
  <c r="AF266" i="62"/>
  <c r="AG266" i="62"/>
  <c r="AM266" i="62"/>
  <c r="AM264" i="62" s="1"/>
  <c r="AP266" i="62"/>
  <c r="AN266" i="62" s="1"/>
  <c r="AU266" i="62" s="1"/>
  <c r="AW266" i="62"/>
  <c r="AZ266" i="62"/>
  <c r="BB266" i="62"/>
  <c r="BF266" i="62"/>
  <c r="BF267" i="62"/>
  <c r="H268" i="62"/>
  <c r="I268" i="62"/>
  <c r="J268" i="62"/>
  <c r="K268" i="62"/>
  <c r="L268" i="62"/>
  <c r="M268" i="62"/>
  <c r="N268" i="62"/>
  <c r="O268" i="62"/>
  <c r="P268" i="62"/>
  <c r="Q268" i="62"/>
  <c r="R268" i="62"/>
  <c r="S268" i="62"/>
  <c r="T268" i="62"/>
  <c r="U268" i="62"/>
  <c r="V268" i="62"/>
  <c r="W268" i="62"/>
  <c r="Z268" i="62"/>
  <c r="AA268" i="62"/>
  <c r="AB268" i="62"/>
  <c r="AC268" i="62"/>
  <c r="AD268" i="62"/>
  <c r="AF268" i="62"/>
  <c r="AH268" i="62"/>
  <c r="AI268" i="62"/>
  <c r="AJ268" i="62"/>
  <c r="AK268" i="62"/>
  <c r="AO268" i="62"/>
  <c r="AQ268" i="62"/>
  <c r="AR268" i="62"/>
  <c r="AS268" i="62"/>
  <c r="AT268" i="62"/>
  <c r="AW268" i="62"/>
  <c r="BD268" i="62"/>
  <c r="F269" i="62"/>
  <c r="G269" i="62"/>
  <c r="X269" i="62"/>
  <c r="X268" i="62" s="1"/>
  <c r="Y269" i="62"/>
  <c r="Y268" i="62" s="1"/>
  <c r="AF269" i="62"/>
  <c r="AG269" i="62"/>
  <c r="AN269" i="62"/>
  <c r="AN268" i="62" s="1"/>
  <c r="AP269" i="62"/>
  <c r="AP268" i="62" s="1"/>
  <c r="AW269" i="62"/>
  <c r="AZ269" i="62"/>
  <c r="BB269" i="62"/>
  <c r="BC269" i="62" s="1"/>
  <c r="AA271" i="62"/>
  <c r="AO271" i="62"/>
  <c r="F273" i="62"/>
  <c r="M273" i="62"/>
  <c r="M271" i="62" s="1"/>
  <c r="R273" i="62"/>
  <c r="R271" i="62" s="1"/>
  <c r="S273" i="62"/>
  <c r="S271" i="62" s="1"/>
  <c r="T273" i="62"/>
  <c r="T271" i="62" s="1"/>
  <c r="U273" i="62"/>
  <c r="U271" i="62" s="1"/>
  <c r="V273" i="62"/>
  <c r="V271" i="62" s="1"/>
  <c r="W273" i="62"/>
  <c r="W271" i="62" s="1"/>
  <c r="Z273" i="62"/>
  <c r="Z271" i="62" s="1"/>
  <c r="AA273" i="62"/>
  <c r="AB273" i="62"/>
  <c r="AB271" i="62" s="1"/>
  <c r="AC273" i="62"/>
  <c r="AC271" i="62" s="1"/>
  <c r="AD273" i="62"/>
  <c r="AD271" i="62" s="1"/>
  <c r="AH273" i="62"/>
  <c r="AH271" i="62" s="1"/>
  <c r="AI273" i="62"/>
  <c r="AI271" i="62" s="1"/>
  <c r="AJ273" i="62"/>
  <c r="AJ271" i="62" s="1"/>
  <c r="AK273" i="62"/>
  <c r="AK271" i="62" s="1"/>
  <c r="AM273" i="62"/>
  <c r="AO273" i="62"/>
  <c r="AQ273" i="62"/>
  <c r="AQ271" i="62" s="1"/>
  <c r="AR273" i="62"/>
  <c r="AR271" i="62" s="1"/>
  <c r="AS273" i="62"/>
  <c r="AS271" i="62" s="1"/>
  <c r="AT273" i="62"/>
  <c r="BD273" i="62"/>
  <c r="D274" i="62"/>
  <c r="G274" i="62"/>
  <c r="X274" i="62"/>
  <c r="AF274" i="62"/>
  <c r="AG274" i="62"/>
  <c r="AM274" i="62"/>
  <c r="AW274" i="62"/>
  <c r="AZ274" i="62"/>
  <c r="BF274" i="62"/>
  <c r="BG274" i="62"/>
  <c r="F275" i="62"/>
  <c r="G275" i="62"/>
  <c r="Y275" i="62"/>
  <c r="AF275" i="62" s="1"/>
  <c r="AG275" i="62"/>
  <c r="AG273" i="62" s="1"/>
  <c r="AM275" i="62"/>
  <c r="AN275" i="62"/>
  <c r="AN273" i="62" s="1"/>
  <c r="AP275" i="62"/>
  <c r="AP273" i="62" s="1"/>
  <c r="AU275" i="62"/>
  <c r="AU273" i="62" s="1"/>
  <c r="AW275" i="62"/>
  <c r="AZ275" i="62"/>
  <c r="AZ273" i="62" s="1"/>
  <c r="BB275" i="62"/>
  <c r="BF275" i="62"/>
  <c r="BG275" i="62"/>
  <c r="H277" i="62"/>
  <c r="H271" i="62" s="1"/>
  <c r="I277" i="62"/>
  <c r="I271" i="62" s="1"/>
  <c r="J277" i="62"/>
  <c r="J271" i="62" s="1"/>
  <c r="K277" i="62"/>
  <c r="K271" i="62" s="1"/>
  <c r="L277" i="62"/>
  <c r="L271" i="62" s="1"/>
  <c r="M277" i="62"/>
  <c r="N277" i="62"/>
  <c r="N271" i="62" s="1"/>
  <c r="O277" i="62"/>
  <c r="O271" i="62" s="1"/>
  <c r="P277" i="62"/>
  <c r="P271" i="62" s="1"/>
  <c r="Q277" i="62"/>
  <c r="Q271" i="62" s="1"/>
  <c r="R277" i="62"/>
  <c r="S277" i="62"/>
  <c r="T277" i="62"/>
  <c r="U277" i="62"/>
  <c r="V277" i="62"/>
  <c r="W277" i="62"/>
  <c r="Z277" i="62"/>
  <c r="AA277" i="62"/>
  <c r="AB277" i="62"/>
  <c r="AC277" i="62"/>
  <c r="AD277" i="62"/>
  <c r="AH277" i="62"/>
  <c r="AI277" i="62"/>
  <c r="AJ277" i="62"/>
  <c r="AK277" i="62"/>
  <c r="AO277" i="62"/>
  <c r="AQ277" i="62"/>
  <c r="AR277" i="62"/>
  <c r="AS277" i="62"/>
  <c r="BD277" i="62"/>
  <c r="F278" i="62"/>
  <c r="G278" i="62"/>
  <c r="Y278" i="62"/>
  <c r="AF278" i="62" s="1"/>
  <c r="AG278" i="62"/>
  <c r="AP278" i="62"/>
  <c r="AT278" i="62"/>
  <c r="AT277" i="62" s="1"/>
  <c r="AW278" i="62"/>
  <c r="AZ278" i="62"/>
  <c r="BB278" i="62"/>
  <c r="BC278" i="62" s="1"/>
  <c r="F279" i="62"/>
  <c r="X279" i="62"/>
  <c r="Y279" i="62"/>
  <c r="AF279" i="62"/>
  <c r="AG279" i="62"/>
  <c r="AM279" i="62"/>
  <c r="AP279" i="62"/>
  <c r="AN279" i="62" s="1"/>
  <c r="AZ279" i="62"/>
  <c r="BB279" i="62"/>
  <c r="BF279" i="62"/>
  <c r="F280" i="62"/>
  <c r="AZ280" i="62"/>
  <c r="BB280" i="62"/>
  <c r="BF280" i="62"/>
  <c r="X281" i="62"/>
  <c r="Y281" i="62"/>
  <c r="AF281" i="62"/>
  <c r="AG281" i="62"/>
  <c r="AM281" i="62"/>
  <c r="AP281" i="62"/>
  <c r="AN281" i="62" s="1"/>
  <c r="D281" i="62" s="1"/>
  <c r="AW281" i="62"/>
  <c r="AZ281" i="62"/>
  <c r="BB281" i="62"/>
  <c r="BF281" i="62"/>
  <c r="X282" i="62"/>
  <c r="Y282" i="62"/>
  <c r="AF282" i="62"/>
  <c r="AG282" i="62"/>
  <c r="AM282" i="62"/>
  <c r="AP282" i="62"/>
  <c r="AN282" i="62" s="1"/>
  <c r="AZ282" i="62"/>
  <c r="X283" i="62"/>
  <c r="Y283" i="62"/>
  <c r="E283" i="62" s="1"/>
  <c r="AG283" i="62"/>
  <c r="AM283" i="62" s="1"/>
  <c r="AN283" i="62"/>
  <c r="AW283" i="62" s="1"/>
  <c r="AP283" i="62"/>
  <c r="AZ283" i="62"/>
  <c r="BF283" i="62"/>
  <c r="A284" i="62"/>
  <c r="B284" i="62"/>
  <c r="X284" i="62"/>
  <c r="Y284" i="62"/>
  <c r="D284" i="62" s="1"/>
  <c r="AG284" i="62"/>
  <c r="AM284" i="62"/>
  <c r="AN284" i="62"/>
  <c r="AP284" i="62"/>
  <c r="AZ284" i="62"/>
  <c r="BB284" i="62"/>
  <c r="BF284" i="62"/>
  <c r="A285" i="62"/>
  <c r="B285" i="62"/>
  <c r="AM285" i="62"/>
  <c r="AZ285" i="62"/>
  <c r="BB285" i="62"/>
  <c r="BF285" i="62"/>
  <c r="A286" i="62"/>
  <c r="B286" i="62"/>
  <c r="F286" i="62"/>
  <c r="BB286" i="62" s="1"/>
  <c r="AM286" i="62"/>
  <c r="AZ286" i="62"/>
  <c r="BF286" i="62"/>
  <c r="X288" i="62"/>
  <c r="AF288" i="62"/>
  <c r="X290" i="62"/>
  <c r="AF290" i="62"/>
  <c r="AH290" i="62"/>
  <c r="AH288" i="62" s="1"/>
  <c r="AI290" i="62"/>
  <c r="AI288" i="62" s="1"/>
  <c r="AJ290" i="62"/>
  <c r="AJ288" i="62" s="1"/>
  <c r="AK290" i="62"/>
  <c r="AK288" i="62" s="1"/>
  <c r="AO290" i="62"/>
  <c r="AO288" i="62" s="1"/>
  <c r="AQ290" i="62"/>
  <c r="AQ288" i="62" s="1"/>
  <c r="AR290" i="62"/>
  <c r="AR288" i="62" s="1"/>
  <c r="AS290" i="62"/>
  <c r="AS288" i="62" s="1"/>
  <c r="AT290" i="62"/>
  <c r="AT288" i="62" s="1"/>
  <c r="BD290" i="62"/>
  <c r="BD288" i="62" s="1"/>
  <c r="E291" i="62"/>
  <c r="X291" i="62"/>
  <c r="F291" i="62" s="1"/>
  <c r="AF291" i="62"/>
  <c r="AG291" i="62"/>
  <c r="D291" i="62" s="1"/>
  <c r="AM291" i="62"/>
  <c r="AW291" i="62"/>
  <c r="AZ291" i="62"/>
  <c r="BD291" i="62"/>
  <c r="BF291" i="62"/>
  <c r="BG291" i="62"/>
  <c r="E292" i="62"/>
  <c r="X292" i="62"/>
  <c r="F292" i="62" s="1"/>
  <c r="AF292" i="62"/>
  <c r="AG292" i="62"/>
  <c r="D292" i="62" s="1"/>
  <c r="AM292" i="62"/>
  <c r="AW292" i="62"/>
  <c r="AZ292" i="62"/>
  <c r="E293" i="62"/>
  <c r="X293" i="62"/>
  <c r="F293" i="62" s="1"/>
  <c r="AF293" i="62"/>
  <c r="AG293" i="62"/>
  <c r="D293" i="62" s="1"/>
  <c r="AM293" i="62"/>
  <c r="AW293" i="62"/>
  <c r="AZ293" i="62"/>
  <c r="AZ290" i="62" s="1"/>
  <c r="BD293" i="62"/>
  <c r="BF293" i="62"/>
  <c r="F294" i="62"/>
  <c r="BB294" i="62" s="1"/>
  <c r="BC294" i="62" s="1"/>
  <c r="X294" i="62"/>
  <c r="Y294" i="62"/>
  <c r="E294" i="62" s="1"/>
  <c r="AG294" i="62"/>
  <c r="AG290" i="62" s="1"/>
  <c r="AN294" i="62"/>
  <c r="AN290" i="62" s="1"/>
  <c r="AN288" i="62" s="1"/>
  <c r="AP294" i="62"/>
  <c r="AP290" i="62" s="1"/>
  <c r="AP288" i="62" s="1"/>
  <c r="AU294" i="62"/>
  <c r="AU290" i="62" s="1"/>
  <c r="AU288" i="62" s="1"/>
  <c r="AW294" i="62"/>
  <c r="AZ294" i="62"/>
  <c r="BF294" i="62"/>
  <c r="BG294" i="62" s="1"/>
  <c r="X296" i="62"/>
  <c r="AZ296" i="62"/>
  <c r="X298" i="62"/>
  <c r="AI298" i="62"/>
  <c r="AI296" i="62" s="1"/>
  <c r="AJ298" i="62"/>
  <c r="AJ296" i="62" s="1"/>
  <c r="AK298" i="62"/>
  <c r="AK296" i="62" s="1"/>
  <c r="AO298" i="62"/>
  <c r="AO296" i="62" s="1"/>
  <c r="AQ298" i="62"/>
  <c r="AQ296" i="62" s="1"/>
  <c r="AR298" i="62"/>
  <c r="AR296" i="62" s="1"/>
  <c r="AS298" i="62"/>
  <c r="AS296" i="62" s="1"/>
  <c r="AT298" i="62"/>
  <c r="AT296" i="62" s="1"/>
  <c r="AZ298" i="62"/>
  <c r="BD298" i="62"/>
  <c r="BD296" i="62" s="1"/>
  <c r="X299" i="62"/>
  <c r="Y299" i="62"/>
  <c r="E299" i="62" s="1"/>
  <c r="AG299" i="62"/>
  <c r="AG298" i="62" s="1"/>
  <c r="AG296" i="62" s="1"/>
  <c r="AN299" i="62"/>
  <c r="AP299" i="62"/>
  <c r="AU299" i="62"/>
  <c r="AW299" i="62"/>
  <c r="AZ299" i="62"/>
  <c r="BF299" i="62"/>
  <c r="BG299" i="62" s="1"/>
  <c r="F300" i="62"/>
  <c r="X300" i="62"/>
  <c r="Z300" i="62"/>
  <c r="Z298" i="62" s="1"/>
  <c r="Z296" i="62" s="1"/>
  <c r="AA300" i="62"/>
  <c r="AA298" i="62" s="1"/>
  <c r="AA296" i="62" s="1"/>
  <c r="AB300" i="62"/>
  <c r="AB298" i="62" s="1"/>
  <c r="AB296" i="62" s="1"/>
  <c r="AC300" i="62"/>
  <c r="AC298" i="62" s="1"/>
  <c r="AC296" i="62" s="1"/>
  <c r="AD300" i="62"/>
  <c r="AD298" i="62" s="1"/>
  <c r="AD296" i="62" s="1"/>
  <c r="AF300" i="62"/>
  <c r="AH300" i="62"/>
  <c r="AG300" i="62" s="1"/>
  <c r="AM300" i="62"/>
  <c r="AM298" i="62" s="1"/>
  <c r="AP300" i="62"/>
  <c r="AN300" i="62" s="1"/>
  <c r="AW300" i="62"/>
  <c r="AW298" i="62" s="1"/>
  <c r="AZ300" i="62"/>
  <c r="BB300" i="62"/>
  <c r="BF300" i="62"/>
  <c r="D301" i="62"/>
  <c r="D302" i="62" s="1"/>
  <c r="O302" i="62"/>
  <c r="AO302" i="62"/>
  <c r="K304" i="62"/>
  <c r="O304" i="62"/>
  <c r="N305" i="62"/>
  <c r="O307" i="62"/>
  <c r="V307" i="62"/>
  <c r="N309" i="62"/>
  <c r="O310" i="62"/>
  <c r="O313" i="62" s="1"/>
  <c r="N311" i="62"/>
  <c r="O311" i="62"/>
  <c r="N316" i="62"/>
  <c r="D317" i="62"/>
  <c r="N318" i="62"/>
  <c r="N322" i="62"/>
  <c r="N323" i="62"/>
  <c r="N324" i="62"/>
  <c r="D10" i="61"/>
  <c r="E10" i="61"/>
  <c r="E8" i="61" s="1"/>
  <c r="F11" i="61"/>
  <c r="D12" i="61"/>
  <c r="E12" i="61"/>
  <c r="F12" i="61"/>
  <c r="D13" i="61"/>
  <c r="E13" i="61"/>
  <c r="F13" i="61" s="1"/>
  <c r="F14" i="61"/>
  <c r="D15" i="61"/>
  <c r="E15" i="61"/>
  <c r="F15" i="61" s="1"/>
  <c r="D16" i="61"/>
  <c r="E16" i="61"/>
  <c r="F16" i="61"/>
  <c r="F17" i="61"/>
  <c r="D18" i="61"/>
  <c r="E18" i="61"/>
  <c r="F18" i="61"/>
  <c r="D19" i="61"/>
  <c r="E19" i="61"/>
  <c r="F19" i="61" s="1"/>
  <c r="D20" i="61"/>
  <c r="E20" i="61"/>
  <c r="F20" i="61"/>
  <c r="D21" i="61"/>
  <c r="E21" i="61"/>
  <c r="F21" i="61" s="1"/>
  <c r="D22" i="61"/>
  <c r="E22" i="61"/>
  <c r="F22" i="61"/>
  <c r="F23" i="61"/>
  <c r="D24" i="61"/>
  <c r="E24" i="61"/>
  <c r="F24" i="61"/>
  <c r="D25" i="61"/>
  <c r="E25" i="61"/>
  <c r="F25" i="61" s="1"/>
  <c r="D26" i="61"/>
  <c r="E26" i="61"/>
  <c r="F26" i="61"/>
  <c r="D27" i="61"/>
  <c r="E27" i="61"/>
  <c r="F27" i="61" s="1"/>
  <c r="F28" i="61"/>
  <c r="D29" i="61"/>
  <c r="E29" i="61"/>
  <c r="F29" i="61" s="1"/>
  <c r="D30" i="61"/>
  <c r="E30" i="61"/>
  <c r="F30" i="61"/>
  <c r="D31" i="61"/>
  <c r="E31" i="61"/>
  <c r="F31" i="61" s="1"/>
  <c r="F32" i="61"/>
  <c r="D33" i="61"/>
  <c r="E33" i="61"/>
  <c r="F33" i="61" s="1"/>
  <c r="D34" i="61"/>
  <c r="E34" i="61"/>
  <c r="F34" i="61"/>
  <c r="F35" i="61"/>
  <c r="D36" i="61"/>
  <c r="E36" i="61"/>
  <c r="F36" i="61"/>
  <c r="D37" i="61"/>
  <c r="E37" i="61"/>
  <c r="F37" i="61" s="1"/>
  <c r="D38" i="61"/>
  <c r="E38" i="61"/>
  <c r="F38" i="61"/>
  <c r="D39" i="61"/>
  <c r="E39" i="61"/>
  <c r="F39" i="61" s="1"/>
  <c r="D40" i="61"/>
  <c r="E40" i="61"/>
  <c r="F40" i="61"/>
  <c r="D41" i="61"/>
  <c r="E41" i="61"/>
  <c r="F41" i="61" s="1"/>
  <c r="D42" i="61"/>
  <c r="E42" i="61"/>
  <c r="F42" i="61"/>
  <c r="D43" i="61"/>
  <c r="E43" i="61"/>
  <c r="F43" i="61" s="1"/>
  <c r="D44" i="61"/>
  <c r="E44" i="61"/>
  <c r="F44" i="61"/>
  <c r="F45" i="61"/>
  <c r="D46" i="61"/>
  <c r="E46" i="61"/>
  <c r="F46" i="61"/>
  <c r="D47" i="61"/>
  <c r="E47" i="61"/>
  <c r="F47" i="61" s="1"/>
  <c r="D48" i="61"/>
  <c r="E48" i="61"/>
  <c r="F48" i="61"/>
  <c r="D49" i="61"/>
  <c r="E49" i="61"/>
  <c r="F49" i="61" s="1"/>
  <c r="D50" i="61"/>
  <c r="E50" i="61"/>
  <c r="F50" i="61"/>
  <c r="D51" i="61"/>
  <c r="E51" i="61"/>
  <c r="F51" i="61" s="1"/>
  <c r="F52" i="61"/>
  <c r="D53" i="61"/>
  <c r="E53" i="61"/>
  <c r="F53" i="61" s="1"/>
  <c r="D54" i="61"/>
  <c r="E54" i="61"/>
  <c r="F54" i="61"/>
  <c r="D55" i="61"/>
  <c r="E55" i="61"/>
  <c r="F55" i="61" s="1"/>
  <c r="D56" i="61"/>
  <c r="E56" i="61"/>
  <c r="F56" i="61"/>
  <c r="D57" i="61"/>
  <c r="E57" i="61"/>
  <c r="F57" i="61" s="1"/>
  <c r="F58" i="61"/>
  <c r="D59" i="61"/>
  <c r="E59" i="61"/>
  <c r="F59" i="61" s="1"/>
  <c r="D60" i="61"/>
  <c r="E60" i="61"/>
  <c r="F60" i="61"/>
  <c r="D61" i="61"/>
  <c r="E61" i="61"/>
  <c r="F61" i="61" s="1"/>
  <c r="D62" i="61"/>
  <c r="E62" i="61"/>
  <c r="F62" i="61"/>
  <c r="D63" i="61"/>
  <c r="E63" i="61"/>
  <c r="F63" i="61" s="1"/>
  <c r="F64" i="61"/>
  <c r="F65" i="61"/>
  <c r="F66" i="61"/>
  <c r="D67" i="61"/>
  <c r="F67" i="61"/>
  <c r="F68" i="61"/>
  <c r="D69" i="61"/>
  <c r="E69" i="61"/>
  <c r="F69" i="61"/>
  <c r="D70" i="61"/>
  <c r="E70" i="61"/>
  <c r="F70" i="61" s="1"/>
  <c r="D71" i="61"/>
  <c r="E71" i="61"/>
  <c r="F71" i="61"/>
  <c r="D72" i="61"/>
  <c r="E72" i="61"/>
  <c r="F72" i="61" s="1"/>
  <c r="D73" i="61"/>
  <c r="E73" i="61"/>
  <c r="F73" i="61"/>
  <c r="D74" i="61"/>
  <c r="E74" i="61"/>
  <c r="F74" i="61" s="1"/>
  <c r="F75" i="61"/>
  <c r="D76" i="61"/>
  <c r="E76" i="61"/>
  <c r="F76" i="61" s="1"/>
  <c r="D77" i="61"/>
  <c r="E77" i="61"/>
  <c r="F77" i="61"/>
  <c r="D78" i="61"/>
  <c r="E78" i="61"/>
  <c r="F78" i="61" s="1"/>
  <c r="D79" i="61"/>
  <c r="E79" i="61"/>
  <c r="F79" i="61"/>
  <c r="D80" i="61"/>
  <c r="E80" i="61"/>
  <c r="F80" i="61" s="1"/>
  <c r="D81" i="61"/>
  <c r="E81" i="61"/>
  <c r="F81" i="61"/>
  <c r="F82" i="61"/>
  <c r="D83" i="61"/>
  <c r="E83" i="61"/>
  <c r="F83" i="61"/>
  <c r="D84" i="61"/>
  <c r="E84" i="61"/>
  <c r="F84" i="61" s="1"/>
  <c r="D85" i="61"/>
  <c r="E85" i="61"/>
  <c r="F85" i="61"/>
  <c r="D86" i="61"/>
  <c r="E86" i="61"/>
  <c r="F86" i="61" s="1"/>
  <c r="D87" i="61"/>
  <c r="E87" i="61"/>
  <c r="F87" i="61"/>
  <c r="D88" i="61"/>
  <c r="E88" i="61"/>
  <c r="F88" i="61" s="1"/>
  <c r="D89" i="61"/>
  <c r="E89" i="61"/>
  <c r="F89" i="61"/>
  <c r="F90" i="61"/>
  <c r="D91" i="61"/>
  <c r="E91" i="61"/>
  <c r="F91" i="61"/>
  <c r="F92" i="61"/>
  <c r="D93" i="61"/>
  <c r="E93" i="61"/>
  <c r="F93" i="61"/>
  <c r="D94" i="61"/>
  <c r="E94" i="61"/>
  <c r="F94" i="61" s="1"/>
  <c r="D95" i="61"/>
  <c r="E95" i="61"/>
  <c r="F95" i="61"/>
  <c r="F96" i="61"/>
  <c r="F97" i="61"/>
  <c r="D98" i="61"/>
  <c r="E98" i="61"/>
  <c r="F98" i="61" s="1"/>
  <c r="D99" i="61"/>
  <c r="E99" i="61"/>
  <c r="F99" i="61"/>
  <c r="F100" i="61"/>
  <c r="D101" i="61"/>
  <c r="E101" i="61"/>
  <c r="F101" i="61"/>
  <c r="D102" i="61"/>
  <c r="E102" i="61"/>
  <c r="F102" i="61" s="1"/>
  <c r="D103" i="61"/>
  <c r="E103" i="61"/>
  <c r="F103" i="61"/>
  <c r="D104" i="61"/>
  <c r="E104" i="61"/>
  <c r="F104" i="61" s="1"/>
  <c r="D105" i="61"/>
  <c r="E105" i="61"/>
  <c r="F105" i="61"/>
  <c r="F106" i="61"/>
  <c r="D107" i="61"/>
  <c r="E107" i="61"/>
  <c r="F107" i="61"/>
  <c r="D108" i="61"/>
  <c r="E108" i="61"/>
  <c r="F108" i="61" s="1"/>
  <c r="D109" i="61"/>
  <c r="E109" i="61"/>
  <c r="F109" i="61"/>
  <c r="D110" i="61"/>
  <c r="E110" i="61"/>
  <c r="F110" i="61" s="1"/>
  <c r="F111" i="61"/>
  <c r="D112" i="61"/>
  <c r="E112" i="61"/>
  <c r="F112" i="61" s="1"/>
  <c r="D113" i="61"/>
  <c r="E113" i="61"/>
  <c r="F113" i="61"/>
  <c r="D114" i="61"/>
  <c r="E114" i="61"/>
  <c r="F114" i="61" s="1"/>
  <c r="D115" i="61"/>
  <c r="E115" i="61"/>
  <c r="F115" i="61"/>
  <c r="F116" i="61"/>
  <c r="F117" i="61"/>
  <c r="D118" i="61"/>
  <c r="E118" i="61"/>
  <c r="F118" i="61" s="1"/>
  <c r="D119" i="61"/>
  <c r="E119" i="61"/>
  <c r="F119" i="61"/>
  <c r="D120" i="61"/>
  <c r="E120" i="61"/>
  <c r="F120" i="61" s="1"/>
  <c r="F121" i="61"/>
  <c r="D122" i="61"/>
  <c r="E122" i="61"/>
  <c r="F122" i="61" s="1"/>
  <c r="D123" i="61"/>
  <c r="E123" i="61"/>
  <c r="F123" i="61"/>
  <c r="D124" i="61"/>
  <c r="E124" i="61"/>
  <c r="F124" i="61" s="1"/>
  <c r="D125" i="61"/>
  <c r="E125" i="61"/>
  <c r="F125" i="61"/>
  <c r="D126" i="61"/>
  <c r="E126" i="61"/>
  <c r="F126" i="61" s="1"/>
  <c r="D127" i="61"/>
  <c r="E127" i="61"/>
  <c r="F127" i="61"/>
  <c r="D128" i="61"/>
  <c r="E128" i="61"/>
  <c r="F128" i="61" s="1"/>
  <c r="D129" i="61"/>
  <c r="E129" i="61"/>
  <c r="F129" i="61"/>
  <c r="F130" i="61"/>
  <c r="D131" i="61"/>
  <c r="E131" i="61"/>
  <c r="F131" i="61"/>
  <c r="D132" i="61"/>
  <c r="E132" i="61"/>
  <c r="F132" i="61" s="1"/>
  <c r="D133" i="61"/>
  <c r="E133" i="61"/>
  <c r="F133" i="61"/>
  <c r="F134" i="61"/>
  <c r="D135" i="61"/>
  <c r="E135" i="61"/>
  <c r="F135" i="61"/>
  <c r="D136" i="61"/>
  <c r="E136" i="61"/>
  <c r="F136" i="61" s="1"/>
  <c r="D137" i="61"/>
  <c r="E137" i="61"/>
  <c r="F137" i="61"/>
  <c r="D138" i="61"/>
  <c r="E138" i="61"/>
  <c r="F138" i="61" s="1"/>
  <c r="F139" i="61"/>
  <c r="F140" i="61"/>
  <c r="D141" i="61"/>
  <c r="F141" i="61" s="1"/>
  <c r="F142" i="61"/>
  <c r="D143" i="61"/>
  <c r="E143" i="61"/>
  <c r="F143" i="61" s="1"/>
  <c r="D144" i="61"/>
  <c r="E144" i="61"/>
  <c r="F144" i="61"/>
  <c r="D145" i="61"/>
  <c r="E145" i="61"/>
  <c r="F145" i="61" s="1"/>
  <c r="D146" i="61"/>
  <c r="E146" i="61"/>
  <c r="F146" i="61"/>
  <c r="D147" i="61"/>
  <c r="E147" i="61"/>
  <c r="F147" i="61" s="1"/>
  <c r="F148" i="61"/>
  <c r="D149" i="61"/>
  <c r="E149" i="61"/>
  <c r="F149" i="61" s="1"/>
  <c r="D150" i="61"/>
  <c r="E150" i="61"/>
  <c r="F150" i="61"/>
  <c r="F151" i="61"/>
  <c r="D152" i="61"/>
  <c r="E152" i="61"/>
  <c r="F152" i="61"/>
  <c r="D153" i="61"/>
  <c r="E153" i="61"/>
  <c r="F153" i="61" s="1"/>
  <c r="D154" i="61"/>
  <c r="E154" i="61"/>
  <c r="F154" i="61"/>
  <c r="D155" i="61"/>
  <c r="E155" i="61"/>
  <c r="F155" i="61" s="1"/>
  <c r="D156" i="61"/>
  <c r="E156" i="61"/>
  <c r="F156" i="61"/>
  <c r="D157" i="61"/>
  <c r="E157" i="61"/>
  <c r="F157" i="61" s="1"/>
  <c r="D158" i="61"/>
  <c r="E158" i="61"/>
  <c r="F158" i="61"/>
  <c r="D159" i="61"/>
  <c r="E159" i="61"/>
  <c r="F159" i="61" s="1"/>
  <c r="F160" i="61"/>
  <c r="D161" i="61"/>
  <c r="E161" i="61"/>
  <c r="F161" i="61" s="1"/>
  <c r="D162" i="61"/>
  <c r="E162" i="61"/>
  <c r="F162" i="61"/>
  <c r="D163" i="61"/>
  <c r="E163" i="61"/>
  <c r="F163" i="61" s="1"/>
  <c r="F164" i="61"/>
  <c r="D165" i="61"/>
  <c r="E165" i="61"/>
  <c r="F165" i="61" s="1"/>
  <c r="D166" i="61"/>
  <c r="E166" i="61"/>
  <c r="F166" i="61"/>
  <c r="D167" i="61"/>
  <c r="E167" i="61"/>
  <c r="F167" i="61" s="1"/>
  <c r="D168" i="61"/>
  <c r="E168" i="61"/>
  <c r="F168" i="61"/>
  <c r="D169" i="61"/>
  <c r="E169" i="61"/>
  <c r="F169" i="61" s="1"/>
  <c r="D170" i="61"/>
  <c r="E170" i="61"/>
  <c r="F170" i="61"/>
  <c r="D171" i="61"/>
  <c r="E171" i="61"/>
  <c r="F171" i="61" s="1"/>
  <c r="D172" i="61"/>
  <c r="E172" i="61"/>
  <c r="F172" i="61"/>
  <c r="D173" i="61"/>
  <c r="E173" i="61"/>
  <c r="F173" i="61" s="1"/>
  <c r="F174" i="61"/>
  <c r="F175" i="61"/>
  <c r="D176" i="61"/>
  <c r="F176" i="61" s="1"/>
  <c r="F177" i="61"/>
  <c r="D178" i="61"/>
  <c r="E178" i="61"/>
  <c r="F178" i="61" s="1"/>
  <c r="D179" i="61"/>
  <c r="E179" i="61"/>
  <c r="F179" i="61"/>
  <c r="D180" i="61"/>
  <c r="E180" i="61"/>
  <c r="F180" i="61" s="1"/>
  <c r="D181" i="61"/>
  <c r="E181" i="61"/>
  <c r="F181" i="61"/>
  <c r="D182" i="61"/>
  <c r="E182" i="61"/>
  <c r="F182" i="61" s="1"/>
  <c r="D183" i="61"/>
  <c r="E183" i="61"/>
  <c r="F183" i="61"/>
  <c r="D184" i="61"/>
  <c r="E184" i="61"/>
  <c r="F184" i="61" s="1"/>
  <c r="D185" i="61"/>
  <c r="E185" i="61"/>
  <c r="F185" i="61"/>
  <c r="D186" i="61"/>
  <c r="E186" i="61"/>
  <c r="F186" i="61" s="1"/>
  <c r="D187" i="61"/>
  <c r="E187" i="61"/>
  <c r="F187" i="61"/>
  <c r="D188" i="61"/>
  <c r="E188" i="61"/>
  <c r="F188" i="61" s="1"/>
  <c r="F189" i="61"/>
  <c r="D190" i="61"/>
  <c r="F190" i="61"/>
  <c r="F191" i="61"/>
  <c r="D192" i="61"/>
  <c r="E192" i="61"/>
  <c r="F192" i="61"/>
  <c r="D193" i="61"/>
  <c r="E193" i="61"/>
  <c r="F193" i="61" s="1"/>
  <c r="D194" i="61"/>
  <c r="E194" i="61"/>
  <c r="F194" i="61"/>
  <c r="D195" i="61"/>
  <c r="E195" i="61"/>
  <c r="F195" i="61" s="1"/>
  <c r="D196" i="61"/>
  <c r="E196" i="61"/>
  <c r="F196" i="61"/>
  <c r="D197" i="61"/>
  <c r="E197" i="61"/>
  <c r="F197" i="61" s="1"/>
  <c r="D198" i="61"/>
  <c r="E198" i="61"/>
  <c r="F198" i="61"/>
  <c r="F199" i="61"/>
  <c r="F200" i="61"/>
  <c r="F201" i="61"/>
  <c r="F202" i="61"/>
  <c r="D203" i="61"/>
  <c r="F203" i="61"/>
  <c r="F204" i="61"/>
  <c r="D205" i="61"/>
  <c r="E205" i="61"/>
  <c r="F205" i="61"/>
  <c r="D206" i="61"/>
  <c r="E206" i="61"/>
  <c r="F206" i="61" s="1"/>
  <c r="D207" i="61"/>
  <c r="E207" i="61"/>
  <c r="F207" i="61"/>
  <c r="D208" i="61"/>
  <c r="E208" i="61"/>
  <c r="F208" i="61" s="1"/>
  <c r="D209" i="61"/>
  <c r="E209" i="61"/>
  <c r="F209" i="61"/>
  <c r="D210" i="61"/>
  <c r="E210" i="61"/>
  <c r="F210" i="61" s="1"/>
  <c r="D211" i="61"/>
  <c r="E211" i="61"/>
  <c r="F211" i="61"/>
  <c r="D212" i="61"/>
  <c r="E212" i="61"/>
  <c r="F212" i="61" s="1"/>
  <c r="D213" i="61"/>
  <c r="E213" i="61"/>
  <c r="F213" i="61"/>
  <c r="F214" i="61"/>
  <c r="D215" i="61"/>
  <c r="E215" i="61"/>
  <c r="F215" i="61"/>
  <c r="D216" i="61"/>
  <c r="E216" i="61"/>
  <c r="F216" i="61" s="1"/>
  <c r="D217" i="61"/>
  <c r="E217" i="61"/>
  <c r="F217" i="61"/>
  <c r="D218" i="61"/>
  <c r="E218" i="61"/>
  <c r="F218" i="61" s="1"/>
  <c r="D219" i="61"/>
  <c r="E219" i="61"/>
  <c r="F219" i="61"/>
  <c r="D220" i="61"/>
  <c r="E220" i="61"/>
  <c r="F220" i="61" s="1"/>
  <c r="D221" i="61"/>
  <c r="E221" i="61"/>
  <c r="F221" i="61"/>
  <c r="D222" i="61"/>
  <c r="E222" i="61"/>
  <c r="F222" i="61" s="1"/>
  <c r="D223" i="61"/>
  <c r="E223" i="61"/>
  <c r="F223" i="61"/>
  <c r="D224" i="61"/>
  <c r="E224" i="61"/>
  <c r="F224" i="61" s="1"/>
  <c r="D225" i="61"/>
  <c r="E225" i="61"/>
  <c r="F225" i="61" s="1"/>
  <c r="D226" i="61"/>
  <c r="E226" i="61"/>
  <c r="F226" i="61"/>
  <c r="B227" i="61"/>
  <c r="D227" i="61"/>
  <c r="E227" i="61"/>
  <c r="F227" i="61" s="1"/>
  <c r="D228" i="61"/>
  <c r="E228" i="61"/>
  <c r="F228" i="61"/>
  <c r="D229" i="61"/>
  <c r="E229" i="61"/>
  <c r="F229" i="61" s="1"/>
  <c r="D230" i="61"/>
  <c r="E230" i="61"/>
  <c r="F230" i="61"/>
  <c r="D231" i="61"/>
  <c r="E231" i="61"/>
  <c r="F231" i="61" s="1"/>
  <c r="A232" i="61"/>
  <c r="B232" i="61"/>
  <c r="D232" i="61"/>
  <c r="E232" i="61"/>
  <c r="F232" i="61" s="1"/>
  <c r="A233" i="61"/>
  <c r="B233" i="61"/>
  <c r="D233" i="61"/>
  <c r="E233" i="61"/>
  <c r="F233" i="61"/>
  <c r="A234" i="61"/>
  <c r="B234" i="61"/>
  <c r="D234" i="61"/>
  <c r="E234" i="61"/>
  <c r="F234" i="61" s="1"/>
  <c r="B235" i="61"/>
  <c r="D235" i="61"/>
  <c r="E235" i="61"/>
  <c r="F235" i="61" s="1"/>
  <c r="B236" i="61"/>
  <c r="D236" i="61"/>
  <c r="E236" i="61"/>
  <c r="F236" i="61" s="1"/>
  <c r="B237" i="61"/>
  <c r="D237" i="61"/>
  <c r="E237" i="61"/>
  <c r="F237" i="61" s="1"/>
  <c r="F238" i="61"/>
  <c r="D239" i="61"/>
  <c r="E239" i="61"/>
  <c r="F239" i="61" s="1"/>
  <c r="F240" i="61"/>
  <c r="D241" i="61"/>
  <c r="E241" i="61"/>
  <c r="F241" i="61" s="1"/>
  <c r="D242" i="61"/>
  <c r="E242" i="61"/>
  <c r="F242" i="61"/>
  <c r="D243" i="61"/>
  <c r="E243" i="61"/>
  <c r="F243" i="61" s="1"/>
  <c r="D244" i="61"/>
  <c r="E244" i="61"/>
  <c r="F244" i="61"/>
  <c r="D245" i="61"/>
  <c r="E245" i="61"/>
  <c r="F245" i="61" s="1"/>
  <c r="D246" i="61"/>
  <c r="E246" i="61"/>
  <c r="F246" i="61"/>
  <c r="D247" i="61"/>
  <c r="E247" i="61"/>
  <c r="F247" i="61" s="1"/>
  <c r="D248" i="61"/>
  <c r="E248" i="61"/>
  <c r="F248" i="61"/>
  <c r="D249" i="61"/>
  <c r="E249" i="61"/>
  <c r="F249" i="61" s="1"/>
  <c r="F250" i="61"/>
  <c r="F251" i="61"/>
  <c r="D252" i="61"/>
  <c r="E252" i="61"/>
  <c r="F252" i="61"/>
  <c r="D253" i="61"/>
  <c r="F253" i="61"/>
  <c r="D254" i="61"/>
  <c r="E254" i="61"/>
  <c r="F254" i="61" s="1"/>
  <c r="D255" i="61"/>
  <c r="E255" i="61"/>
  <c r="F255" i="61"/>
  <c r="F256" i="61"/>
  <c r="D257" i="61"/>
  <c r="E257" i="61"/>
  <c r="F257" i="61"/>
  <c r="D258" i="61"/>
  <c r="E258" i="61"/>
  <c r="F258" i="61" s="1"/>
  <c r="F259" i="61"/>
  <c r="D260" i="61"/>
  <c r="E260" i="61"/>
  <c r="F260" i="61" s="1"/>
  <c r="D261" i="61"/>
  <c r="E261" i="61"/>
  <c r="F261" i="61"/>
  <c r="D262" i="61"/>
  <c r="E262" i="61"/>
  <c r="F262" i="61" s="1"/>
  <c r="D263" i="61"/>
  <c r="E263" i="61"/>
  <c r="F263" i="61"/>
  <c r="F264" i="61"/>
  <c r="D265" i="61"/>
  <c r="E265" i="61"/>
  <c r="F265" i="61"/>
  <c r="D266" i="61"/>
  <c r="E266" i="61"/>
  <c r="F266" i="61" s="1"/>
  <c r="D267" i="61"/>
  <c r="E267" i="61"/>
  <c r="F267" i="61"/>
  <c r="D268" i="61"/>
  <c r="E268" i="61"/>
  <c r="F268" i="61" s="1"/>
  <c r="D269" i="61"/>
  <c r="E269" i="61"/>
  <c r="F269" i="61"/>
  <c r="F270" i="61"/>
  <c r="D271" i="61"/>
  <c r="E271" i="61"/>
  <c r="F271" i="61"/>
  <c r="D272" i="61"/>
  <c r="E272" i="61"/>
  <c r="F272" i="61" s="1"/>
  <c r="D273" i="61"/>
  <c r="E273" i="61"/>
  <c r="F273" i="61"/>
  <c r="F274" i="61"/>
  <c r="D275" i="61"/>
  <c r="E275" i="61"/>
  <c r="F275" i="61"/>
  <c r="D276" i="61"/>
  <c r="E276" i="61"/>
  <c r="F276" i="61" s="1"/>
  <c r="F277" i="61"/>
  <c r="D278" i="61"/>
  <c r="F278" i="61"/>
  <c r="F279" i="61"/>
  <c r="D280" i="61"/>
  <c r="E280" i="61"/>
  <c r="F280" i="61"/>
  <c r="D281" i="61"/>
  <c r="E281" i="61"/>
  <c r="F281" i="61" s="1"/>
  <c r="D282" i="61"/>
  <c r="E282" i="61"/>
  <c r="F282" i="61"/>
  <c r="F283" i="61"/>
  <c r="D284" i="61"/>
  <c r="E284" i="61"/>
  <c r="F284" i="61"/>
  <c r="D285" i="61"/>
  <c r="E285" i="61"/>
  <c r="F285" i="61" s="1"/>
  <c r="D286" i="61"/>
  <c r="E286" i="61"/>
  <c r="F286" i="61"/>
  <c r="D287" i="61"/>
  <c r="E287" i="61"/>
  <c r="F287" i="61" s="1"/>
  <c r="D288" i="61"/>
  <c r="E288" i="61"/>
  <c r="F288" i="61"/>
  <c r="D289" i="61"/>
  <c r="E289" i="61"/>
  <c r="F289" i="61" s="1"/>
  <c r="A290" i="61"/>
  <c r="B290" i="61"/>
  <c r="D290" i="61"/>
  <c r="E290" i="61"/>
  <c r="F290" i="61"/>
  <c r="A291" i="61"/>
  <c r="B291" i="61"/>
  <c r="D291" i="61"/>
  <c r="E291" i="61"/>
  <c r="F291" i="61" s="1"/>
  <c r="D292" i="61"/>
  <c r="E292" i="61"/>
  <c r="F292" i="61"/>
  <c r="A293" i="61"/>
  <c r="B293" i="61"/>
  <c r="D293" i="61"/>
  <c r="E293" i="61"/>
  <c r="F293" i="61" s="1"/>
  <c r="F294" i="61"/>
  <c r="D295" i="61"/>
  <c r="F295" i="61"/>
  <c r="F296" i="61"/>
  <c r="D297" i="61"/>
  <c r="F297" i="61" s="1"/>
  <c r="E297" i="61"/>
  <c r="D298" i="61"/>
  <c r="E298" i="61"/>
  <c r="F298" i="61" s="1"/>
  <c r="D299" i="61"/>
  <c r="E299" i="61"/>
  <c r="F299" i="61"/>
  <c r="D300" i="61"/>
  <c r="E300" i="61"/>
  <c r="F300" i="61" s="1"/>
  <c r="D301" i="61"/>
  <c r="E301" i="61"/>
  <c r="F301" i="61"/>
  <c r="F302" i="61"/>
  <c r="D303" i="61"/>
  <c r="F303" i="61" s="1"/>
  <c r="D305" i="61"/>
  <c r="D306" i="61"/>
  <c r="D307" i="61"/>
  <c r="B14" i="59"/>
  <c r="D14" i="59"/>
  <c r="E30" i="59"/>
  <c r="B31" i="59"/>
  <c r="B32" i="59"/>
  <c r="B30" i="59" s="1"/>
  <c r="D32" i="59"/>
  <c r="D30" i="59" s="1"/>
  <c r="B33" i="59"/>
  <c r="D33" i="59"/>
  <c r="D34" i="59"/>
  <c r="D35" i="59"/>
  <c r="D36" i="59"/>
  <c r="D37" i="59"/>
  <c r="D38" i="59"/>
  <c r="D39" i="59"/>
  <c r="D40" i="59"/>
  <c r="D41" i="59"/>
  <c r="D42" i="59"/>
  <c r="D43" i="59"/>
  <c r="D44" i="59"/>
  <c r="D45" i="59"/>
  <c r="D46" i="59"/>
  <c r="D47" i="59"/>
  <c r="D48" i="59"/>
  <c r="D49" i="59"/>
  <c r="D50" i="59"/>
  <c r="D51" i="59"/>
  <c r="D52" i="59"/>
  <c r="D53" i="59"/>
  <c r="D54" i="59"/>
  <c r="D55" i="59"/>
  <c r="D56" i="59"/>
  <c r="D57" i="59"/>
  <c r="D58" i="59"/>
  <c r="D59" i="59"/>
  <c r="B60" i="59"/>
  <c r="D60" i="59"/>
  <c r="E60" i="59"/>
  <c r="D61" i="59"/>
  <c r="D62" i="59"/>
  <c r="D63" i="59"/>
  <c r="D64" i="59"/>
  <c r="D65" i="59"/>
  <c r="D66" i="59"/>
  <c r="B67" i="59"/>
  <c r="D67" i="59"/>
  <c r="B70" i="59"/>
  <c r="D70" i="59"/>
  <c r="E70" i="59"/>
  <c r="D80" i="59"/>
  <c r="D79" i="59" s="1"/>
  <c r="E81" i="59"/>
  <c r="E79" i="59" s="1"/>
  <c r="B82" i="59"/>
  <c r="B79" i="59" s="1"/>
  <c r="D82" i="59"/>
  <c r="E82" i="59"/>
  <c r="B87" i="59"/>
  <c r="D87" i="59"/>
  <c r="B95" i="59"/>
  <c r="D95" i="59"/>
  <c r="E124" i="59"/>
  <c r="E85" i="59" s="1"/>
  <c r="B128" i="59"/>
  <c r="D128" i="59"/>
  <c r="D124" i="59" s="1"/>
  <c r="D85" i="59" s="1"/>
  <c r="B129" i="59"/>
  <c r="B124" i="59" s="1"/>
  <c r="B132" i="59"/>
  <c r="E132" i="59"/>
  <c r="B134" i="59"/>
  <c r="D134" i="59"/>
  <c r="D132" i="59" s="1"/>
  <c r="B135" i="59"/>
  <c r="D135" i="59"/>
  <c r="B10" i="58"/>
  <c r="C10" i="58"/>
  <c r="B14" i="58"/>
  <c r="C14" i="58"/>
  <c r="D14" i="58"/>
  <c r="B15" i="58"/>
  <c r="C15" i="58"/>
  <c r="D15" i="58" s="1"/>
  <c r="D16" i="58"/>
  <c r="D17" i="58"/>
  <c r="D18" i="58"/>
  <c r="D19" i="58"/>
  <c r="D20" i="58"/>
  <c r="D21" i="58"/>
  <c r="D22" i="58"/>
  <c r="D23" i="58"/>
  <c r="D24" i="58"/>
  <c r="D25" i="58"/>
  <c r="D26" i="58"/>
  <c r="D27" i="58"/>
  <c r="D28" i="58"/>
  <c r="D29" i="58"/>
  <c r="D30" i="58"/>
  <c r="D31" i="58"/>
  <c r="D32" i="58"/>
  <c r="D33" i="58"/>
  <c r="D34" i="58"/>
  <c r="D35" i="58"/>
  <c r="D36" i="58"/>
  <c r="D37" i="58"/>
  <c r="D38" i="58"/>
  <c r="D39" i="58"/>
  <c r="D40" i="58"/>
  <c r="D41" i="58"/>
  <c r="B42" i="58"/>
  <c r="C42" i="58"/>
  <c r="D42" i="58" s="1"/>
  <c r="D43" i="58"/>
  <c r="D44" i="58"/>
  <c r="D45" i="58"/>
  <c r="D46" i="58"/>
  <c r="D47" i="58"/>
  <c r="D48" i="58"/>
  <c r="B49" i="58"/>
  <c r="C49" i="58"/>
  <c r="D50" i="58"/>
  <c r="B52" i="58"/>
  <c r="C52" i="58"/>
  <c r="D54" i="58"/>
  <c r="D55" i="58"/>
  <c r="D56" i="58"/>
  <c r="D57" i="58"/>
  <c r="D58" i="58"/>
  <c r="B60" i="58"/>
  <c r="C60" i="58"/>
  <c r="D60" i="58" s="1"/>
  <c r="B62" i="58"/>
  <c r="C62" i="58"/>
  <c r="D64" i="58"/>
  <c r="B67" i="58"/>
  <c r="C67" i="58"/>
  <c r="D67" i="58" s="1"/>
  <c r="D68" i="58"/>
  <c r="D69" i="58"/>
  <c r="D70" i="58"/>
  <c r="D71" i="58"/>
  <c r="D72" i="58"/>
  <c r="D73" i="58"/>
  <c r="B75" i="58"/>
  <c r="C75" i="58"/>
  <c r="D76" i="58"/>
  <c r="D77" i="58"/>
  <c r="D78" i="58"/>
  <c r="D79" i="58"/>
  <c r="D80" i="58"/>
  <c r="D81" i="58"/>
  <c r="D82" i="58"/>
  <c r="D83" i="58"/>
  <c r="D84" i="58"/>
  <c r="D85" i="58"/>
  <c r="D86" i="58"/>
  <c r="D87" i="58"/>
  <c r="D88" i="58"/>
  <c r="D89" i="58"/>
  <c r="D90" i="58"/>
  <c r="D91" i="58"/>
  <c r="D92" i="58"/>
  <c r="D93" i="58"/>
  <c r="D94" i="58"/>
  <c r="D95" i="58"/>
  <c r="D96" i="58"/>
  <c r="D97" i="58"/>
  <c r="D98" i="58"/>
  <c r="D99" i="58"/>
  <c r="D100" i="58"/>
  <c r="D101" i="58"/>
  <c r="D102" i="58"/>
  <c r="D105" i="58"/>
  <c r="D106" i="58"/>
  <c r="D107" i="58"/>
  <c r="B108" i="58"/>
  <c r="B104" i="58" s="1"/>
  <c r="C108" i="58"/>
  <c r="D109" i="58"/>
  <c r="B113" i="58"/>
  <c r="C113" i="58"/>
  <c r="D113" i="58" s="1"/>
  <c r="B114" i="58"/>
  <c r="C114" i="58"/>
  <c r="X96" i="62" l="1"/>
  <c r="X65" i="62"/>
  <c r="X108" i="63"/>
  <c r="AW52" i="62"/>
  <c r="AM45" i="62"/>
  <c r="X11" i="62"/>
  <c r="D114" i="58"/>
  <c r="B111" i="58"/>
  <c r="D108" i="58"/>
  <c r="D75" i="58"/>
  <c r="B65" i="58"/>
  <c r="D62" i="58"/>
  <c r="B59" i="58"/>
  <c r="D52" i="58"/>
  <c r="D10" i="58"/>
  <c r="B12" i="58"/>
  <c r="D49" i="58"/>
  <c r="AW277" i="62"/>
  <c r="AW264" i="62"/>
  <c r="AM198" i="62"/>
  <c r="X160" i="62"/>
  <c r="X156" i="62"/>
  <c r="X102" i="62"/>
  <c r="X87" i="62"/>
  <c r="AM87" i="62"/>
  <c r="AF87" i="62"/>
  <c r="AW24" i="62"/>
  <c r="AF17" i="62"/>
  <c r="X17" i="62"/>
  <c r="B85" i="59"/>
  <c r="X264" i="62"/>
  <c r="X253" i="62"/>
  <c r="AF198" i="62"/>
  <c r="X198" i="62"/>
  <c r="AF160" i="62"/>
  <c r="X147" i="62"/>
  <c r="AM138" i="62"/>
  <c r="X126" i="62"/>
  <c r="X107" i="62"/>
  <c r="AM96" i="62"/>
  <c r="AF79" i="62"/>
  <c r="X79" i="62"/>
  <c r="AM24" i="62"/>
  <c r="AF24" i="62"/>
  <c r="Y313" i="63"/>
  <c r="Y311" i="63" s="1"/>
  <c r="Y309" i="63" s="1"/>
  <c r="D6" i="67"/>
  <c r="E133" i="65"/>
  <c r="B133" i="65"/>
  <c r="B125" i="65"/>
  <c r="E86" i="65"/>
  <c r="B86" i="65"/>
  <c r="E30" i="65"/>
  <c r="E12" i="65"/>
  <c r="B30" i="65"/>
  <c r="H12" i="65"/>
  <c r="B12" i="65"/>
  <c r="AW309" i="63"/>
  <c r="Y282" i="63"/>
  <c r="AF282" i="63" s="1"/>
  <c r="AF284" i="63"/>
  <c r="E284" i="63"/>
  <c r="X284" i="63"/>
  <c r="AG282" i="63"/>
  <c r="D277" i="63"/>
  <c r="E277" i="63"/>
  <c r="AU275" i="63"/>
  <c r="AN275" i="63"/>
  <c r="D273" i="63"/>
  <c r="AM273" i="63"/>
  <c r="F273" i="63"/>
  <c r="AM257" i="63"/>
  <c r="F269" i="63"/>
  <c r="AW257" i="63"/>
  <c r="F251" i="63"/>
  <c r="X245" i="63"/>
  <c r="AU236" i="63"/>
  <c r="AW236" i="63"/>
  <c r="D236" i="63"/>
  <c r="AU234" i="63"/>
  <c r="AW234" i="63"/>
  <c r="AU229" i="63"/>
  <c r="AW229" i="63"/>
  <c r="AW301" i="63"/>
  <c r="F296" i="63"/>
  <c r="D294" i="63"/>
  <c r="AW282" i="63"/>
  <c r="AP282" i="63"/>
  <c r="AM282" i="63"/>
  <c r="E275" i="63"/>
  <c r="E273" i="63"/>
  <c r="E266" i="63"/>
  <c r="AN259" i="63"/>
  <c r="AU261" i="63"/>
  <c r="AU259" i="63" s="1"/>
  <c r="AW261" i="63"/>
  <c r="AG257" i="63"/>
  <c r="AM259" i="63"/>
  <c r="E261" i="63"/>
  <c r="AQ257" i="63"/>
  <c r="Z257" i="63"/>
  <c r="G251" i="63"/>
  <c r="F234" i="63"/>
  <c r="D234" i="63"/>
  <c r="AU232" i="63"/>
  <c r="AW232" i="63"/>
  <c r="F229" i="63"/>
  <c r="D229" i="63"/>
  <c r="AU227" i="63"/>
  <c r="AW227" i="63"/>
  <c r="AN222" i="63"/>
  <c r="AW222" i="63" s="1"/>
  <c r="AW226" i="63"/>
  <c r="F226" i="63" s="1"/>
  <c r="AM219" i="63"/>
  <c r="AG219" i="63"/>
  <c r="AN313" i="63"/>
  <c r="AG313" i="63"/>
  <c r="AM312" i="63"/>
  <c r="AM311" i="63"/>
  <c r="AG311" i="63"/>
  <c r="AG309" i="63" s="1"/>
  <c r="AA311" i="63"/>
  <c r="AA309" i="63" s="1"/>
  <c r="F311" i="63"/>
  <c r="AN307" i="63"/>
  <c r="AG303" i="63"/>
  <c r="F299" i="63"/>
  <c r="E294" i="63"/>
  <c r="E293" i="63"/>
  <c r="AN292" i="63"/>
  <c r="E292" i="63" s="1"/>
  <c r="X292" i="63"/>
  <c r="D292" i="63"/>
  <c r="D291" i="63" s="1"/>
  <c r="G291" i="63"/>
  <c r="X286" i="63"/>
  <c r="D286" i="63"/>
  <c r="D284" i="63" s="1"/>
  <c r="D282" i="63" s="1"/>
  <c r="E285" i="63"/>
  <c r="AN280" i="63"/>
  <c r="E280" i="63" s="1"/>
  <c r="X279" i="63"/>
  <c r="X275" i="63"/>
  <c r="X272" i="63"/>
  <c r="D272" i="63"/>
  <c r="AN271" i="63"/>
  <c r="AP267" i="63"/>
  <c r="AN267" i="63" s="1"/>
  <c r="Y267" i="63"/>
  <c r="D267" i="63" s="1"/>
  <c r="F266" i="63"/>
  <c r="D266" i="63"/>
  <c r="AF264" i="63"/>
  <c r="F264" i="63" s="1"/>
  <c r="X262" i="63"/>
  <c r="F262" i="63" s="1"/>
  <c r="D262" i="63"/>
  <c r="AP259" i="63"/>
  <c r="X259" i="63"/>
  <c r="G259" i="63"/>
  <c r="X248" i="63"/>
  <c r="D248" i="63"/>
  <c r="AN247" i="63"/>
  <c r="X246" i="63"/>
  <c r="D246" i="63"/>
  <c r="D243" i="63"/>
  <c r="D238" i="63"/>
  <c r="AW237" i="63"/>
  <c r="F237" i="63"/>
  <c r="E236" i="63"/>
  <c r="E234" i="63"/>
  <c r="E232" i="63"/>
  <c r="D231" i="63"/>
  <c r="E229" i="63"/>
  <c r="E227" i="63"/>
  <c r="AN225" i="63"/>
  <c r="E225" i="63"/>
  <c r="F221" i="63"/>
  <c r="AN220" i="63"/>
  <c r="E220" i="63" s="1"/>
  <c r="Y219" i="63"/>
  <c r="D220" i="63"/>
  <c r="F217" i="63"/>
  <c r="D217" i="63"/>
  <c r="E215" i="63"/>
  <c r="D214" i="63"/>
  <c r="E214" i="63"/>
  <c r="AW207" i="63"/>
  <c r="AM209" i="63"/>
  <c r="E211" i="63"/>
  <c r="AP209" i="63"/>
  <c r="AP207" i="63" s="1"/>
  <c r="AG209" i="63"/>
  <c r="AG207" i="63" s="1"/>
  <c r="AS207" i="63"/>
  <c r="AQ207" i="63"/>
  <c r="AK207" i="63"/>
  <c r="AI207" i="63"/>
  <c r="AD207" i="63"/>
  <c r="AB207" i="63"/>
  <c r="Z207" i="63"/>
  <c r="V207" i="63"/>
  <c r="T207" i="63"/>
  <c r="R207" i="63"/>
  <c r="P207" i="63"/>
  <c r="M207" i="63"/>
  <c r="K207" i="63"/>
  <c r="I207" i="63"/>
  <c r="Y194" i="63"/>
  <c r="AF194" i="63" s="1"/>
  <c r="AF196" i="63"/>
  <c r="AU200" i="63"/>
  <c r="AW200" i="63"/>
  <c r="F200" i="63"/>
  <c r="AS182" i="63"/>
  <c r="AS175" i="63" s="1"/>
  <c r="AS173" i="63" s="1"/>
  <c r="AQ182" i="63"/>
  <c r="AQ175" i="63" s="1"/>
  <c r="AQ173" i="63" s="1"/>
  <c r="AO182" i="63"/>
  <c r="AJ182" i="63"/>
  <c r="AU168" i="63"/>
  <c r="D168" i="63"/>
  <c r="E168" i="63"/>
  <c r="E167" i="63"/>
  <c r="D167" i="63"/>
  <c r="E165" i="63"/>
  <c r="D165" i="63"/>
  <c r="AU165" i="63"/>
  <c r="AN162" i="63"/>
  <c r="G162" i="63"/>
  <c r="D280" i="63"/>
  <c r="D279" i="63" s="1"/>
  <c r="D276" i="63"/>
  <c r="D275" i="63" s="1"/>
  <c r="D271" i="63"/>
  <c r="D269" i="63" s="1"/>
  <c r="D265" i="63"/>
  <c r="D264" i="63" s="1"/>
  <c r="D261" i="63"/>
  <c r="D259" i="63" s="1"/>
  <c r="D257" i="63" s="1"/>
  <c r="AN253" i="63"/>
  <c r="G253" i="63"/>
  <c r="D225" i="63"/>
  <c r="D222" i="63" s="1"/>
  <c r="N207" i="63"/>
  <c r="Y207" i="63"/>
  <c r="AN209" i="63"/>
  <c r="AF209" i="63"/>
  <c r="AT207" i="63"/>
  <c r="AR207" i="63"/>
  <c r="AO207" i="63"/>
  <c r="AJ207" i="63"/>
  <c r="AH207" i="63"/>
  <c r="AC207" i="63"/>
  <c r="AA207" i="63"/>
  <c r="W207" i="63"/>
  <c r="U207" i="63"/>
  <c r="S207" i="63"/>
  <c r="Q207" i="63"/>
  <c r="O207" i="63"/>
  <c r="L207" i="63"/>
  <c r="J207" i="63"/>
  <c r="H207" i="63"/>
  <c r="AW196" i="63"/>
  <c r="F197" i="63"/>
  <c r="AT182" i="63"/>
  <c r="AR182" i="63"/>
  <c r="AR175" i="63" s="1"/>
  <c r="AR173" i="63" s="1"/>
  <c r="AK182" i="63"/>
  <c r="AK175" i="63" s="1"/>
  <c r="AK173" i="63" s="1"/>
  <c r="AG173" i="63"/>
  <c r="AM173" i="63" s="1"/>
  <c r="AM175" i="63"/>
  <c r="Y173" i="63"/>
  <c r="AF173" i="63" s="1"/>
  <c r="AF175" i="63"/>
  <c r="AU164" i="63"/>
  <c r="D164" i="63"/>
  <c r="E164" i="63"/>
  <c r="D215" i="63"/>
  <c r="G213" i="63"/>
  <c r="D212" i="63"/>
  <c r="D211" i="63"/>
  <c r="X209" i="63"/>
  <c r="AP201" i="63"/>
  <c r="AN201" i="63" s="1"/>
  <c r="AU201" i="63" s="1"/>
  <c r="X201" i="63"/>
  <c r="D201" i="63"/>
  <c r="X199" i="63"/>
  <c r="D199" i="63"/>
  <c r="AN198" i="63"/>
  <c r="E185" i="63"/>
  <c r="G184" i="63"/>
  <c r="E181" i="63"/>
  <c r="F180" i="63"/>
  <c r="E179" i="63"/>
  <c r="F178" i="63"/>
  <c r="E177" i="63"/>
  <c r="F176" i="63"/>
  <c r="AW175" i="63"/>
  <c r="G175" i="63"/>
  <c r="AT173" i="63"/>
  <c r="AH173" i="63"/>
  <c r="F163" i="63"/>
  <c r="AW162" i="63"/>
  <c r="F160" i="63"/>
  <c r="AP158" i="63"/>
  <c r="AN159" i="63"/>
  <c r="F158" i="63"/>
  <c r="F159" i="63"/>
  <c r="AG158" i="63"/>
  <c r="F156" i="63"/>
  <c r="D155" i="63"/>
  <c r="AU154" i="63"/>
  <c r="AW154" i="63"/>
  <c r="D154" i="63"/>
  <c r="F153" i="63"/>
  <c r="D152" i="63"/>
  <c r="AU151" i="63"/>
  <c r="AW151" i="63"/>
  <c r="Y149" i="63"/>
  <c r="Y138" i="63" s="1"/>
  <c r="D151" i="63"/>
  <c r="AO138" i="63"/>
  <c r="AD138" i="63"/>
  <c r="AB138" i="63"/>
  <c r="Z138" i="63"/>
  <c r="V138" i="63"/>
  <c r="T138" i="63"/>
  <c r="R138" i="63"/>
  <c r="P138" i="63"/>
  <c r="N138" i="63"/>
  <c r="L138" i="63"/>
  <c r="J138" i="63"/>
  <c r="H138" i="63"/>
  <c r="E124" i="63"/>
  <c r="D124" i="63"/>
  <c r="F116" i="63"/>
  <c r="AU98" i="63"/>
  <c r="AU97" i="63" s="1"/>
  <c r="AN97" i="63"/>
  <c r="G97" i="63"/>
  <c r="E97" i="63" s="1"/>
  <c r="D94" i="63"/>
  <c r="E94" i="63"/>
  <c r="D91" i="63"/>
  <c r="E91" i="63"/>
  <c r="G88" i="63"/>
  <c r="D210" i="63"/>
  <c r="G209" i="63"/>
  <c r="D198" i="63"/>
  <c r="G196" i="63"/>
  <c r="X185" i="63"/>
  <c r="X181" i="63"/>
  <c r="X179" i="63"/>
  <c r="X177" i="63"/>
  <c r="G163" i="63"/>
  <c r="D160" i="63"/>
  <c r="AF158" i="63"/>
  <c r="E159" i="63"/>
  <c r="D156" i="63"/>
  <c r="F155" i="63"/>
  <c r="E155" i="63"/>
  <c r="F154" i="63"/>
  <c r="E154" i="63"/>
  <c r="D153" i="63"/>
  <c r="F152" i="63"/>
  <c r="E152" i="63"/>
  <c r="AF151" i="63"/>
  <c r="E151" i="63"/>
  <c r="AP149" i="63"/>
  <c r="AP138" i="63" s="1"/>
  <c r="AN150" i="63"/>
  <c r="AG150" i="63"/>
  <c r="AC138" i="63"/>
  <c r="AA138" i="63"/>
  <c r="W138" i="63"/>
  <c r="U138" i="63"/>
  <c r="S138" i="63"/>
  <c r="Q138" i="63"/>
  <c r="O138" i="63"/>
  <c r="M138" i="63"/>
  <c r="K138" i="63"/>
  <c r="I138" i="63"/>
  <c r="AS138" i="63"/>
  <c r="AQ138" i="63"/>
  <c r="AK138" i="63"/>
  <c r="AI138" i="63"/>
  <c r="E144" i="63"/>
  <c r="F140" i="63"/>
  <c r="AF138" i="63"/>
  <c r="AT138" i="63"/>
  <c r="AR138" i="63"/>
  <c r="AJ138" i="63"/>
  <c r="AH138" i="63"/>
  <c r="AU135" i="63"/>
  <c r="AW135" i="63"/>
  <c r="AU134" i="63"/>
  <c r="AW134" i="63"/>
  <c r="F134" i="63"/>
  <c r="AU124" i="63"/>
  <c r="AU119" i="63"/>
  <c r="AW119" i="63"/>
  <c r="E119" i="63"/>
  <c r="G108" i="63"/>
  <c r="F103" i="63"/>
  <c r="D98" i="63"/>
  <c r="D97" i="63" s="1"/>
  <c r="E93" i="63"/>
  <c r="AN147" i="63"/>
  <c r="X146" i="63"/>
  <c r="D144" i="63"/>
  <c r="D143" i="63"/>
  <c r="AN142" i="63"/>
  <c r="AU142" i="63" s="1"/>
  <c r="AU140" i="63" s="1"/>
  <c r="D141" i="63"/>
  <c r="G140" i="63"/>
  <c r="D135" i="63"/>
  <c r="D134" i="63"/>
  <c r="AN133" i="63"/>
  <c r="D133" i="63"/>
  <c r="D132" i="63" s="1"/>
  <c r="F129" i="63"/>
  <c r="D129" i="63"/>
  <c r="AN128" i="63"/>
  <c r="D128" i="63"/>
  <c r="D127" i="63" s="1"/>
  <c r="G127" i="63"/>
  <c r="D125" i="63"/>
  <c r="Y123" i="63"/>
  <c r="D123" i="63" s="1"/>
  <c r="D122" i="63"/>
  <c r="F120" i="63"/>
  <c r="AN118" i="63"/>
  <c r="W116" i="63"/>
  <c r="W63" i="63" s="1"/>
  <c r="G116" i="63"/>
  <c r="E110" i="63"/>
  <c r="F109" i="63"/>
  <c r="AW108" i="63"/>
  <c r="E106" i="63"/>
  <c r="E105" i="63"/>
  <c r="F104" i="63"/>
  <c r="G103" i="63"/>
  <c r="E101" i="63"/>
  <c r="E100" i="63"/>
  <c r="E99" i="63"/>
  <c r="E98" i="63"/>
  <c r="AP97" i="63"/>
  <c r="X97" i="63"/>
  <c r="E92" i="63"/>
  <c r="AP88" i="63"/>
  <c r="AF88" i="63"/>
  <c r="AU84" i="63"/>
  <c r="D84" i="63"/>
  <c r="E84" i="63"/>
  <c r="AN73" i="63"/>
  <c r="X63" i="63"/>
  <c r="F65" i="63"/>
  <c r="AM63" i="63"/>
  <c r="AT63" i="63"/>
  <c r="AR63" i="63"/>
  <c r="AO63" i="63"/>
  <c r="AJ63" i="63"/>
  <c r="AH63" i="63"/>
  <c r="AC63" i="63"/>
  <c r="AA63" i="63"/>
  <c r="U63" i="63"/>
  <c r="S63" i="63"/>
  <c r="Q63" i="63"/>
  <c r="O63" i="63"/>
  <c r="M63" i="63"/>
  <c r="K63" i="63"/>
  <c r="I63" i="63"/>
  <c r="G149" i="63"/>
  <c r="D147" i="63"/>
  <c r="D146" i="63" s="1"/>
  <c r="F142" i="63"/>
  <c r="E133" i="63"/>
  <c r="E132" i="63" s="1"/>
  <c r="G111" i="63"/>
  <c r="AN109" i="63"/>
  <c r="G109" i="63"/>
  <c r="AN104" i="63"/>
  <c r="G95" i="63"/>
  <c r="G90" i="63"/>
  <c r="AN89" i="63"/>
  <c r="X88" i="63"/>
  <c r="F89" i="63"/>
  <c r="D86" i="63"/>
  <c r="E86" i="63"/>
  <c r="D82" i="63"/>
  <c r="AG80" i="63"/>
  <c r="AG63" i="63" s="1"/>
  <c r="G80" i="63"/>
  <c r="D76" i="63"/>
  <c r="E74" i="63"/>
  <c r="D69" i="63"/>
  <c r="E69" i="63"/>
  <c r="D68" i="63"/>
  <c r="AU65" i="63"/>
  <c r="AN65" i="63"/>
  <c r="E65" i="63"/>
  <c r="AS63" i="63"/>
  <c r="AQ63" i="63"/>
  <c r="AK63" i="63"/>
  <c r="AI63" i="63"/>
  <c r="AD63" i="63"/>
  <c r="AB63" i="63"/>
  <c r="Z63" i="63"/>
  <c r="V63" i="63"/>
  <c r="T63" i="63"/>
  <c r="R63" i="63"/>
  <c r="P63" i="63"/>
  <c r="N63" i="63"/>
  <c r="L63" i="63"/>
  <c r="J63" i="63"/>
  <c r="H63" i="63"/>
  <c r="G83" i="63"/>
  <c r="E82" i="63"/>
  <c r="AN81" i="63"/>
  <c r="F81" i="63"/>
  <c r="D81" i="63"/>
  <c r="AW80" i="63"/>
  <c r="E77" i="63"/>
  <c r="E76" i="63"/>
  <c r="E75" i="63"/>
  <c r="AW73" i="63"/>
  <c r="AW63" i="63" s="1"/>
  <c r="F69" i="63"/>
  <c r="E68" i="63"/>
  <c r="E67" i="63"/>
  <c r="E66" i="63"/>
  <c r="AP65" i="63"/>
  <c r="AP63" i="63" s="1"/>
  <c r="G58" i="63"/>
  <c r="E59" i="63"/>
  <c r="D59" i="63"/>
  <c r="D58" i="63" s="1"/>
  <c r="G56" i="63"/>
  <c r="AP55" i="63"/>
  <c r="AW52" i="63"/>
  <c r="AS52" i="63"/>
  <c r="AQ52" i="63"/>
  <c r="W52" i="63"/>
  <c r="U52" i="63"/>
  <c r="S52" i="63"/>
  <c r="Q52" i="63"/>
  <c r="O52" i="63"/>
  <c r="K52" i="63"/>
  <c r="I52" i="63"/>
  <c r="D49" i="63"/>
  <c r="E47" i="63"/>
  <c r="F45" i="63"/>
  <c r="G85" i="63"/>
  <c r="Y74" i="63"/>
  <c r="D66" i="63"/>
  <c r="D65" i="63" s="1"/>
  <c r="X59" i="63"/>
  <c r="F59" i="63" s="1"/>
  <c r="AP56" i="63"/>
  <c r="AN56" i="63" s="1"/>
  <c r="AU56" i="63" s="1"/>
  <c r="F56" i="63"/>
  <c r="AN55" i="63"/>
  <c r="AU55" i="63" s="1"/>
  <c r="D54" i="63"/>
  <c r="E54" i="63"/>
  <c r="AO52" i="63"/>
  <c r="AK52" i="63"/>
  <c r="AI52" i="63"/>
  <c r="AC52" i="63"/>
  <c r="AA52" i="63"/>
  <c r="D50" i="63"/>
  <c r="E50" i="63"/>
  <c r="AN49" i="63"/>
  <c r="AU49" i="63" s="1"/>
  <c r="D48" i="63"/>
  <c r="E48" i="63"/>
  <c r="AN47" i="63"/>
  <c r="AU47" i="63" s="1"/>
  <c r="AP53" i="63"/>
  <c r="AP52" i="63" s="1"/>
  <c r="G53" i="63"/>
  <c r="AP46" i="63"/>
  <c r="AP45" i="63" s="1"/>
  <c r="AN46" i="63"/>
  <c r="J45" i="63"/>
  <c r="G46" i="63"/>
  <c r="D43" i="63"/>
  <c r="AW42" i="63"/>
  <c r="F42" i="63" s="1"/>
  <c r="D42" i="63"/>
  <c r="AW41" i="63"/>
  <c r="F41" i="63"/>
  <c r="D41" i="63"/>
  <c r="AW40" i="63"/>
  <c r="F40" i="63" s="1"/>
  <c r="D40" i="63"/>
  <c r="AU39" i="63"/>
  <c r="F39" i="63"/>
  <c r="AU38" i="63"/>
  <c r="AF38" i="63"/>
  <c r="E38" i="63"/>
  <c r="AO35" i="63"/>
  <c r="AN37" i="63"/>
  <c r="F37" i="63"/>
  <c r="D37" i="63"/>
  <c r="AG35" i="63"/>
  <c r="AG23" i="63" s="1"/>
  <c r="AG9" i="63" s="1"/>
  <c r="G35" i="63"/>
  <c r="D36" i="63"/>
  <c r="D35" i="63" s="1"/>
  <c r="AP35" i="63"/>
  <c r="G32" i="63"/>
  <c r="F28" i="63"/>
  <c r="D26" i="63"/>
  <c r="E26" i="63"/>
  <c r="F24" i="63"/>
  <c r="AS23" i="63"/>
  <c r="AQ23" i="63"/>
  <c r="AK23" i="63"/>
  <c r="AI23" i="63"/>
  <c r="AF23" i="63"/>
  <c r="AC23" i="63"/>
  <c r="AC9" i="63" s="1"/>
  <c r="AC7" i="63" s="1"/>
  <c r="AA23" i="63"/>
  <c r="W23" i="63"/>
  <c r="W9" i="63" s="1"/>
  <c r="W7" i="63" s="1"/>
  <c r="U23" i="63"/>
  <c r="S23" i="63"/>
  <c r="S9" i="63" s="1"/>
  <c r="S7" i="63" s="1"/>
  <c r="Q23" i="63"/>
  <c r="O23" i="63"/>
  <c r="O9" i="63" s="1"/>
  <c r="O7" i="63" s="1"/>
  <c r="K23" i="63"/>
  <c r="I23" i="63"/>
  <c r="AG53" i="63"/>
  <c r="AG52" i="63" s="1"/>
  <c r="Y53" i="63"/>
  <c r="Y52" i="63" s="1"/>
  <c r="F53" i="63"/>
  <c r="AG46" i="63"/>
  <c r="AG45" i="63" s="1"/>
  <c r="Y46" i="63"/>
  <c r="Y45" i="63" s="1"/>
  <c r="F46" i="63"/>
  <c r="E42" i="63"/>
  <c r="E41" i="63"/>
  <c r="E40" i="63"/>
  <c r="D39" i="63"/>
  <c r="AW35" i="63"/>
  <c r="AM35" i="63"/>
  <c r="F36" i="63"/>
  <c r="Y35" i="63"/>
  <c r="X35" i="63"/>
  <c r="E33" i="63"/>
  <c r="D33" i="63"/>
  <c r="AP32" i="63"/>
  <c r="AN32" i="63" s="1"/>
  <c r="AU32" i="63" s="1"/>
  <c r="F32" i="63"/>
  <c r="H23" i="63"/>
  <c r="AO23" i="63"/>
  <c r="AO9" i="63" s="1"/>
  <c r="AO7" i="63" s="1"/>
  <c r="AO321" i="63" s="1"/>
  <c r="Y23" i="63"/>
  <c r="AT23" i="63"/>
  <c r="AR23" i="63"/>
  <c r="AP23" i="63"/>
  <c r="AJ23" i="63"/>
  <c r="AJ9" i="63" s="1"/>
  <c r="AH23" i="63"/>
  <c r="AD23" i="63"/>
  <c r="AD9" i="63" s="1"/>
  <c r="AD7" i="63" s="1"/>
  <c r="AB23" i="63"/>
  <c r="Z23" i="63"/>
  <c r="Z9" i="63" s="1"/>
  <c r="Z7" i="63" s="1"/>
  <c r="V23" i="63"/>
  <c r="T23" i="63"/>
  <c r="T9" i="63" s="1"/>
  <c r="T7" i="63" s="1"/>
  <c r="R23" i="63"/>
  <c r="P23" i="63"/>
  <c r="P9" i="63" s="1"/>
  <c r="P7" i="63" s="1"/>
  <c r="N23" i="63"/>
  <c r="L23" i="63"/>
  <c r="L9" i="63" s="1"/>
  <c r="L7" i="63" s="1"/>
  <c r="J23" i="63"/>
  <c r="AN29" i="63"/>
  <c r="F29" i="63"/>
  <c r="D29" i="63"/>
  <c r="D28" i="63" s="1"/>
  <c r="G28" i="63"/>
  <c r="AN25" i="63"/>
  <c r="F25" i="63"/>
  <c r="D25" i="63"/>
  <c r="D24" i="63" s="1"/>
  <c r="D20" i="63"/>
  <c r="F18" i="63"/>
  <c r="J9" i="63"/>
  <c r="J7" i="63" s="1"/>
  <c r="AS9" i="63"/>
  <c r="AS7" i="63" s="1"/>
  <c r="AS321" i="63" s="1"/>
  <c r="AQ9" i="63"/>
  <c r="AQ7" i="63" s="1"/>
  <c r="AQ321" i="63" s="1"/>
  <c r="AH9" i="63"/>
  <c r="AH7" i="63" s="1"/>
  <c r="AA9" i="63"/>
  <c r="U9" i="63"/>
  <c r="U7" i="63" s="1"/>
  <c r="Q9" i="63"/>
  <c r="Q7" i="63" s="1"/>
  <c r="M9" i="63"/>
  <c r="M7" i="63" s="1"/>
  <c r="K9" i="63"/>
  <c r="K7" i="63" s="1"/>
  <c r="H9" i="63"/>
  <c r="H7" i="63" s="1"/>
  <c r="F17" i="63"/>
  <c r="F21" i="63"/>
  <c r="AW17" i="63"/>
  <c r="AU17" i="63"/>
  <c r="AG17" i="63"/>
  <c r="Y17" i="63"/>
  <c r="E17" i="63" s="1"/>
  <c r="D18" i="63"/>
  <c r="D17" i="63" s="1"/>
  <c r="AP17" i="63"/>
  <c r="AN17" i="63"/>
  <c r="E13" i="63"/>
  <c r="AP9" i="63"/>
  <c r="AF9" i="63"/>
  <c r="AT9" i="63"/>
  <c r="AT7" i="63" s="1"/>
  <c r="AT321" i="63" s="1"/>
  <c r="AR9" i="63"/>
  <c r="AR7" i="63" s="1"/>
  <c r="AR321" i="63" s="1"/>
  <c r="AK9" i="63"/>
  <c r="AK7" i="63" s="1"/>
  <c r="AK321" i="63" s="1"/>
  <c r="AI9" i="63"/>
  <c r="AI7" i="63" s="1"/>
  <c r="AI320" i="63" s="1"/>
  <c r="AB9" i="63"/>
  <c r="AB7" i="63" s="1"/>
  <c r="V9" i="63"/>
  <c r="V7" i="63" s="1"/>
  <c r="R9" i="63"/>
  <c r="R7" i="63" s="1"/>
  <c r="N9" i="63"/>
  <c r="N7" i="63" s="1"/>
  <c r="I9" i="63"/>
  <c r="I7" i="63" s="1"/>
  <c r="D14" i="63"/>
  <c r="D13" i="63"/>
  <c r="G12" i="63"/>
  <c r="X11" i="63"/>
  <c r="AN12" i="63"/>
  <c r="AW296" i="62"/>
  <c r="AM296" i="62"/>
  <c r="AG288" i="62"/>
  <c r="AM288" i="62" s="1"/>
  <c r="E290" i="62"/>
  <c r="E288" i="62" s="1"/>
  <c r="AM290" i="62"/>
  <c r="AZ288" i="62"/>
  <c r="BF290" i="62"/>
  <c r="BG290" i="62" s="1"/>
  <c r="BB292" i="62"/>
  <c r="BC292" i="62" s="1"/>
  <c r="BB291" i="62"/>
  <c r="BC291" i="62" s="1"/>
  <c r="F282" i="62"/>
  <c r="AU279" i="62"/>
  <c r="AW279" i="62"/>
  <c r="E279" i="62"/>
  <c r="D279" i="62"/>
  <c r="E264" i="62"/>
  <c r="BB251" i="62"/>
  <c r="BC251" i="62" s="1"/>
  <c r="AQ180" i="62"/>
  <c r="AQ173" i="62" s="1"/>
  <c r="AQ171" i="62" s="1"/>
  <c r="G87" i="62"/>
  <c r="BB59" i="62"/>
  <c r="BC59" i="62" s="1"/>
  <c r="AG304" i="62"/>
  <c r="AN298" i="62"/>
  <c r="AN296" i="62" s="1"/>
  <c r="BD292" i="62"/>
  <c r="BB293" i="62"/>
  <c r="BC293" i="62" s="1"/>
  <c r="E282" i="62"/>
  <c r="AW282" i="62"/>
  <c r="D282" i="62"/>
  <c r="E281" i="62"/>
  <c r="X196" i="62"/>
  <c r="Y300" i="62"/>
  <c r="D299" i="62"/>
  <c r="AP298" i="62"/>
  <c r="AP296" i="62" s="1"/>
  <c r="AH298" i="62"/>
  <c r="AH296" i="62" s="1"/>
  <c r="AF298" i="62"/>
  <c r="F298" i="62"/>
  <c r="D294" i="62"/>
  <c r="D290" i="62" s="1"/>
  <c r="D288" i="62" s="1"/>
  <c r="AW290" i="62"/>
  <c r="F290" i="62"/>
  <c r="E284" i="62"/>
  <c r="D283" i="62"/>
  <c r="AZ277" i="62"/>
  <c r="AP277" i="62"/>
  <c r="AP271" i="62" s="1"/>
  <c r="AN278" i="62"/>
  <c r="F277" i="62"/>
  <c r="AM277" i="62"/>
  <c r="AM271" i="62" s="1"/>
  <c r="G277" i="62"/>
  <c r="D275" i="62"/>
  <c r="D273" i="62" s="1"/>
  <c r="X275" i="62"/>
  <c r="E275" i="62"/>
  <c r="G273" i="62"/>
  <c r="BD271" i="62"/>
  <c r="AG268" i="62"/>
  <c r="AM268" i="62" s="1"/>
  <c r="AM269" i="62"/>
  <c r="G268" i="62"/>
  <c r="E268" i="62" s="1"/>
  <c r="D265" i="62"/>
  <c r="E265" i="62"/>
  <c r="Y264" i="62"/>
  <c r="AF264" i="62" s="1"/>
  <c r="AF247" i="62" s="1"/>
  <c r="AF245" i="62" s="1"/>
  <c r="E262" i="62"/>
  <c r="F261" i="62"/>
  <c r="BF260" i="62"/>
  <c r="AP258" i="62"/>
  <c r="AN260" i="62"/>
  <c r="D260" i="62"/>
  <c r="E260" i="62"/>
  <c r="AZ258" i="62"/>
  <c r="BB258" i="62"/>
  <c r="BC258" i="62" s="1"/>
  <c r="AW253" i="62"/>
  <c r="AW245" i="62" s="1"/>
  <c r="D256" i="62"/>
  <c r="E256" i="62"/>
  <c r="BF255" i="62"/>
  <c r="BG255" i="62" s="1"/>
  <c r="D255" i="62"/>
  <c r="E255" i="62"/>
  <c r="AG253" i="62"/>
  <c r="AM254" i="62"/>
  <c r="F253" i="62"/>
  <c r="AU250" i="62"/>
  <c r="AU247" i="62" s="1"/>
  <c r="AW250" i="62"/>
  <c r="D250" i="62"/>
  <c r="D247" i="62" s="1"/>
  <c r="E250" i="62"/>
  <c r="AD245" i="62"/>
  <c r="AB245" i="62"/>
  <c r="Z245" i="62"/>
  <c r="V245" i="62"/>
  <c r="BB247" i="62"/>
  <c r="BC247" i="62" s="1"/>
  <c r="AM245" i="62"/>
  <c r="BF243" i="62"/>
  <c r="BG243" i="62" s="1"/>
  <c r="F243" i="62"/>
  <c r="BF242" i="62"/>
  <c r="BG242" i="62" s="1"/>
  <c r="F242" i="62"/>
  <c r="BF239" i="62"/>
  <c r="BG239" i="62" s="1"/>
  <c r="BB239" i="62"/>
  <c r="BC239" i="62" s="1"/>
  <c r="BF236" i="62"/>
  <c r="BG236" i="62" s="1"/>
  <c r="E236" i="62"/>
  <c r="BF235" i="62"/>
  <c r="BG235" i="62" s="1"/>
  <c r="D235" i="62"/>
  <c r="X235" i="62"/>
  <c r="AZ233" i="62"/>
  <c r="D234" i="62"/>
  <c r="D233" i="62" s="1"/>
  <c r="X234" i="62"/>
  <c r="E234" i="62"/>
  <c r="AN233" i="62"/>
  <c r="AW233" i="62" s="1"/>
  <c r="BB233" i="62"/>
  <c r="D225" i="62"/>
  <c r="AU224" i="62"/>
  <c r="AW224" i="62"/>
  <c r="D224" i="62"/>
  <c r="F224" i="62"/>
  <c r="AU223" i="62"/>
  <c r="AW223" i="62"/>
  <c r="D223" i="62"/>
  <c r="F223" i="62"/>
  <c r="AU222" i="62"/>
  <c r="AW222" i="62"/>
  <c r="D222" i="62"/>
  <c r="F222" i="62"/>
  <c r="AU221" i="62"/>
  <c r="AW221" i="62"/>
  <c r="D221" i="62"/>
  <c r="F221" i="62"/>
  <c r="BF219" i="62"/>
  <c r="D219" i="62"/>
  <c r="E218" i="62"/>
  <c r="AM218" i="62"/>
  <c r="BF217" i="62"/>
  <c r="D217" i="62"/>
  <c r="E216" i="62"/>
  <c r="AM216" i="62"/>
  <c r="BF215" i="62"/>
  <c r="BF214" i="62"/>
  <c r="D214" i="62"/>
  <c r="E213" i="62"/>
  <c r="F212" i="62"/>
  <c r="BB211" i="62"/>
  <c r="AN211" i="62"/>
  <c r="AZ208" i="62"/>
  <c r="F208" i="62"/>
  <c r="D206" i="62"/>
  <c r="E206" i="62"/>
  <c r="AW198" i="62"/>
  <c r="E202" i="62"/>
  <c r="D202" i="62"/>
  <c r="AU198" i="62"/>
  <c r="Y198" i="62"/>
  <c r="E199" i="62"/>
  <c r="D199" i="62"/>
  <c r="AS196" i="62"/>
  <c r="AQ196" i="62"/>
  <c r="U196" i="62"/>
  <c r="S196" i="62"/>
  <c r="Q196" i="62"/>
  <c r="O196" i="62"/>
  <c r="F198" i="62"/>
  <c r="D193" i="62"/>
  <c r="BF191" i="62"/>
  <c r="BG191" i="62" s="1"/>
  <c r="E190" i="62"/>
  <c r="AW188" i="62"/>
  <c r="G187" i="62"/>
  <c r="AJ180" i="62"/>
  <c r="AG182" i="62"/>
  <c r="AM182" i="62" s="1"/>
  <c r="F182" i="62"/>
  <c r="X180" i="62"/>
  <c r="F173" i="62"/>
  <c r="AZ173" i="62"/>
  <c r="BF178" i="62"/>
  <c r="E178" i="62"/>
  <c r="BF177" i="62"/>
  <c r="BG177" i="62" s="1"/>
  <c r="E177" i="62"/>
  <c r="BF176" i="62"/>
  <c r="BG176" i="62" s="1"/>
  <c r="E176" i="62"/>
  <c r="BF175" i="62"/>
  <c r="BG175" i="62" s="1"/>
  <c r="E175" i="62"/>
  <c r="BF174" i="62"/>
  <c r="BG174" i="62" s="1"/>
  <c r="E174" i="62"/>
  <c r="AO171" i="62"/>
  <c r="AH171" i="62"/>
  <c r="G173" i="62"/>
  <c r="BD171" i="62"/>
  <c r="D166" i="62"/>
  <c r="E166" i="62"/>
  <c r="BF165" i="62"/>
  <c r="BG165" i="62" s="1"/>
  <c r="AP160" i="62"/>
  <c r="G160" i="62"/>
  <c r="AP156" i="62"/>
  <c r="AN157" i="62"/>
  <c r="E157" i="62"/>
  <c r="F156" i="62"/>
  <c r="D154" i="62"/>
  <c r="E154" i="62"/>
  <c r="BF153" i="62"/>
  <c r="BG153" i="62" s="1"/>
  <c r="D152" i="62"/>
  <c r="E152" i="62"/>
  <c r="BF151" i="62"/>
  <c r="BG151" i="62" s="1"/>
  <c r="E151" i="62"/>
  <c r="D151" i="62"/>
  <c r="AU150" i="62"/>
  <c r="AW150" i="62"/>
  <c r="E150" i="62"/>
  <c r="D150" i="62"/>
  <c r="AG148" i="62"/>
  <c r="AP147" i="62"/>
  <c r="AN147" i="62"/>
  <c r="F147" i="62"/>
  <c r="AW144" i="62"/>
  <c r="D142" i="62"/>
  <c r="E142" i="62"/>
  <c r="BF141" i="62"/>
  <c r="BG141" i="62" s="1"/>
  <c r="D141" i="62"/>
  <c r="E141" i="62"/>
  <c r="AU140" i="62"/>
  <c r="AW140" i="62"/>
  <c r="D140" i="62"/>
  <c r="E140" i="62"/>
  <c r="AZ138" i="62"/>
  <c r="BF139" i="62"/>
  <c r="BG139" i="62" s="1"/>
  <c r="AF138" i="62"/>
  <c r="X138" i="62"/>
  <c r="AK136" i="62"/>
  <c r="AU130" i="62"/>
  <c r="X130" i="62"/>
  <c r="AN130" i="62"/>
  <c r="AW130" i="62" s="1"/>
  <c r="AG130" i="62"/>
  <c r="AU128" i="62"/>
  <c r="AW128" i="62"/>
  <c r="AG126" i="62"/>
  <c r="D127" i="62"/>
  <c r="BB127" i="62"/>
  <c r="BC127" i="62" s="1"/>
  <c r="F126" i="62"/>
  <c r="E124" i="62"/>
  <c r="D124" i="62"/>
  <c r="AW115" i="62"/>
  <c r="AF120" i="62"/>
  <c r="AU120" i="62"/>
  <c r="D120" i="62"/>
  <c r="E120" i="62"/>
  <c r="AN118" i="62"/>
  <c r="AP115" i="62"/>
  <c r="E118" i="62"/>
  <c r="BF115" i="62"/>
  <c r="BG115" i="62" s="1"/>
  <c r="BB110" i="62"/>
  <c r="D109" i="62"/>
  <c r="AU109" i="62"/>
  <c r="BB109" i="62"/>
  <c r="AZ107" i="62"/>
  <c r="BB108" i="62"/>
  <c r="AP107" i="62"/>
  <c r="AN108" i="62"/>
  <c r="F107" i="62"/>
  <c r="AM103" i="62"/>
  <c r="AG102" i="62"/>
  <c r="AM102" i="62" s="1"/>
  <c r="D103" i="62"/>
  <c r="AU103" i="62"/>
  <c r="AU102" i="62" s="1"/>
  <c r="F102" i="62"/>
  <c r="BB103" i="62"/>
  <c r="BC103" i="62" s="1"/>
  <c r="AN102" i="62"/>
  <c r="E102" i="62"/>
  <c r="E99" i="62"/>
  <c r="E98" i="62"/>
  <c r="D98" i="62"/>
  <c r="AW96" i="62"/>
  <c r="AN96" i="62"/>
  <c r="Y96" i="62"/>
  <c r="G97" i="62"/>
  <c r="N96" i="62"/>
  <c r="BF96" i="62"/>
  <c r="BG96" i="62" s="1"/>
  <c r="G94" i="62"/>
  <c r="W87" i="62"/>
  <c r="D90" i="62"/>
  <c r="E90" i="62"/>
  <c r="AG87" i="62"/>
  <c r="AU89" i="62"/>
  <c r="D89" i="62"/>
  <c r="E89" i="62"/>
  <c r="Y87" i="62"/>
  <c r="V79" i="62"/>
  <c r="G84" i="62"/>
  <c r="AW79" i="62"/>
  <c r="AK63" i="62"/>
  <c r="K63" i="62"/>
  <c r="G79" i="62"/>
  <c r="AF70" i="62"/>
  <c r="AU70" i="62"/>
  <c r="AU65" i="62" s="1"/>
  <c r="D70" i="62"/>
  <c r="E70" i="62"/>
  <c r="BB68" i="62"/>
  <c r="AZ65" i="62"/>
  <c r="BB67" i="62"/>
  <c r="BC67" i="62" s="1"/>
  <c r="BF67" i="62"/>
  <c r="BG67" i="62" s="1"/>
  <c r="AN65" i="62"/>
  <c r="Y65" i="62"/>
  <c r="AF66" i="62"/>
  <c r="G65" i="62"/>
  <c r="D66" i="62"/>
  <c r="E66" i="62"/>
  <c r="AT63" i="62"/>
  <c r="AR63" i="62"/>
  <c r="BF62" i="62"/>
  <c r="BG62" i="62" s="1"/>
  <c r="F62" i="62"/>
  <c r="BB56" i="62"/>
  <c r="BC56" i="62" s="1"/>
  <c r="AP54" i="62"/>
  <c r="AQ52" i="62"/>
  <c r="AQ9" i="62" s="1"/>
  <c r="AQ7" i="62" s="1"/>
  <c r="AQ307" i="62" s="1"/>
  <c r="AM52" i="62"/>
  <c r="F43" i="62"/>
  <c r="AF41" i="62"/>
  <c r="F41" i="62" s="1"/>
  <c r="D41" i="62"/>
  <c r="AM299" i="62"/>
  <c r="AF299" i="62"/>
  <c r="BF298" i="62"/>
  <c r="BF296" i="62"/>
  <c r="AM294" i="62"/>
  <c r="AF294" i="62"/>
  <c r="AF284" i="62"/>
  <c r="AF283" i="62"/>
  <c r="F283" i="62" s="1"/>
  <c r="BF282" i="62"/>
  <c r="BF278" i="62"/>
  <c r="BG278" i="62" s="1"/>
  <c r="AG277" i="62"/>
  <c r="AG271" i="62" s="1"/>
  <c r="D278" i="62"/>
  <c r="X278" i="62"/>
  <c r="E278" i="62"/>
  <c r="Y277" i="62"/>
  <c r="AF277" i="62" s="1"/>
  <c r="AZ271" i="62"/>
  <c r="F274" i="62"/>
  <c r="BF273" i="62"/>
  <c r="BG273" i="62" s="1"/>
  <c r="AW273" i="62"/>
  <c r="AT271" i="62"/>
  <c r="Y273" i="62"/>
  <c r="F271" i="62"/>
  <c r="BB273" i="62"/>
  <c r="BF269" i="62"/>
  <c r="BG269" i="62" s="1"/>
  <c r="AU269" i="62"/>
  <c r="AU268" i="62" s="1"/>
  <c r="E269" i="62"/>
  <c r="D269" i="62"/>
  <c r="D268" i="62" s="1"/>
  <c r="AZ268" i="62"/>
  <c r="F268" i="62"/>
  <c r="D266" i="62"/>
  <c r="E266" i="62"/>
  <c r="AZ264" i="62"/>
  <c r="BF265" i="62"/>
  <c r="BG265" i="62" s="1"/>
  <c r="AU265" i="62"/>
  <c r="AU264" i="62" s="1"/>
  <c r="BB264" i="62"/>
  <c r="BC264" i="62" s="1"/>
  <c r="AG262" i="62"/>
  <c r="BB260" i="62"/>
  <c r="BC260" i="62" s="1"/>
  <c r="G258" i="62"/>
  <c r="BB255" i="62"/>
  <c r="BC255" i="62" s="1"/>
  <c r="AU254" i="62"/>
  <c r="AU253" i="62" s="1"/>
  <c r="Y253" i="62"/>
  <c r="Y245" i="62" s="1"/>
  <c r="E254" i="62"/>
  <c r="D254" i="62"/>
  <c r="D253" i="62" s="1"/>
  <c r="AZ253" i="62"/>
  <c r="AP253" i="62"/>
  <c r="G253" i="62"/>
  <c r="E253" i="62" s="1"/>
  <c r="BF251" i="62"/>
  <c r="BG251" i="62" s="1"/>
  <c r="AF250" i="62"/>
  <c r="BF247" i="62"/>
  <c r="BG247" i="62" s="1"/>
  <c r="AT245" i="62"/>
  <c r="AR245" i="62"/>
  <c r="AP247" i="62"/>
  <c r="AP245" i="62" s="1"/>
  <c r="AN247" i="62"/>
  <c r="AJ245" i="62"/>
  <c r="AH245" i="62"/>
  <c r="T245" i="62"/>
  <c r="R245" i="62"/>
  <c r="P245" i="62"/>
  <c r="N245" i="62"/>
  <c r="L245" i="62"/>
  <c r="J245" i="62"/>
  <c r="H245" i="62"/>
  <c r="G247" i="62"/>
  <c r="F246" i="62"/>
  <c r="AG245" i="62"/>
  <c r="G241" i="62"/>
  <c r="BF240" i="62"/>
  <c r="BG240" i="62" s="1"/>
  <c r="F240" i="62"/>
  <c r="AW239" i="62"/>
  <c r="AO239" i="62"/>
  <c r="AO196" i="62" s="1"/>
  <c r="D236" i="62"/>
  <c r="X236" i="62"/>
  <c r="AU235" i="62"/>
  <c r="AU233" i="62" s="1"/>
  <c r="AW235" i="62"/>
  <c r="E235" i="62"/>
  <c r="BB234" i="62"/>
  <c r="Y233" i="62"/>
  <c r="AF233" i="62" s="1"/>
  <c r="AF234" i="62"/>
  <c r="G233" i="62"/>
  <c r="AU231" i="62"/>
  <c r="AW231" i="62"/>
  <c r="D231" i="62"/>
  <c r="E231" i="62"/>
  <c r="BB230" i="62"/>
  <c r="AU227" i="62"/>
  <c r="AW227" i="62"/>
  <c r="E227" i="62"/>
  <c r="X227" i="62"/>
  <c r="D226" i="62"/>
  <c r="E226" i="62"/>
  <c r="BB225" i="62"/>
  <c r="E225" i="62"/>
  <c r="E224" i="62"/>
  <c r="E223" i="62"/>
  <c r="E222" i="62"/>
  <c r="E221" i="62"/>
  <c r="BB220" i="62"/>
  <c r="AM211" i="62"/>
  <c r="D220" i="62"/>
  <c r="E219" i="62"/>
  <c r="AM219" i="62"/>
  <c r="BF218" i="62"/>
  <c r="AU218" i="62"/>
  <c r="D218" i="62"/>
  <c r="E217" i="62"/>
  <c r="AM217" i="62"/>
  <c r="BF216" i="62"/>
  <c r="AU216" i="62"/>
  <c r="D216" i="62"/>
  <c r="AW215" i="62"/>
  <c r="F215" i="62" s="1"/>
  <c r="AP211" i="62"/>
  <c r="AP208" i="62" s="1"/>
  <c r="AG211" i="62"/>
  <c r="E211" i="62" s="1"/>
  <c r="E214" i="62"/>
  <c r="AM214" i="62"/>
  <c r="BF213" i="62"/>
  <c r="AU213" i="62"/>
  <c r="AU211" i="62" s="1"/>
  <c r="D213" i="62"/>
  <c r="X213" i="62"/>
  <c r="AZ211" i="62"/>
  <c r="AI211" i="62"/>
  <c r="AI208" i="62" s="1"/>
  <c r="AU209" i="62"/>
  <c r="AU208" i="62" s="1"/>
  <c r="AW209" i="62"/>
  <c r="AG208" i="62"/>
  <c r="Y208" i="62"/>
  <c r="D209" i="62"/>
  <c r="G208" i="62"/>
  <c r="AU204" i="62"/>
  <c r="E204" i="62"/>
  <c r="D203" i="62"/>
  <c r="E203" i="62"/>
  <c r="E201" i="62"/>
  <c r="D201" i="62"/>
  <c r="AU200" i="62"/>
  <c r="D200" i="62"/>
  <c r="AG198" i="62"/>
  <c r="BF198" i="62"/>
  <c r="BG198" i="62" s="1"/>
  <c r="AP198" i="62"/>
  <c r="AN198" i="62"/>
  <c r="AK196" i="62"/>
  <c r="AI196" i="62"/>
  <c r="AC196" i="62"/>
  <c r="AA196" i="62"/>
  <c r="N198" i="62"/>
  <c r="N196" i="62" s="1"/>
  <c r="G198" i="62"/>
  <c r="BD196" i="62"/>
  <c r="AZ196" i="62"/>
  <c r="H196" i="62"/>
  <c r="BF194" i="62"/>
  <c r="E193" i="62"/>
  <c r="Y185" i="62"/>
  <c r="AF185" i="62" s="1"/>
  <c r="AF187" i="62"/>
  <c r="D192" i="62"/>
  <c r="AU191" i="62"/>
  <c r="AU188" i="62" s="1"/>
  <c r="AU187" i="62" s="1"/>
  <c r="AU185" i="62" s="1"/>
  <c r="AW191" i="62"/>
  <c r="E191" i="62"/>
  <c r="D191" i="62"/>
  <c r="D190" i="62"/>
  <c r="X190" i="62"/>
  <c r="F190" i="62" s="1"/>
  <c r="AZ188" i="62"/>
  <c r="AP187" i="62"/>
  <c r="AP185" i="62" s="1"/>
  <c r="AG188" i="62"/>
  <c r="AG187" i="62" s="1"/>
  <c r="AG185" i="62" s="1"/>
  <c r="AM189" i="62"/>
  <c r="D189" i="62"/>
  <c r="X189" i="62"/>
  <c r="E189" i="62"/>
  <c r="H185" i="62"/>
  <c r="F183" i="62"/>
  <c r="BF182" i="62"/>
  <c r="BG182" i="62" s="1"/>
  <c r="AT180" i="62"/>
  <c r="AR180" i="62"/>
  <c r="AR173" i="62" s="1"/>
  <c r="AR171" i="62" s="1"/>
  <c r="AP180" i="62"/>
  <c r="BF179" i="62"/>
  <c r="BG179" i="62" s="1"/>
  <c r="AP173" i="62"/>
  <c r="AP171" i="62" s="1"/>
  <c r="AN179" i="62"/>
  <c r="E179" i="62"/>
  <c r="D178" i="62"/>
  <c r="X178" i="62"/>
  <c r="D177" i="62"/>
  <c r="X177" i="62"/>
  <c r="D176" i="62"/>
  <c r="X176" i="62"/>
  <c r="D175" i="62"/>
  <c r="X175" i="62"/>
  <c r="D174" i="62"/>
  <c r="X174" i="62"/>
  <c r="AW171" i="62"/>
  <c r="AM173" i="62"/>
  <c r="E168" i="62"/>
  <c r="D167" i="62"/>
  <c r="E167" i="62"/>
  <c r="BB165" i="62"/>
  <c r="BC165" i="62" s="1"/>
  <c r="E165" i="62"/>
  <c r="D165" i="62"/>
  <c r="AU164" i="62"/>
  <c r="AU160" i="62" s="1"/>
  <c r="D164" i="62"/>
  <c r="E164" i="62"/>
  <c r="BF163" i="62"/>
  <c r="BG163" i="62" s="1"/>
  <c r="D163" i="62"/>
  <c r="E163" i="62"/>
  <c r="BB162" i="62"/>
  <c r="E162" i="62"/>
  <c r="AW160" i="62"/>
  <c r="AM160" i="62"/>
  <c r="AG160" i="62"/>
  <c r="Y160" i="62"/>
  <c r="E161" i="62"/>
  <c r="D161" i="62"/>
  <c r="D160" i="62" s="1"/>
  <c r="AZ160" i="62"/>
  <c r="F160" i="62"/>
  <c r="E158" i="62"/>
  <c r="D158" i="62"/>
  <c r="BF156" i="62"/>
  <c r="BG156" i="62" s="1"/>
  <c r="G156" i="62"/>
  <c r="AU154" i="62"/>
  <c r="BB153" i="62"/>
  <c r="BC153" i="62" s="1"/>
  <c r="AU153" i="62"/>
  <c r="AW153" i="62"/>
  <c r="E153" i="62"/>
  <c r="AU152" i="62"/>
  <c r="BB151" i="62"/>
  <c r="BC151" i="62" s="1"/>
  <c r="D149" i="62"/>
  <c r="E149" i="62"/>
  <c r="Y147" i="62"/>
  <c r="Y136" i="62" s="1"/>
  <c r="E148" i="62"/>
  <c r="AZ147" i="62"/>
  <c r="G147" i="62"/>
  <c r="BF144" i="62"/>
  <c r="BG144" i="62" s="1"/>
  <c r="BB144" i="62"/>
  <c r="BC144" i="62" s="1"/>
  <c r="G144" i="62"/>
  <c r="E144" i="62" s="1"/>
  <c r="BF142" i="62"/>
  <c r="BG142" i="62" s="1"/>
  <c r="AU142" i="62"/>
  <c r="BB141" i="62"/>
  <c r="BC141" i="62" s="1"/>
  <c r="BB139" i="62"/>
  <c r="BC139" i="62" s="1"/>
  <c r="AP138" i="62"/>
  <c r="AP136" i="62" s="1"/>
  <c r="AN139" i="62"/>
  <c r="D139" i="62"/>
  <c r="D138" i="62" s="1"/>
  <c r="E139" i="62"/>
  <c r="AS136" i="62"/>
  <c r="AQ136" i="62"/>
  <c r="G138" i="62"/>
  <c r="BD136" i="62"/>
  <c r="H136" i="62"/>
  <c r="D133" i="62"/>
  <c r="D130" i="62" s="1"/>
  <c r="E133" i="62"/>
  <c r="BB132" i="62"/>
  <c r="AU132" i="62"/>
  <c r="AW132" i="62"/>
  <c r="E132" i="62"/>
  <c r="AW131" i="62"/>
  <c r="G130" i="62"/>
  <c r="AZ130" i="62"/>
  <c r="F130" i="62"/>
  <c r="BF128" i="62"/>
  <c r="BG128" i="62" s="1"/>
  <c r="D128" i="62"/>
  <c r="E128" i="62"/>
  <c r="BF127" i="62"/>
  <c r="BG127" i="62" s="1"/>
  <c r="AZ126" i="62"/>
  <c r="AP126" i="62"/>
  <c r="AN126" i="62"/>
  <c r="AW126" i="62" s="1"/>
  <c r="BB123" i="62"/>
  <c r="BC123" i="62" s="1"/>
  <c r="D122" i="62"/>
  <c r="E122" i="62"/>
  <c r="BF121" i="62"/>
  <c r="BG121" i="62" s="1"/>
  <c r="BB121" i="62"/>
  <c r="BC121" i="62" s="1"/>
  <c r="AU119" i="62"/>
  <c r="AW119" i="62"/>
  <c r="E119" i="62"/>
  <c r="D119" i="62"/>
  <c r="AN115" i="62"/>
  <c r="Y115" i="62"/>
  <c r="AF117" i="62"/>
  <c r="AF115" i="62" s="1"/>
  <c r="AU117" i="62"/>
  <c r="G115" i="62"/>
  <c r="E115" i="62" s="1"/>
  <c r="D117" i="62"/>
  <c r="E117" i="62"/>
  <c r="F115" i="62"/>
  <c r="F114" i="62"/>
  <c r="BF110" i="62"/>
  <c r="G110" i="62"/>
  <c r="N107" i="62"/>
  <c r="AW107" i="62"/>
  <c r="BF108" i="62"/>
  <c r="BG108" i="62" s="1"/>
  <c r="AG107" i="62"/>
  <c r="Y107" i="62"/>
  <c r="G108" i="62"/>
  <c r="T107" i="62"/>
  <c r="E104" i="62"/>
  <c r="AW102" i="62"/>
  <c r="D100" i="62"/>
  <c r="E100" i="62"/>
  <c r="BB99" i="62"/>
  <c r="AF96" i="62"/>
  <c r="BB96" i="62"/>
  <c r="BC96" i="62" s="1"/>
  <c r="D93" i="62"/>
  <c r="E93" i="62"/>
  <c r="E92" i="62"/>
  <c r="BF91" i="62"/>
  <c r="BG91" i="62" s="1"/>
  <c r="D91" i="62"/>
  <c r="BB91" i="62"/>
  <c r="BC91" i="62" s="1"/>
  <c r="AW87" i="62"/>
  <c r="D83" i="62"/>
  <c r="E83" i="62"/>
  <c r="BF82" i="62"/>
  <c r="BG82" i="62" s="1"/>
  <c r="BB82" i="62"/>
  <c r="BC82" i="62" s="1"/>
  <c r="N79" i="62"/>
  <c r="G82" i="62"/>
  <c r="D81" i="62"/>
  <c r="E81" i="62"/>
  <c r="AZ79" i="62"/>
  <c r="W63" i="62"/>
  <c r="S63" i="62"/>
  <c r="O63" i="62"/>
  <c r="BB77" i="62"/>
  <c r="BC77" i="62" s="1"/>
  <c r="BB75" i="62"/>
  <c r="BC75" i="62" s="1"/>
  <c r="AM74" i="62"/>
  <c r="D74" i="62"/>
  <c r="AU74" i="62"/>
  <c r="X72" i="62"/>
  <c r="AG72" i="62"/>
  <c r="AM73" i="62"/>
  <c r="AC63" i="62"/>
  <c r="BF68" i="62"/>
  <c r="BD65" i="62"/>
  <c r="E67" i="62"/>
  <c r="D67" i="62"/>
  <c r="AW65" i="62"/>
  <c r="AS63" i="62"/>
  <c r="V63" i="62"/>
  <c r="T63" i="62"/>
  <c r="R63" i="62"/>
  <c r="P63" i="62"/>
  <c r="N63" i="62"/>
  <c r="BB50" i="62"/>
  <c r="BC50" i="62" s="1"/>
  <c r="BF50" i="62"/>
  <c r="BG50" i="62" s="1"/>
  <c r="AG50" i="62"/>
  <c r="Y50" i="62"/>
  <c r="E50" i="62" s="1"/>
  <c r="AO45" i="62"/>
  <c r="AG47" i="62"/>
  <c r="G47" i="62"/>
  <c r="AZ45" i="62"/>
  <c r="BB46" i="62"/>
  <c r="BC46" i="62" s="1"/>
  <c r="BF46" i="62"/>
  <c r="BG46" i="62" s="1"/>
  <c r="AT45" i="62"/>
  <c r="AR45" i="62"/>
  <c r="AR9" i="62" s="1"/>
  <c r="AR7" i="62" s="1"/>
  <c r="AR307" i="62" s="1"/>
  <c r="AP46" i="62"/>
  <c r="AJ45" i="62"/>
  <c r="AH45" i="62"/>
  <c r="AG46" i="62"/>
  <c r="AG45" i="62" s="1"/>
  <c r="AD45" i="62"/>
  <c r="AB45" i="62"/>
  <c r="Z45" i="62"/>
  <c r="Z9" i="62" s="1"/>
  <c r="Z7" i="62" s="1"/>
  <c r="Y46" i="62"/>
  <c r="I45" i="62"/>
  <c r="AM38" i="62"/>
  <c r="AM35" i="62" s="1"/>
  <c r="AU38" i="62"/>
  <c r="E38" i="62"/>
  <c r="BF37" i="62"/>
  <c r="AN37" i="62"/>
  <c r="BB37" i="62"/>
  <c r="BC37" i="62" s="1"/>
  <c r="F35" i="62"/>
  <c r="AG35" i="62"/>
  <c r="BB33" i="62"/>
  <c r="BC33" i="62" s="1"/>
  <c r="AO28" i="62"/>
  <c r="AO23" i="62" s="1"/>
  <c r="AO9" i="62" s="1"/>
  <c r="AN29" i="62"/>
  <c r="AG23" i="62"/>
  <c r="G28" i="62"/>
  <c r="D29" i="62"/>
  <c r="D28" i="62" s="1"/>
  <c r="E29" i="62"/>
  <c r="AU25" i="62"/>
  <c r="AU24" i="62" s="1"/>
  <c r="AN24" i="62"/>
  <c r="AP23" i="62"/>
  <c r="AN17" i="62"/>
  <c r="BB17" i="62"/>
  <c r="BC17" i="62" s="1"/>
  <c r="E274" i="62"/>
  <c r="E131" i="62"/>
  <c r="E130" i="62" s="1"/>
  <c r="AU127" i="62"/>
  <c r="AW127" i="62"/>
  <c r="G126" i="62"/>
  <c r="M115" i="62"/>
  <c r="M63" i="62" s="1"/>
  <c r="G123" i="62"/>
  <c r="AA115" i="62"/>
  <c r="AA63" i="62" s="1"/>
  <c r="D121" i="62"/>
  <c r="E121" i="62"/>
  <c r="BF120" i="62"/>
  <c r="BG120" i="62" s="1"/>
  <c r="BF118" i="62"/>
  <c r="BG118" i="62" s="1"/>
  <c r="X115" i="62"/>
  <c r="F113" i="62"/>
  <c r="E109" i="62"/>
  <c r="G107" i="62"/>
  <c r="D105" i="62"/>
  <c r="E105" i="62"/>
  <c r="E103" i="62"/>
  <c r="AU100" i="62"/>
  <c r="AP96" i="62"/>
  <c r="G96" i="62"/>
  <c r="D92" i="62"/>
  <c r="E91" i="62"/>
  <c r="AZ87" i="62"/>
  <c r="AP87" i="62"/>
  <c r="AN88" i="62"/>
  <c r="D88" i="62"/>
  <c r="E88" i="62"/>
  <c r="AO87" i="62"/>
  <c r="AO63" i="62" s="1"/>
  <c r="E85" i="62"/>
  <c r="AN79" i="62"/>
  <c r="D80" i="62"/>
  <c r="E80" i="62"/>
  <c r="AO79" i="62"/>
  <c r="AU77" i="62"/>
  <c r="E77" i="62"/>
  <c r="D76" i="62"/>
  <c r="E76" i="62"/>
  <c r="AU75" i="62"/>
  <c r="E75" i="62"/>
  <c r="E74" i="62"/>
  <c r="BD72" i="62"/>
  <c r="AZ72" i="62"/>
  <c r="AN72" i="62"/>
  <c r="Y73" i="62"/>
  <c r="E73" i="62"/>
  <c r="G72" i="62"/>
  <c r="D69" i="62"/>
  <c r="E69" i="62"/>
  <c r="AP65" i="62"/>
  <c r="AP63" i="62" s="1"/>
  <c r="AG65" i="62"/>
  <c r="AM66" i="62"/>
  <c r="AJ63" i="62"/>
  <c r="AH63" i="62"/>
  <c r="AD63" i="62"/>
  <c r="AB63" i="62"/>
  <c r="Z63" i="62"/>
  <c r="F65" i="62"/>
  <c r="F61" i="62"/>
  <c r="AP56" i="62"/>
  <c r="AF52" i="62"/>
  <c r="X52" i="62"/>
  <c r="V52" i="62"/>
  <c r="T52" i="62"/>
  <c r="R52" i="62"/>
  <c r="P52" i="62"/>
  <c r="M52" i="62"/>
  <c r="J52" i="62"/>
  <c r="G53" i="62"/>
  <c r="D50" i="62"/>
  <c r="AN49" i="62"/>
  <c r="AU49" i="62" s="1"/>
  <c r="G49" i="62"/>
  <c r="BB48" i="62"/>
  <c r="BC48" i="62" s="1"/>
  <c r="BF48" i="62"/>
  <c r="BG48" i="62" s="1"/>
  <c r="AG48" i="62"/>
  <c r="AU48" i="62" s="1"/>
  <c r="Y48" i="62"/>
  <c r="E48" i="62" s="1"/>
  <c r="AW45" i="62"/>
  <c r="BD45" i="62"/>
  <c r="BB45" i="62"/>
  <c r="BC45" i="62" s="1"/>
  <c r="AM42" i="62"/>
  <c r="F42" i="62" s="1"/>
  <c r="AU42" i="62"/>
  <c r="E42" i="62"/>
  <c r="AM40" i="62"/>
  <c r="F40" i="62" s="1"/>
  <c r="AU40" i="62"/>
  <c r="E40" i="62"/>
  <c r="BB39" i="62"/>
  <c r="BF38" i="62"/>
  <c r="AZ35" i="62"/>
  <c r="Y35" i="62"/>
  <c r="AU30" i="62"/>
  <c r="AW30" i="62"/>
  <c r="AI23" i="62"/>
  <c r="AI9" i="62" s="1"/>
  <c r="AI7" i="62" s="1"/>
  <c r="AI306" i="62" s="1"/>
  <c r="M23" i="62"/>
  <c r="BB21" i="62"/>
  <c r="BC21" i="62" s="1"/>
  <c r="AD9" i="62"/>
  <c r="AD7" i="62" s="1"/>
  <c r="E127" i="62"/>
  <c r="BF59" i="62"/>
  <c r="BG59" i="62" s="1"/>
  <c r="X58" i="62"/>
  <c r="F58" i="62" s="1"/>
  <c r="AN56" i="62"/>
  <c r="AU56" i="62" s="1"/>
  <c r="G56" i="62"/>
  <c r="AG55" i="62"/>
  <c r="D55" i="62" s="1"/>
  <c r="Y55" i="62"/>
  <c r="E55" i="62" s="1"/>
  <c r="AN54" i="62"/>
  <c r="AG54" i="62"/>
  <c r="Y54" i="62"/>
  <c r="G54" i="62"/>
  <c r="BD52" i="62"/>
  <c r="AZ52" i="62"/>
  <c r="AT52" i="62"/>
  <c r="AR52" i="62"/>
  <c r="AP53" i="62"/>
  <c r="AJ52" i="62"/>
  <c r="AH52" i="62"/>
  <c r="AG53" i="62"/>
  <c r="AG52" i="62" s="1"/>
  <c r="AD52" i="62"/>
  <c r="AB52" i="62"/>
  <c r="Z52" i="62"/>
  <c r="Y53" i="62"/>
  <c r="Y52" i="62" s="1"/>
  <c r="F52" i="62"/>
  <c r="AP49" i="62"/>
  <c r="AP47" i="62"/>
  <c r="AN47" i="62" s="1"/>
  <c r="AU47" i="62" s="1"/>
  <c r="AF45" i="62"/>
  <c r="V45" i="62"/>
  <c r="T45" i="62"/>
  <c r="R45" i="62"/>
  <c r="P45" i="62"/>
  <c r="J45" i="62"/>
  <c r="G46" i="62"/>
  <c r="BF43" i="62"/>
  <c r="BG43" i="62" s="1"/>
  <c r="AU43" i="62"/>
  <c r="E41" i="62"/>
  <c r="D39" i="62"/>
  <c r="D38" i="62"/>
  <c r="J35" i="62"/>
  <c r="G37" i="62"/>
  <c r="AN35" i="62"/>
  <c r="D36" i="62"/>
  <c r="E36" i="62"/>
  <c r="E33" i="62"/>
  <c r="D33" i="62"/>
  <c r="AG32" i="62"/>
  <c r="AU32" i="62" s="1"/>
  <c r="Y32" i="62"/>
  <c r="D32" i="62" s="1"/>
  <c r="AW28" i="62"/>
  <c r="AW23" i="62" s="1"/>
  <c r="AM28" i="62"/>
  <c r="I23" i="62"/>
  <c r="D26" i="62"/>
  <c r="E26" i="62"/>
  <c r="AZ24" i="62"/>
  <c r="BF25" i="62"/>
  <c r="F24" i="62"/>
  <c r="BB25" i="62"/>
  <c r="BC25" i="62" s="1"/>
  <c r="AJ23" i="62"/>
  <c r="AH23" i="62"/>
  <c r="AH9" i="62" s="1"/>
  <c r="AH7" i="62" s="1"/>
  <c r="AF20" i="62"/>
  <c r="F20" i="62" s="1"/>
  <c r="D20" i="62"/>
  <c r="D19" i="62"/>
  <c r="Y17" i="62"/>
  <c r="E17" i="62" s="1"/>
  <c r="F14" i="62"/>
  <c r="D14" i="62"/>
  <c r="E14" i="62"/>
  <c r="BD11" i="62"/>
  <c r="AW11" i="62"/>
  <c r="AT9" i="62"/>
  <c r="AJ9" i="62"/>
  <c r="W9" i="62"/>
  <c r="U9" i="62"/>
  <c r="U7" i="62" s="1"/>
  <c r="S9" i="62"/>
  <c r="S7" i="62" s="1"/>
  <c r="Q9" i="62"/>
  <c r="Q7" i="62" s="1"/>
  <c r="O9" i="62"/>
  <c r="M9" i="62"/>
  <c r="K9" i="62"/>
  <c r="K7" i="62" s="1"/>
  <c r="H9" i="62"/>
  <c r="H7" i="62" s="1"/>
  <c r="E59" i="62"/>
  <c r="AZ28" i="62"/>
  <c r="AF28" i="62"/>
  <c r="F28" i="62"/>
  <c r="Y24" i="62"/>
  <c r="E25" i="62"/>
  <c r="D25" i="62"/>
  <c r="BD23" i="62"/>
  <c r="V23" i="62"/>
  <c r="V9" i="62" s="1"/>
  <c r="V7" i="62" s="1"/>
  <c r="T23" i="62"/>
  <c r="R23" i="62"/>
  <c r="R9" i="62" s="1"/>
  <c r="R7" i="62" s="1"/>
  <c r="P23" i="62"/>
  <c r="N23" i="62"/>
  <c r="N9" i="62" s="1"/>
  <c r="N7" i="62" s="1"/>
  <c r="L23" i="62"/>
  <c r="J24" i="62"/>
  <c r="J23" i="62" s="1"/>
  <c r="G23" i="62" s="1"/>
  <c r="G24" i="62"/>
  <c r="E24" i="62" s="1"/>
  <c r="AU21" i="62"/>
  <c r="AU17" i="62" s="1"/>
  <c r="AW21" i="62"/>
  <c r="E21" i="62"/>
  <c r="D21" i="62"/>
  <c r="E20" i="62"/>
  <c r="E19" i="62"/>
  <c r="BF17" i="62"/>
  <c r="BG17" i="62" s="1"/>
  <c r="AP17" i="62"/>
  <c r="D18" i="62"/>
  <c r="D17" i="62" s="1"/>
  <c r="E18" i="62"/>
  <c r="AW17" i="62"/>
  <c r="D15" i="62"/>
  <c r="E15" i="62"/>
  <c r="D13" i="62"/>
  <c r="AZ11" i="62"/>
  <c r="BF12" i="62"/>
  <c r="BG12" i="62" s="1"/>
  <c r="AN12" i="62"/>
  <c r="AF11" i="62"/>
  <c r="BB12" i="62"/>
  <c r="BC12" i="62" s="1"/>
  <c r="AB9" i="62"/>
  <c r="AB7" i="62" s="1"/>
  <c r="T9" i="62"/>
  <c r="P9" i="62"/>
  <c r="P7" i="62" s="1"/>
  <c r="L9" i="62"/>
  <c r="I9" i="62"/>
  <c r="I7" i="62" s="1"/>
  <c r="F11" i="62"/>
  <c r="E13" i="62"/>
  <c r="AM11" i="62"/>
  <c r="AG11" i="62"/>
  <c r="Y11" i="62"/>
  <c r="G11" i="62"/>
  <c r="E12" i="62"/>
  <c r="D12" i="62"/>
  <c r="AS9" i="62"/>
  <c r="AS7" i="62" s="1"/>
  <c r="AS307" i="62" s="1"/>
  <c r="AK9" i="62"/>
  <c r="AK7" i="62" s="1"/>
  <c r="AK307" i="62" s="1"/>
  <c r="AC9" i="62"/>
  <c r="AC7" i="62" s="1"/>
  <c r="AA9" i="62"/>
  <c r="J11" i="62"/>
  <c r="J9" i="62" s="1"/>
  <c r="J7" i="62" s="1"/>
  <c r="D8" i="61"/>
  <c r="F8" i="61" s="1"/>
  <c r="F10" i="61"/>
  <c r="D12" i="59"/>
  <c r="D11" i="59" s="1"/>
  <c r="D137" i="59" s="1"/>
  <c r="E12" i="59"/>
  <c r="E11" i="59" s="1"/>
  <c r="E137" i="59" s="1"/>
  <c r="B12" i="59"/>
  <c r="B11" i="59" s="1"/>
  <c r="B137" i="59" s="1"/>
  <c r="B8" i="58"/>
  <c r="C111" i="58"/>
  <c r="D111" i="58" s="1"/>
  <c r="C104" i="58"/>
  <c r="D104" i="58" s="1"/>
  <c r="C59" i="58"/>
  <c r="C12" i="58"/>
  <c r="D12" i="58" s="1"/>
  <c r="AU313" i="63" l="1"/>
  <c r="AU311" i="63" s="1"/>
  <c r="AU309" i="63" s="1"/>
  <c r="D59" i="58"/>
  <c r="AF196" i="62"/>
  <c r="AA7" i="63"/>
  <c r="B11" i="65"/>
  <c r="E11" i="65"/>
  <c r="H11" i="65"/>
  <c r="AG7" i="63"/>
  <c r="F11" i="63"/>
  <c r="D23" i="63"/>
  <c r="AN24" i="63"/>
  <c r="AU25" i="63"/>
  <c r="AU24" i="63" s="1"/>
  <c r="AN28" i="63"/>
  <c r="AU29" i="63"/>
  <c r="AU28" i="63" s="1"/>
  <c r="G23" i="63"/>
  <c r="F35" i="63"/>
  <c r="AM23" i="63"/>
  <c r="D32" i="63"/>
  <c r="E32" i="63"/>
  <c r="F38" i="63"/>
  <c r="D46" i="63"/>
  <c r="G45" i="63"/>
  <c r="E45" i="63" s="1"/>
  <c r="E46" i="63"/>
  <c r="AU46" i="63"/>
  <c r="AU45" i="63" s="1"/>
  <c r="AN45" i="63"/>
  <c r="G52" i="63"/>
  <c r="E53" i="63"/>
  <c r="D55" i="63"/>
  <c r="E56" i="63"/>
  <c r="D56" i="63"/>
  <c r="AN88" i="63"/>
  <c r="AU89" i="63"/>
  <c r="AN103" i="63"/>
  <c r="AU104" i="63"/>
  <c r="AU103" i="63" s="1"/>
  <c r="AN108" i="63"/>
  <c r="AU109" i="63"/>
  <c r="F80" i="63"/>
  <c r="E89" i="63"/>
  <c r="F97" i="63"/>
  <c r="E103" i="63"/>
  <c r="AN116" i="63"/>
  <c r="AU118" i="63"/>
  <c r="AU116" i="63" s="1"/>
  <c r="AN127" i="63"/>
  <c r="AW127" i="63" s="1"/>
  <c r="AU128" i="63"/>
  <c r="AU127" i="63" s="1"/>
  <c r="AW128" i="63"/>
  <c r="G138" i="63"/>
  <c r="F146" i="63"/>
  <c r="E118" i="63"/>
  <c r="AN149" i="63"/>
  <c r="E149" i="63" s="1"/>
  <c r="AU150" i="63"/>
  <c r="AU149" i="63" s="1"/>
  <c r="F177" i="63"/>
  <c r="F181" i="63"/>
  <c r="G194" i="63"/>
  <c r="X194" i="63" s="1"/>
  <c r="E196" i="63"/>
  <c r="E194" i="63" s="1"/>
  <c r="X196" i="63"/>
  <c r="G207" i="63"/>
  <c r="E209" i="63"/>
  <c r="E88" i="63"/>
  <c r="E104" i="63"/>
  <c r="D142" i="63"/>
  <c r="D140" i="63" s="1"/>
  <c r="D138" i="63" s="1"/>
  <c r="E150" i="63"/>
  <c r="G173" i="63"/>
  <c r="X175" i="63"/>
  <c r="E175" i="63"/>
  <c r="X207" i="63"/>
  <c r="F209" i="63"/>
  <c r="D213" i="63"/>
  <c r="AU213" i="63"/>
  <c r="AU209" i="63" s="1"/>
  <c r="E213" i="63"/>
  <c r="AP196" i="63"/>
  <c r="AP194" i="63" s="1"/>
  <c r="AP182" i="63" s="1"/>
  <c r="AF207" i="63"/>
  <c r="E253" i="63"/>
  <c r="D253" i="63"/>
  <c r="D251" i="63" s="1"/>
  <c r="D245" i="63"/>
  <c r="AU247" i="63"/>
  <c r="AU245" i="63" s="1"/>
  <c r="AW247" i="63"/>
  <c r="F248" i="63"/>
  <c r="G257" i="63"/>
  <c r="E259" i="63"/>
  <c r="AU267" i="63"/>
  <c r="AU264" i="63" s="1"/>
  <c r="AU257" i="63" s="1"/>
  <c r="AN269" i="63"/>
  <c r="E269" i="63" s="1"/>
  <c r="AU271" i="63"/>
  <c r="AU269" i="63" s="1"/>
  <c r="F272" i="63"/>
  <c r="F275" i="63"/>
  <c r="F286" i="63"/>
  <c r="X291" i="63"/>
  <c r="E291" i="63"/>
  <c r="F292" i="63"/>
  <c r="AG301" i="63"/>
  <c r="AM301" i="63" s="1"/>
  <c r="AM303" i="63"/>
  <c r="AN303" i="63"/>
  <c r="AN301" i="63" s="1"/>
  <c r="AU307" i="63"/>
  <c r="AU303" i="63" s="1"/>
  <c r="AU301" i="63" s="1"/>
  <c r="D247" i="63"/>
  <c r="E267" i="63"/>
  <c r="F312" i="63"/>
  <c r="E222" i="63"/>
  <c r="F236" i="63"/>
  <c r="AN264" i="63"/>
  <c r="AN257" i="63" s="1"/>
  <c r="E282" i="63"/>
  <c r="E307" i="63"/>
  <c r="AN11" i="63"/>
  <c r="AU12" i="63"/>
  <c r="AU11" i="63" s="1"/>
  <c r="G11" i="63"/>
  <c r="D12" i="63"/>
  <c r="D11" i="63" s="1"/>
  <c r="E12" i="63"/>
  <c r="AL14" i="63"/>
  <c r="AL101" i="63"/>
  <c r="AL172" i="63"/>
  <c r="AL273" i="63"/>
  <c r="E25" i="63"/>
  <c r="Y9" i="63"/>
  <c r="E28" i="63"/>
  <c r="AW23" i="63"/>
  <c r="AL236" i="63"/>
  <c r="X23" i="63"/>
  <c r="E29" i="63"/>
  <c r="AN35" i="63"/>
  <c r="E35" i="63" s="1"/>
  <c r="E37" i="63"/>
  <c r="AU37" i="63"/>
  <c r="AU35" i="63" s="1"/>
  <c r="AN53" i="63"/>
  <c r="F52" i="63"/>
  <c r="Y73" i="63"/>
  <c r="D74" i="63"/>
  <c r="D73" i="63" s="1"/>
  <c r="AF74" i="63"/>
  <c r="AU74" i="63"/>
  <c r="AU73" i="63" s="1"/>
  <c r="E85" i="63"/>
  <c r="D85" i="63"/>
  <c r="D47" i="63"/>
  <c r="E49" i="63"/>
  <c r="E55" i="63"/>
  <c r="E58" i="63"/>
  <c r="X58" i="63"/>
  <c r="F58" i="63" s="1"/>
  <c r="AN80" i="63"/>
  <c r="E80" i="63" s="1"/>
  <c r="AU81" i="63"/>
  <c r="D83" i="63"/>
  <c r="D80" i="63" s="1"/>
  <c r="E83" i="63"/>
  <c r="AU83" i="63"/>
  <c r="G63" i="63"/>
  <c r="E81" i="63"/>
  <c r="AU85" i="63"/>
  <c r="F88" i="63"/>
  <c r="E90" i="63"/>
  <c r="D90" i="63"/>
  <c r="AU90" i="63"/>
  <c r="E95" i="63"/>
  <c r="D95" i="63"/>
  <c r="AU95" i="63"/>
  <c r="E109" i="63"/>
  <c r="D109" i="63"/>
  <c r="E111" i="63"/>
  <c r="D111" i="63"/>
  <c r="D89" i="63"/>
  <c r="D104" i="63"/>
  <c r="D103" i="63" s="1"/>
  <c r="D118" i="63"/>
  <c r="D116" i="63" s="1"/>
  <c r="E127" i="63"/>
  <c r="AN132" i="63"/>
  <c r="AW132" i="63" s="1"/>
  <c r="AU133" i="63"/>
  <c r="AU132" i="63" s="1"/>
  <c r="AW133" i="63"/>
  <c r="AN146" i="63"/>
  <c r="E146" i="63" s="1"/>
  <c r="AU147" i="63"/>
  <c r="AU146" i="63" s="1"/>
  <c r="E108" i="63"/>
  <c r="F108" i="63"/>
  <c r="AU111" i="63"/>
  <c r="Y116" i="63"/>
  <c r="E116" i="63" s="1"/>
  <c r="F119" i="63"/>
  <c r="AU123" i="63"/>
  <c r="F135" i="63"/>
  <c r="X138" i="63"/>
  <c r="AG149" i="63"/>
  <c r="AG138" i="63" s="1"/>
  <c r="D150" i="63"/>
  <c r="D149" i="63" s="1"/>
  <c r="AM150" i="63"/>
  <c r="F151" i="63"/>
  <c r="E163" i="63"/>
  <c r="D163" i="63"/>
  <c r="D162" i="63" s="1"/>
  <c r="AU163" i="63"/>
  <c r="AU162" i="63" s="1"/>
  <c r="F179" i="63"/>
  <c r="F185" i="63"/>
  <c r="D197" i="63"/>
  <c r="D196" i="63" s="1"/>
  <c r="D194" i="63" s="1"/>
  <c r="D209" i="63"/>
  <c r="E123" i="63"/>
  <c r="E128" i="63"/>
  <c r="AN140" i="63"/>
  <c r="E142" i="63"/>
  <c r="E147" i="63"/>
  <c r="AW149" i="63"/>
  <c r="AN158" i="63"/>
  <c r="E158" i="63" s="1"/>
  <c r="AU159" i="63"/>
  <c r="AU158" i="63" s="1"/>
  <c r="AU138" i="63" s="1"/>
  <c r="AW173" i="63"/>
  <c r="E184" i="63"/>
  <c r="X184" i="63"/>
  <c r="AN197" i="63"/>
  <c r="AN196" i="63" s="1"/>
  <c r="AN194" i="63" s="1"/>
  <c r="AU198" i="63"/>
  <c r="AU197" i="63" s="1"/>
  <c r="AU196" i="63" s="1"/>
  <c r="AU194" i="63" s="1"/>
  <c r="F199" i="63"/>
  <c r="F201" i="63"/>
  <c r="D159" i="63"/>
  <c r="D158" i="63" s="1"/>
  <c r="F162" i="63"/>
  <c r="E198" i="63"/>
  <c r="E201" i="63"/>
  <c r="AW194" i="63"/>
  <c r="AN251" i="63"/>
  <c r="E251" i="63" s="1"/>
  <c r="AU253" i="63"/>
  <c r="AU251" i="63" s="1"/>
  <c r="E162" i="63"/>
  <c r="AJ175" i="63"/>
  <c r="AJ173" i="63" s="1"/>
  <c r="AJ7" i="63" s="1"/>
  <c r="AJ321" i="63" s="1"/>
  <c r="AG182" i="63"/>
  <c r="AM207" i="63"/>
  <c r="D219" i="63"/>
  <c r="AN219" i="63"/>
  <c r="AW219" i="63" s="1"/>
  <c r="AU220" i="63"/>
  <c r="AW220" i="63"/>
  <c r="AU225" i="63"/>
  <c r="AU222" i="63" s="1"/>
  <c r="AW225" i="63"/>
  <c r="F246" i="63"/>
  <c r="X257" i="63"/>
  <c r="AF257" i="63"/>
  <c r="AN279" i="63"/>
  <c r="AU280" i="63"/>
  <c r="AU279" i="63" s="1"/>
  <c r="AW280" i="63"/>
  <c r="AN291" i="63"/>
  <c r="AN282" i="63" s="1"/>
  <c r="AU292" i="63"/>
  <c r="AU291" i="63" s="1"/>
  <c r="AU282" i="63" s="1"/>
  <c r="AM309" i="63"/>
  <c r="AG318" i="63"/>
  <c r="AN245" i="63"/>
  <c r="E247" i="63"/>
  <c r="AW259" i="63"/>
  <c r="AP264" i="63"/>
  <c r="AP257" i="63" s="1"/>
  <c r="E271" i="63"/>
  <c r="AN311" i="63"/>
  <c r="AN309" i="63" s="1"/>
  <c r="E313" i="63"/>
  <c r="E311" i="63" s="1"/>
  <c r="E309" i="63" s="1"/>
  <c r="D313" i="63"/>
  <c r="D311" i="63" s="1"/>
  <c r="D309" i="63" s="1"/>
  <c r="F227" i="63"/>
  <c r="F232" i="63"/>
  <c r="F222" i="63"/>
  <c r="F261" i="63"/>
  <c r="Y264" i="63"/>
  <c r="F284" i="63"/>
  <c r="G282" i="63"/>
  <c r="X282" i="63" s="1"/>
  <c r="D307" i="63"/>
  <c r="D303" i="63" s="1"/>
  <c r="D301" i="63" s="1"/>
  <c r="BB40" i="62"/>
  <c r="BC40" i="62" s="1"/>
  <c r="AO7" i="62"/>
  <c r="AO307" i="62" s="1"/>
  <c r="D271" i="62"/>
  <c r="BB42" i="62"/>
  <c r="BC42" i="62" s="1"/>
  <c r="BB215" i="62"/>
  <c r="BC215" i="62" s="1"/>
  <c r="BB28" i="62"/>
  <c r="BC28" i="62" s="1"/>
  <c r="BF28" i="62"/>
  <c r="BG28" i="62" s="1"/>
  <c r="M7" i="62"/>
  <c r="AJ7" i="62"/>
  <c r="AJ307" i="62" s="1"/>
  <c r="AW9" i="62"/>
  <c r="F23" i="62"/>
  <c r="BB24" i="62"/>
  <c r="BC24" i="62" s="1"/>
  <c r="E54" i="62"/>
  <c r="D54" i="62"/>
  <c r="BB58" i="62"/>
  <c r="BC58" i="62" s="1"/>
  <c r="BF35" i="62"/>
  <c r="BG35" i="62" s="1"/>
  <c r="D53" i="62"/>
  <c r="D52" i="62" s="1"/>
  <c r="G52" i="62"/>
  <c r="E53" i="62"/>
  <c r="F63" i="62"/>
  <c r="BB65" i="62"/>
  <c r="BC65" i="62" s="1"/>
  <c r="AM65" i="62"/>
  <c r="E72" i="62"/>
  <c r="Y72" i="62"/>
  <c r="AF72" i="62" s="1"/>
  <c r="AF73" i="62"/>
  <c r="BF87" i="62"/>
  <c r="BG87" i="62" s="1"/>
  <c r="BB113" i="62"/>
  <c r="BC113" i="62" s="1"/>
  <c r="AM23" i="62"/>
  <c r="BB35" i="62"/>
  <c r="BC35" i="62" s="1"/>
  <c r="Y45" i="62"/>
  <c r="E47" i="62"/>
  <c r="D47" i="62"/>
  <c r="AU73" i="62"/>
  <c r="AU72" i="62" s="1"/>
  <c r="E82" i="62"/>
  <c r="D82" i="62"/>
  <c r="D79" i="62" s="1"/>
  <c r="AU82" i="62"/>
  <c r="E108" i="62"/>
  <c r="D108" i="62"/>
  <c r="BB114" i="62"/>
  <c r="BC114" i="62" s="1"/>
  <c r="BB115" i="62"/>
  <c r="BC115" i="62" s="1"/>
  <c r="BF126" i="62"/>
  <c r="BG126" i="62" s="1"/>
  <c r="BF130" i="62"/>
  <c r="BF160" i="62"/>
  <c r="BG160" i="62" s="1"/>
  <c r="F174" i="62"/>
  <c r="F175" i="62"/>
  <c r="F176" i="62"/>
  <c r="F177" i="62"/>
  <c r="F178" i="62"/>
  <c r="AZ187" i="62"/>
  <c r="BF188" i="62"/>
  <c r="BG188" i="62" s="1"/>
  <c r="BF196" i="62"/>
  <c r="BG196" i="62" s="1"/>
  <c r="G196" i="62"/>
  <c r="E198" i="62"/>
  <c r="AN196" i="62"/>
  <c r="F213" i="62"/>
  <c r="AM208" i="62"/>
  <c r="F236" i="62"/>
  <c r="BF253" i="62"/>
  <c r="BG253" i="62" s="1"/>
  <c r="BB268" i="62"/>
  <c r="BC268" i="62" s="1"/>
  <c r="BB271" i="62"/>
  <c r="BC271" i="62" s="1"/>
  <c r="BB274" i="62"/>
  <c r="BB283" i="62"/>
  <c r="BC283" i="62" s="1"/>
  <c r="X9" i="62"/>
  <c r="BB41" i="62"/>
  <c r="BC41" i="62" s="1"/>
  <c r="BB43" i="62"/>
  <c r="BC43" i="62" s="1"/>
  <c r="D48" i="62"/>
  <c r="AU55" i="62"/>
  <c r="BB62" i="62"/>
  <c r="BC62" i="62" s="1"/>
  <c r="D65" i="62"/>
  <c r="E79" i="62"/>
  <c r="E84" i="62"/>
  <c r="D84" i="62"/>
  <c r="AU84" i="62"/>
  <c r="E94" i="62"/>
  <c r="D94" i="62"/>
  <c r="D87" i="62" s="1"/>
  <c r="E97" i="62"/>
  <c r="D97" i="62"/>
  <c r="D96" i="62" s="1"/>
  <c r="BB102" i="62"/>
  <c r="BC102" i="62" s="1"/>
  <c r="BB107" i="62"/>
  <c r="AN107" i="62"/>
  <c r="E107" i="62" s="1"/>
  <c r="AU108" i="62"/>
  <c r="BF107" i="62"/>
  <c r="BG107" i="62" s="1"/>
  <c r="AU118" i="62"/>
  <c r="AU115" i="62" s="1"/>
  <c r="AW118" i="62"/>
  <c r="D118" i="62"/>
  <c r="BB126" i="62"/>
  <c r="BC126" i="62" s="1"/>
  <c r="X136" i="62"/>
  <c r="BF138" i="62"/>
  <c r="BG138" i="62" s="1"/>
  <c r="AZ136" i="62"/>
  <c r="BB147" i="62"/>
  <c r="BC147" i="62" s="1"/>
  <c r="G171" i="62"/>
  <c r="X173" i="62"/>
  <c r="BF173" i="62"/>
  <c r="BG173" i="62" s="1"/>
  <c r="AZ171" i="62"/>
  <c r="BB173" i="62"/>
  <c r="BC173" i="62" s="1"/>
  <c r="F171" i="62"/>
  <c r="BB182" i="62"/>
  <c r="AG180" i="62"/>
  <c r="AJ173" i="62"/>
  <c r="AJ171" i="62" s="1"/>
  <c r="AW187" i="62"/>
  <c r="BB198" i="62"/>
  <c r="BC198" i="62" s="1"/>
  <c r="F196" i="62"/>
  <c r="BB208" i="62"/>
  <c r="BF208" i="62"/>
  <c r="BB212" i="62"/>
  <c r="BC212" i="62" s="1"/>
  <c r="F216" i="62"/>
  <c r="BB221" i="62"/>
  <c r="BC221" i="62" s="1"/>
  <c r="BB223" i="62"/>
  <c r="BC223" i="62" s="1"/>
  <c r="F235" i="62"/>
  <c r="BB253" i="62"/>
  <c r="BC253" i="62" s="1"/>
  <c r="AM253" i="62"/>
  <c r="BF258" i="62"/>
  <c r="BG258" i="62" s="1"/>
  <c r="X277" i="62"/>
  <c r="BB277" i="62"/>
  <c r="BC277" i="62" s="1"/>
  <c r="BB290" i="62"/>
  <c r="BC290" i="62" s="1"/>
  <c r="F288" i="62"/>
  <c r="AF296" i="62"/>
  <c r="E300" i="62"/>
  <c r="E298" i="62" s="1"/>
  <c r="E296" i="62" s="1"/>
  <c r="Y298" i="62"/>
  <c r="Y296" i="62" s="1"/>
  <c r="D300" i="62"/>
  <c r="D298" i="62" s="1"/>
  <c r="D296" i="62" s="1"/>
  <c r="BF292" i="62"/>
  <c r="BG292" i="62" s="1"/>
  <c r="E32" i="62"/>
  <c r="AU50" i="62"/>
  <c r="BB282" i="62"/>
  <c r="BC282" i="62" s="1"/>
  <c r="AA7" i="62"/>
  <c r="D11" i="62"/>
  <c r="AG9" i="62"/>
  <c r="F9" i="62"/>
  <c r="BB11" i="62"/>
  <c r="BC11" i="62" s="1"/>
  <c r="L7" i="62"/>
  <c r="T7" i="62"/>
  <c r="AU12" i="62"/>
  <c r="AU11" i="62" s="1"/>
  <c r="AN11" i="62"/>
  <c r="AZ9" i="62"/>
  <c r="BF11" i="62"/>
  <c r="BG11" i="62" s="1"/>
  <c r="D24" i="62"/>
  <c r="Y23" i="62"/>
  <c r="O7" i="62"/>
  <c r="W7" i="62"/>
  <c r="AT7" i="62"/>
  <c r="AT307" i="62" s="1"/>
  <c r="BD9" i="62"/>
  <c r="BB14" i="62"/>
  <c r="AY14" i="62"/>
  <c r="BB20" i="62"/>
  <c r="BC20" i="62" s="1"/>
  <c r="AY20" i="62"/>
  <c r="AF23" i="62"/>
  <c r="AZ23" i="62"/>
  <c r="BF24" i="62"/>
  <c r="BG24" i="62" s="1"/>
  <c r="E37" i="62"/>
  <c r="D37" i="62"/>
  <c r="D35" i="62" s="1"/>
  <c r="G35" i="62"/>
  <c r="E35" i="62" s="1"/>
  <c r="G45" i="62"/>
  <c r="BB52" i="62"/>
  <c r="BC52" i="62" s="1"/>
  <c r="AP52" i="62"/>
  <c r="AN53" i="62"/>
  <c r="BF52" i="62"/>
  <c r="BG52" i="62" s="1"/>
  <c r="AU54" i="62"/>
  <c r="E56" i="62"/>
  <c r="D56" i="62"/>
  <c r="AY21" i="62"/>
  <c r="E49" i="62"/>
  <c r="D49" i="62"/>
  <c r="BB61" i="62"/>
  <c r="BC61" i="62" s="1"/>
  <c r="AG63" i="62"/>
  <c r="D73" i="62"/>
  <c r="D72" i="62" s="1"/>
  <c r="BF72" i="62"/>
  <c r="BG72" i="62" s="1"/>
  <c r="AN87" i="62"/>
  <c r="E87" i="62" s="1"/>
  <c r="AU88" i="62"/>
  <c r="E96" i="62"/>
  <c r="E123" i="62"/>
  <c r="D123" i="62"/>
  <c r="E126" i="62"/>
  <c r="AU126" i="62"/>
  <c r="AN28" i="62"/>
  <c r="E28" i="62" s="1"/>
  <c r="AU29" i="62"/>
  <c r="AU28" i="62" s="1"/>
  <c r="AU23" i="62" s="1"/>
  <c r="AU37" i="62"/>
  <c r="AU35" i="62" s="1"/>
  <c r="AP45" i="62"/>
  <c r="AP9" i="62" s="1"/>
  <c r="AP7" i="62" s="1"/>
  <c r="AP307" i="62" s="1"/>
  <c r="AN46" i="62"/>
  <c r="BF45" i="62"/>
  <c r="BG45" i="62" s="1"/>
  <c r="AW63" i="62"/>
  <c r="BD63" i="62"/>
  <c r="AM72" i="62"/>
  <c r="BF79" i="62"/>
  <c r="BG79" i="62" s="1"/>
  <c r="E110" i="62"/>
  <c r="D110" i="62"/>
  <c r="AU110" i="62"/>
  <c r="D115" i="62"/>
  <c r="AU123" i="62"/>
  <c r="BB130" i="62"/>
  <c r="G136" i="62"/>
  <c r="E138" i="62"/>
  <c r="AN138" i="62"/>
  <c r="AU139" i="62"/>
  <c r="AU138" i="62" s="1"/>
  <c r="AW139" i="62"/>
  <c r="BF147" i="62"/>
  <c r="BG147" i="62" s="1"/>
  <c r="BB160" i="62"/>
  <c r="BC160" i="62" s="1"/>
  <c r="AN173" i="62"/>
  <c r="AN171" i="62" s="1"/>
  <c r="AU179" i="62"/>
  <c r="AU173" i="62" s="1"/>
  <c r="AU171" i="62" s="1"/>
  <c r="D179" i="62"/>
  <c r="BB183" i="62"/>
  <c r="E188" i="62"/>
  <c r="D188" i="62"/>
  <c r="D187" i="62" s="1"/>
  <c r="D185" i="62" s="1"/>
  <c r="BB190" i="62"/>
  <c r="AP196" i="62"/>
  <c r="AG196" i="62"/>
  <c r="E208" i="62"/>
  <c r="BF211" i="62"/>
  <c r="F214" i="62"/>
  <c r="F217" i="62"/>
  <c r="F219" i="62"/>
  <c r="E233" i="62"/>
  <c r="X233" i="62"/>
  <c r="BB240" i="62"/>
  <c r="BC240" i="62" s="1"/>
  <c r="D241" i="62"/>
  <c r="D239" i="62" s="1"/>
  <c r="E241" i="62"/>
  <c r="AU241" i="62"/>
  <c r="AU239" i="62" s="1"/>
  <c r="AU196" i="62" s="1"/>
  <c r="BB246" i="62"/>
  <c r="BC246" i="62" s="1"/>
  <c r="E247" i="62"/>
  <c r="G245" i="62"/>
  <c r="AW247" i="62"/>
  <c r="AZ245" i="62"/>
  <c r="D262" i="62"/>
  <c r="D258" i="62" s="1"/>
  <c r="D245" i="62" s="1"/>
  <c r="AM262" i="62"/>
  <c r="BF264" i="62"/>
  <c r="BG264" i="62" s="1"/>
  <c r="BF268" i="62"/>
  <c r="BG268" i="62" s="1"/>
  <c r="Y271" i="62"/>
  <c r="AF271" i="62" s="1"/>
  <c r="AF273" i="62"/>
  <c r="AW271" i="62"/>
  <c r="BF271" i="62"/>
  <c r="BG271" i="62" s="1"/>
  <c r="D277" i="62"/>
  <c r="F299" i="62"/>
  <c r="E65" i="62"/>
  <c r="G63" i="62"/>
  <c r="Y63" i="62"/>
  <c r="AF65" i="62"/>
  <c r="AF63" i="62" s="1"/>
  <c r="AZ63" i="62"/>
  <c r="BF65" i="62"/>
  <c r="BG65" i="62" s="1"/>
  <c r="BB72" i="62"/>
  <c r="BC72" i="62" s="1"/>
  <c r="BB79" i="62"/>
  <c r="BC79" i="62" s="1"/>
  <c r="BB87" i="62"/>
  <c r="BC87" i="62" s="1"/>
  <c r="AU94" i="62"/>
  <c r="AU97" i="62"/>
  <c r="AU96" i="62" s="1"/>
  <c r="D102" i="62"/>
  <c r="D126" i="62"/>
  <c r="F136" i="62"/>
  <c r="BB138" i="62"/>
  <c r="BC138" i="62" s="1"/>
  <c r="AF136" i="62"/>
  <c r="AG147" i="62"/>
  <c r="AG136" i="62" s="1"/>
  <c r="AM148" i="62"/>
  <c r="D148" i="62"/>
  <c r="D147" i="62" s="1"/>
  <c r="D136" i="62" s="1"/>
  <c r="AU148" i="62"/>
  <c r="AU147" i="62" s="1"/>
  <c r="AW147" i="62"/>
  <c r="BB156" i="62"/>
  <c r="BC156" i="62" s="1"/>
  <c r="AN156" i="62"/>
  <c r="E156" i="62" s="1"/>
  <c r="AU157" i="62"/>
  <c r="AU156" i="62" s="1"/>
  <c r="D157" i="62"/>
  <c r="D156" i="62" s="1"/>
  <c r="E160" i="62"/>
  <c r="G185" i="62"/>
  <c r="X185" i="62" s="1"/>
  <c r="E187" i="62"/>
  <c r="E185" i="62" s="1"/>
  <c r="X187" i="62"/>
  <c r="F188" i="62"/>
  <c r="D198" i="62"/>
  <c r="Y196" i="62"/>
  <c r="AW196" i="62"/>
  <c r="AN208" i="62"/>
  <c r="AW208" i="62" s="1"/>
  <c r="AW211" i="62"/>
  <c r="D211" i="62"/>
  <c r="D208" i="62" s="1"/>
  <c r="F218" i="62"/>
  <c r="BB222" i="62"/>
  <c r="BC222" i="62" s="1"/>
  <c r="BB224" i="62"/>
  <c r="BC224" i="62" s="1"/>
  <c r="BF233" i="62"/>
  <c r="BB242" i="62"/>
  <c r="BC242" i="62" s="1"/>
  <c r="BB243" i="62"/>
  <c r="BC243" i="62" s="1"/>
  <c r="F245" i="62"/>
  <c r="AU245" i="62"/>
  <c r="AN258" i="62"/>
  <c r="E258" i="62" s="1"/>
  <c r="AU260" i="62"/>
  <c r="AU258" i="62" s="1"/>
  <c r="BB261" i="62"/>
  <c r="BC261" i="62" s="1"/>
  <c r="D264" i="62"/>
  <c r="E273" i="62"/>
  <c r="X273" i="62"/>
  <c r="G271" i="62"/>
  <c r="X271" i="62" s="1"/>
  <c r="AN277" i="62"/>
  <c r="AN271" i="62" s="1"/>
  <c r="AU278" i="62"/>
  <c r="AU277" i="62" s="1"/>
  <c r="AU271" i="62" s="1"/>
  <c r="BF277" i="62"/>
  <c r="BG277" i="62" s="1"/>
  <c r="AW288" i="62"/>
  <c r="F296" i="62"/>
  <c r="BB298" i="62"/>
  <c r="E182" i="62"/>
  <c r="F191" i="62"/>
  <c r="AU300" i="62"/>
  <c r="AU298" i="62" s="1"/>
  <c r="AU296" i="62" s="1"/>
  <c r="BF288" i="62"/>
  <c r="BG288" i="62" s="1"/>
  <c r="B7" i="58"/>
  <c r="C8" i="58"/>
  <c r="C7" i="58" s="1"/>
  <c r="C65" i="58"/>
  <c r="D65" i="58" s="1"/>
  <c r="H138" i="65" l="1"/>
  <c r="E138" i="65"/>
  <c r="B138" i="65"/>
  <c r="F282" i="63"/>
  <c r="AW245" i="63"/>
  <c r="E245" i="63"/>
  <c r="F309" i="63"/>
  <c r="F280" i="63"/>
  <c r="AW279" i="63"/>
  <c r="E279" i="63"/>
  <c r="AU219" i="63"/>
  <c r="AU207" i="63" s="1"/>
  <c r="AM182" i="63"/>
  <c r="D182" i="63"/>
  <c r="D175" i="63" s="1"/>
  <c r="D173" i="63" s="1"/>
  <c r="E182" i="63"/>
  <c r="F184" i="63"/>
  <c r="AW138" i="63"/>
  <c r="D207" i="63"/>
  <c r="F133" i="63"/>
  <c r="F132" i="63"/>
  <c r="D108" i="63"/>
  <c r="AW9" i="63"/>
  <c r="G9" i="63"/>
  <c r="G7" i="63" s="1"/>
  <c r="E11" i="63"/>
  <c r="F301" i="63"/>
  <c r="F247" i="63"/>
  <c r="F175" i="63"/>
  <c r="AN63" i="63"/>
  <c r="AM9" i="63"/>
  <c r="AU23" i="63"/>
  <c r="Y257" i="63"/>
  <c r="E264" i="63"/>
  <c r="E257" i="63" s="1"/>
  <c r="F257" i="63"/>
  <c r="F259" i="63"/>
  <c r="F225" i="63"/>
  <c r="F220" i="63"/>
  <c r="AN207" i="63"/>
  <c r="E197" i="63"/>
  <c r="AN138" i="63"/>
  <c r="AM149" i="63"/>
  <c r="F150" i="63"/>
  <c r="D88" i="63"/>
  <c r="D63" i="63" s="1"/>
  <c r="AU80" i="63"/>
  <c r="F74" i="63"/>
  <c r="AF73" i="63"/>
  <c r="E73" i="63"/>
  <c r="E63" i="63" s="1"/>
  <c r="Y63" i="63"/>
  <c r="AU53" i="63"/>
  <c r="AU52" i="63" s="1"/>
  <c r="AN52" i="63"/>
  <c r="E52" i="63" s="1"/>
  <c r="F23" i="63"/>
  <c r="Y7" i="63"/>
  <c r="AU9" i="63"/>
  <c r="F219" i="63"/>
  <c r="F303" i="63"/>
  <c r="E303" i="63"/>
  <c r="E301" i="63" s="1"/>
  <c r="F291" i="63"/>
  <c r="F207" i="63"/>
  <c r="E173" i="63"/>
  <c r="X173" i="63"/>
  <c r="E207" i="63"/>
  <c r="F196" i="63"/>
  <c r="F194" i="63"/>
  <c r="E140" i="63"/>
  <c r="E138" i="63" s="1"/>
  <c r="F128" i="63"/>
  <c r="F127" i="63"/>
  <c r="AU108" i="63"/>
  <c r="AU88" i="63"/>
  <c r="D53" i="63"/>
  <c r="D52" i="63" s="1"/>
  <c r="D45" i="63"/>
  <c r="D9" i="63" s="1"/>
  <c r="E23" i="63"/>
  <c r="AN23" i="63"/>
  <c r="AN9" i="63" s="1"/>
  <c r="AN7" i="63" s="1"/>
  <c r="AN316" i="63" s="1"/>
  <c r="E24" i="63"/>
  <c r="AP7" i="63"/>
  <c r="AP321" i="63" s="1"/>
  <c r="X9" i="63"/>
  <c r="E219" i="63"/>
  <c r="E271" i="62"/>
  <c r="BB245" i="62"/>
  <c r="BC245" i="62" s="1"/>
  <c r="BB188" i="62"/>
  <c r="BC188" i="62" s="1"/>
  <c r="F187" i="62"/>
  <c r="BB136" i="62"/>
  <c r="BC136" i="62" s="1"/>
  <c r="BB299" i="62"/>
  <c r="BC299" i="62" s="1"/>
  <c r="F262" i="62"/>
  <c r="BF245" i="62"/>
  <c r="BG245" i="62" s="1"/>
  <c r="AN245" i="62"/>
  <c r="E245" i="62"/>
  <c r="BB219" i="62"/>
  <c r="BC219" i="62" s="1"/>
  <c r="BB217" i="62"/>
  <c r="BC217" i="62" s="1"/>
  <c r="BB214" i="62"/>
  <c r="BC214" i="62" s="1"/>
  <c r="AU136" i="62"/>
  <c r="E136" i="62"/>
  <c r="AN45" i="62"/>
  <c r="AU46" i="62"/>
  <c r="AU45" i="62" s="1"/>
  <c r="AN23" i="62"/>
  <c r="E23" i="62" s="1"/>
  <c r="E46" i="62"/>
  <c r="D23" i="62"/>
  <c r="BF9" i="62"/>
  <c r="BG9" i="62" s="1"/>
  <c r="E11" i="62"/>
  <c r="D9" i="62"/>
  <c r="BB235" i="62"/>
  <c r="BC235" i="62" s="1"/>
  <c r="BB196" i="62"/>
  <c r="BC196" i="62" s="1"/>
  <c r="AM180" i="62"/>
  <c r="E180" i="62"/>
  <c r="D180" i="62"/>
  <c r="D173" i="62" s="1"/>
  <c r="D171" i="62" s="1"/>
  <c r="BB171" i="62"/>
  <c r="BC171" i="62" s="1"/>
  <c r="BF171" i="62"/>
  <c r="BG171" i="62" s="1"/>
  <c r="BF136" i="62"/>
  <c r="BG136" i="62" s="1"/>
  <c r="AN63" i="62"/>
  <c r="AM196" i="62"/>
  <c r="BB213" i="62"/>
  <c r="BC213" i="62" s="1"/>
  <c r="BB178" i="62"/>
  <c r="BC178" i="62" s="1"/>
  <c r="BB177" i="62"/>
  <c r="BC177" i="62" s="1"/>
  <c r="BB176" i="62"/>
  <c r="BC176" i="62" s="1"/>
  <c r="BB175" i="62"/>
  <c r="BC175" i="62" s="1"/>
  <c r="BB174" i="62"/>
  <c r="BC174" i="62" s="1"/>
  <c r="AF9" i="62"/>
  <c r="AM9" i="62"/>
  <c r="BB191" i="62"/>
  <c r="BC191" i="62" s="1"/>
  <c r="BB296" i="62"/>
  <c r="BB218" i="62"/>
  <c r="BC218" i="62" s="1"/>
  <c r="D196" i="62"/>
  <c r="AM147" i="62"/>
  <c r="BF63" i="62"/>
  <c r="BG63" i="62" s="1"/>
  <c r="E63" i="62"/>
  <c r="AW138" i="62"/>
  <c r="AN136" i="62"/>
  <c r="AU87" i="62"/>
  <c r="AN52" i="62"/>
  <c r="AN9" i="62" s="1"/>
  <c r="AN7" i="62" s="1"/>
  <c r="AN302" i="62" s="1"/>
  <c r="AU53" i="62"/>
  <c r="AU52" i="62" s="1"/>
  <c r="E45" i="62"/>
  <c r="D46" i="62"/>
  <c r="D45" i="62" s="1"/>
  <c r="BF23" i="62"/>
  <c r="BG23" i="62" s="1"/>
  <c r="BD7" i="62"/>
  <c r="AU9" i="62"/>
  <c r="AU7" i="62" s="1"/>
  <c r="BB9" i="62"/>
  <c r="BC9" i="62" s="1"/>
  <c r="AG7" i="62"/>
  <c r="G9" i="62"/>
  <c r="G7" i="62" s="1"/>
  <c r="BB288" i="62"/>
  <c r="BC288" i="62" s="1"/>
  <c r="E277" i="62"/>
  <c r="BB216" i="62"/>
  <c r="BC216" i="62" s="1"/>
  <c r="AW185" i="62"/>
  <c r="E173" i="62"/>
  <c r="E171" i="62"/>
  <c r="X171" i="62"/>
  <c r="F118" i="62"/>
  <c r="AU107" i="62"/>
  <c r="X7" i="62"/>
  <c r="AE136" i="62" s="1"/>
  <c r="BB236" i="62"/>
  <c r="BC236" i="62" s="1"/>
  <c r="E196" i="62"/>
  <c r="AZ185" i="62"/>
  <c r="BF187" i="62"/>
  <c r="BG187" i="62" s="1"/>
  <c r="E147" i="62"/>
  <c r="D107" i="62"/>
  <c r="D63" i="62" s="1"/>
  <c r="AU79" i="62"/>
  <c r="AU63" i="62" s="1"/>
  <c r="AM63" i="62"/>
  <c r="BB63" i="62"/>
  <c r="BC63" i="62" s="1"/>
  <c r="E52" i="62"/>
  <c r="BB23" i="62"/>
  <c r="BC23" i="62" s="1"/>
  <c r="Y9" i="62"/>
  <c r="Y7" i="62" s="1"/>
  <c r="D7" i="58"/>
  <c r="B116" i="58"/>
  <c r="C116" i="58"/>
  <c r="D8" i="58"/>
  <c r="D116" i="58" l="1"/>
  <c r="AE9" i="62"/>
  <c r="D34" i="65"/>
  <c r="D35" i="65"/>
  <c r="D36" i="65"/>
  <c r="D37" i="65"/>
  <c r="D38" i="65"/>
  <c r="D39" i="65"/>
  <c r="G39" i="65" s="1"/>
  <c r="D40" i="65"/>
  <c r="D41" i="65"/>
  <c r="G41" i="65" s="1"/>
  <c r="D42" i="65"/>
  <c r="D43" i="65"/>
  <c r="D44" i="65"/>
  <c r="D45" i="65"/>
  <c r="D46" i="65"/>
  <c r="D47" i="65"/>
  <c r="G47" i="65" s="1"/>
  <c r="D48" i="65"/>
  <c r="D49" i="65"/>
  <c r="G49" i="65" s="1"/>
  <c r="D50" i="65"/>
  <c r="D51" i="65"/>
  <c r="D52" i="65"/>
  <c r="D53" i="65"/>
  <c r="D54" i="65"/>
  <c r="D55" i="65"/>
  <c r="G55" i="65" s="1"/>
  <c r="D56" i="65"/>
  <c r="D32" i="65"/>
  <c r="D68" i="65"/>
  <c r="D90" i="65"/>
  <c r="F90" i="65" s="1"/>
  <c r="D92" i="65"/>
  <c r="F92" i="65" s="1"/>
  <c r="D94" i="65"/>
  <c r="F94" i="65" s="1"/>
  <c r="D57" i="65"/>
  <c r="D58" i="65"/>
  <c r="G58" i="65" s="1"/>
  <c r="D59" i="65"/>
  <c r="D61" i="65"/>
  <c r="G61" i="65" s="1"/>
  <c r="D62" i="65"/>
  <c r="D63" i="65"/>
  <c r="G63" i="65" s="1"/>
  <c r="D64" i="65"/>
  <c r="D65" i="65"/>
  <c r="G65" i="65" s="1"/>
  <c r="D66" i="65"/>
  <c r="D81" i="65"/>
  <c r="D83" i="65"/>
  <c r="D91" i="65"/>
  <c r="F91" i="65" s="1"/>
  <c r="D88" i="65"/>
  <c r="D89" i="65"/>
  <c r="F89" i="65" s="1"/>
  <c r="D93" i="65"/>
  <c r="F93" i="65" s="1"/>
  <c r="D129" i="65"/>
  <c r="D135" i="65"/>
  <c r="D136" i="65"/>
  <c r="D70" i="65"/>
  <c r="D33" i="65"/>
  <c r="G33" i="65" s="1"/>
  <c r="D67" i="65"/>
  <c r="D96" i="65"/>
  <c r="G96" i="65" s="1"/>
  <c r="D60" i="65"/>
  <c r="D14" i="65"/>
  <c r="D12" i="65"/>
  <c r="F32" i="65"/>
  <c r="F56" i="65"/>
  <c r="F57" i="65"/>
  <c r="F58" i="65"/>
  <c r="F59" i="65"/>
  <c r="F61" i="65"/>
  <c r="F62" i="65"/>
  <c r="J62" i="65" s="1"/>
  <c r="F63" i="65"/>
  <c r="F64" i="65"/>
  <c r="J64" i="65" s="1"/>
  <c r="F65" i="65"/>
  <c r="F66" i="65"/>
  <c r="J66" i="65" s="1"/>
  <c r="F83" i="65"/>
  <c r="F88" i="65"/>
  <c r="F129" i="65"/>
  <c r="F135" i="65"/>
  <c r="F60" i="65"/>
  <c r="F67" i="65"/>
  <c r="F55" i="65"/>
  <c r="F51" i="65"/>
  <c r="J51" i="65" s="1"/>
  <c r="F47" i="65"/>
  <c r="F43" i="65"/>
  <c r="J43" i="65" s="1"/>
  <c r="F39" i="65"/>
  <c r="F35" i="65"/>
  <c r="J35" i="65" s="1"/>
  <c r="F52" i="65"/>
  <c r="F48" i="65"/>
  <c r="F44" i="65"/>
  <c r="F40" i="65"/>
  <c r="F36" i="65"/>
  <c r="F14" i="65"/>
  <c r="F96" i="65"/>
  <c r="F136" i="65"/>
  <c r="J136" i="65" s="1"/>
  <c r="F70" i="65"/>
  <c r="F53" i="65"/>
  <c r="J53" i="65" s="1"/>
  <c r="F49" i="65"/>
  <c r="F45" i="65"/>
  <c r="J45" i="65" s="1"/>
  <c r="F41" i="65"/>
  <c r="F37" i="65"/>
  <c r="J37" i="65" s="1"/>
  <c r="F33" i="65"/>
  <c r="F54" i="65"/>
  <c r="F50" i="65"/>
  <c r="F46" i="65"/>
  <c r="F42" i="65"/>
  <c r="F38" i="65"/>
  <c r="F34" i="65"/>
  <c r="F12" i="65"/>
  <c r="J12" i="65" s="1"/>
  <c r="I33" i="65"/>
  <c r="I34" i="65"/>
  <c r="I35" i="65"/>
  <c r="I36" i="65"/>
  <c r="I37" i="65"/>
  <c r="I38" i="65"/>
  <c r="I39" i="65"/>
  <c r="I40" i="65"/>
  <c r="I41" i="65"/>
  <c r="I42" i="65"/>
  <c r="I43" i="65"/>
  <c r="I44" i="65"/>
  <c r="I45" i="65"/>
  <c r="I46" i="65"/>
  <c r="I47" i="65"/>
  <c r="I48" i="65"/>
  <c r="I49" i="65"/>
  <c r="I50" i="65"/>
  <c r="I51" i="65"/>
  <c r="I52" i="65"/>
  <c r="I53" i="65"/>
  <c r="I54" i="65"/>
  <c r="I55" i="65"/>
  <c r="I14" i="65"/>
  <c r="I32" i="65"/>
  <c r="I67" i="65"/>
  <c r="I90" i="65"/>
  <c r="I92" i="65"/>
  <c r="I94" i="65"/>
  <c r="I96" i="65"/>
  <c r="I136" i="65"/>
  <c r="I138" i="65"/>
  <c r="I56" i="65"/>
  <c r="I57" i="65"/>
  <c r="I58" i="65"/>
  <c r="I59" i="65"/>
  <c r="I60" i="65"/>
  <c r="I61" i="65"/>
  <c r="I62" i="65"/>
  <c r="I63" i="65"/>
  <c r="I64" i="65"/>
  <c r="I65" i="65"/>
  <c r="I66" i="65"/>
  <c r="I68" i="65"/>
  <c r="I70" i="65"/>
  <c r="I81" i="65"/>
  <c r="I88" i="65"/>
  <c r="I89" i="65"/>
  <c r="I93" i="65"/>
  <c r="I129" i="65"/>
  <c r="I125" i="65" s="1"/>
  <c r="I135" i="65"/>
  <c r="I133" i="65" s="1"/>
  <c r="I91" i="65"/>
  <c r="I83" i="65"/>
  <c r="I82" i="65"/>
  <c r="J82" i="65" s="1"/>
  <c r="I12" i="65"/>
  <c r="D11" i="65"/>
  <c r="F11" i="65"/>
  <c r="I11" i="65"/>
  <c r="D7" i="63"/>
  <c r="X7" i="63"/>
  <c r="AE9" i="63" s="1"/>
  <c r="AY8" i="63"/>
  <c r="F9" i="63"/>
  <c r="AU7" i="63"/>
  <c r="AU63" i="63"/>
  <c r="AM138" i="63"/>
  <c r="F149" i="63"/>
  <c r="E9" i="63"/>
  <c r="E7" i="63" s="1"/>
  <c r="AW7" i="63"/>
  <c r="AX138" i="63"/>
  <c r="F173" i="63"/>
  <c r="F73" i="63"/>
  <c r="AF63" i="63"/>
  <c r="AM7" i="63"/>
  <c r="AV182" i="63"/>
  <c r="F182" i="63"/>
  <c r="AX279" i="63"/>
  <c r="F279" i="63"/>
  <c r="AX245" i="63"/>
  <c r="F245" i="63"/>
  <c r="BF185" i="62"/>
  <c r="BG185" i="62" s="1"/>
  <c r="BB118" i="62"/>
  <c r="BC118" i="62" s="1"/>
  <c r="BE13" i="62"/>
  <c r="BE14" i="62"/>
  <c r="BE16" i="62"/>
  <c r="BE19" i="62"/>
  <c r="BE20" i="62"/>
  <c r="BE21" i="62"/>
  <c r="BE27" i="62"/>
  <c r="BE28" i="62"/>
  <c r="BE33" i="62"/>
  <c r="BE40" i="62"/>
  <c r="BE41" i="62"/>
  <c r="BE42" i="62"/>
  <c r="BE57" i="62"/>
  <c r="BE58" i="62"/>
  <c r="BE60" i="62"/>
  <c r="BE30" i="62"/>
  <c r="BE31" i="62"/>
  <c r="BE35" i="62"/>
  <c r="BE36" i="62"/>
  <c r="BE43" i="62"/>
  <c r="BE54" i="62"/>
  <c r="BE56" i="62"/>
  <c r="BE59" i="62"/>
  <c r="BE61" i="62"/>
  <c r="BE68" i="62"/>
  <c r="BE69" i="62"/>
  <c r="BE81" i="62"/>
  <c r="BE84" i="62"/>
  <c r="BE88" i="62"/>
  <c r="BE90" i="62"/>
  <c r="BE93" i="62"/>
  <c r="BE94" i="62"/>
  <c r="BE97" i="62"/>
  <c r="BE98" i="62"/>
  <c r="BE99" i="62"/>
  <c r="BE103" i="62"/>
  <c r="BE104" i="62"/>
  <c r="BE105" i="62"/>
  <c r="BE108" i="62"/>
  <c r="BE110" i="62"/>
  <c r="BE113" i="62"/>
  <c r="BE114" i="62"/>
  <c r="BE117" i="62"/>
  <c r="BE119" i="62"/>
  <c r="BE122" i="62"/>
  <c r="BE123" i="62"/>
  <c r="BE124" i="62"/>
  <c r="BE22" i="62"/>
  <c r="BE34" i="62"/>
  <c r="BE47" i="62"/>
  <c r="BE70" i="62"/>
  <c r="BE80" i="62"/>
  <c r="BE85" i="62"/>
  <c r="BE89" i="62"/>
  <c r="BE92" i="62"/>
  <c r="BE118" i="62"/>
  <c r="BE120" i="62"/>
  <c r="BE132" i="62"/>
  <c r="BE135" i="62"/>
  <c r="BE140" i="62"/>
  <c r="BE150" i="62"/>
  <c r="BE154" i="62"/>
  <c r="BE157" i="62"/>
  <c r="BE158" i="62"/>
  <c r="BE161" i="62"/>
  <c r="BE162" i="62"/>
  <c r="BE164" i="62"/>
  <c r="BE168" i="62"/>
  <c r="BE180" i="62"/>
  <c r="BE186" i="62"/>
  <c r="BE189" i="62"/>
  <c r="BE192" i="62"/>
  <c r="BE201" i="62"/>
  <c r="BE203" i="62"/>
  <c r="BE206" i="62"/>
  <c r="BE207" i="62"/>
  <c r="BE210" i="62"/>
  <c r="BE212" i="62"/>
  <c r="BE220" i="62"/>
  <c r="BE221" i="62"/>
  <c r="BE222" i="62"/>
  <c r="BE223" i="62"/>
  <c r="BE224" i="62"/>
  <c r="BE225" i="62"/>
  <c r="BE230" i="62"/>
  <c r="BE234" i="62"/>
  <c r="BE246" i="62"/>
  <c r="BE249" i="62"/>
  <c r="BE250" i="62"/>
  <c r="BE252" i="62"/>
  <c r="BE254" i="62"/>
  <c r="BE256" i="62"/>
  <c r="BE261" i="62"/>
  <c r="BE262" i="62"/>
  <c r="BE272" i="62"/>
  <c r="BE18" i="62"/>
  <c r="BE29" i="62"/>
  <c r="BE49" i="62"/>
  <c r="BE62" i="62"/>
  <c r="BE66" i="62"/>
  <c r="BE75" i="62"/>
  <c r="BE77" i="62"/>
  <c r="BE100" i="62"/>
  <c r="BE109" i="62"/>
  <c r="BE128" i="62"/>
  <c r="BE131" i="62"/>
  <c r="BE138" i="62"/>
  <c r="BE142" i="62"/>
  <c r="BE152" i="62"/>
  <c r="BE163" i="62"/>
  <c r="BE167" i="62"/>
  <c r="BE179" i="62"/>
  <c r="BE188" i="62"/>
  <c r="BE190" i="62"/>
  <c r="BE195" i="62"/>
  <c r="BE197" i="62"/>
  <c r="BE199" i="62"/>
  <c r="BE200" i="62"/>
  <c r="BE204" i="62"/>
  <c r="BE209" i="62"/>
  <c r="BE213" i="62"/>
  <c r="BE216" i="62"/>
  <c r="BE218" i="62"/>
  <c r="BE227" i="62"/>
  <c r="BE228" i="62"/>
  <c r="BE229" i="62"/>
  <c r="BE231" i="62"/>
  <c r="BE240" i="62"/>
  <c r="BE241" i="62"/>
  <c r="BE247" i="62"/>
  <c r="BE251" i="62"/>
  <c r="BE259" i="62"/>
  <c r="BE263" i="62"/>
  <c r="BE265" i="62"/>
  <c r="BE269" i="62"/>
  <c r="BE274" i="62"/>
  <c r="BE277" i="62"/>
  <c r="BE279" i="62"/>
  <c r="BE281" i="62"/>
  <c r="BE283" i="62"/>
  <c r="BE284" i="62"/>
  <c r="BE294" i="62"/>
  <c r="BE299" i="62"/>
  <c r="BE300" i="62"/>
  <c r="BE15" i="62"/>
  <c r="BE39" i="62"/>
  <c r="BE82" i="62"/>
  <c r="BE83" i="62"/>
  <c r="BE91" i="62"/>
  <c r="BE121" i="62"/>
  <c r="BE127" i="62"/>
  <c r="BE130" i="62"/>
  <c r="BE133" i="62"/>
  <c r="BE134" i="62"/>
  <c r="BE139" i="62"/>
  <c r="BE141" i="62"/>
  <c r="BE145" i="62"/>
  <c r="BE148" i="62"/>
  <c r="BE149" i="62"/>
  <c r="BE151" i="62"/>
  <c r="BE153" i="62"/>
  <c r="BE165" i="62"/>
  <c r="BE166" i="62"/>
  <c r="BE173" i="62"/>
  <c r="BE174" i="62"/>
  <c r="BE175" i="62"/>
  <c r="BE176" i="62"/>
  <c r="BE177" i="62"/>
  <c r="BE178" i="62"/>
  <c r="BE191" i="62"/>
  <c r="BE193" i="62"/>
  <c r="BE194" i="62"/>
  <c r="BE202" i="62"/>
  <c r="BE211" i="62"/>
  <c r="BE214" i="62"/>
  <c r="BE215" i="62"/>
  <c r="BE217" i="62"/>
  <c r="BE219" i="62"/>
  <c r="BE226" i="62"/>
  <c r="BE235" i="62"/>
  <c r="BE236" i="62"/>
  <c r="BE242" i="62"/>
  <c r="BE243" i="62"/>
  <c r="BE255" i="62"/>
  <c r="BE258" i="62"/>
  <c r="BE260" i="62"/>
  <c r="BE264" i="62"/>
  <c r="BE266" i="62"/>
  <c r="BE267" i="62"/>
  <c r="BE275" i="62"/>
  <c r="BE278" i="62"/>
  <c r="BE280" i="62"/>
  <c r="BE282" i="62"/>
  <c r="BE285" i="62"/>
  <c r="BE286" i="62"/>
  <c r="BE290" i="62"/>
  <c r="BE291" i="62"/>
  <c r="BE293" i="62"/>
  <c r="BE298" i="62"/>
  <c r="BE296" i="62"/>
  <c r="BE273" i="62"/>
  <c r="BE233" i="62"/>
  <c r="BE208" i="62"/>
  <c r="BE182" i="62"/>
  <c r="BE156" i="62"/>
  <c r="BE144" i="62"/>
  <c r="BE107" i="62"/>
  <c r="BE79" i="62"/>
  <c r="BE253" i="62"/>
  <c r="BE160" i="62"/>
  <c r="BE115" i="62"/>
  <c r="BE87" i="62"/>
  <c r="BE102" i="62"/>
  <c r="BE50" i="62"/>
  <c r="BE38" i="62"/>
  <c r="BE37" i="62"/>
  <c r="BE25" i="62"/>
  <c r="BE32" i="62"/>
  <c r="BE26" i="62"/>
  <c r="BE24" i="62"/>
  <c r="BE288" i="62"/>
  <c r="BE245" i="62"/>
  <c r="BE239" i="62"/>
  <c r="BE185" i="62"/>
  <c r="BE198" i="62"/>
  <c r="BE268" i="62"/>
  <c r="BE187" i="62"/>
  <c r="BE183" i="62"/>
  <c r="BE147" i="62"/>
  <c r="BE96" i="62"/>
  <c r="BE67" i="62"/>
  <c r="BE48" i="62"/>
  <c r="BE126" i="62"/>
  <c r="BE76" i="62"/>
  <c r="BE74" i="62"/>
  <c r="BE73" i="62"/>
  <c r="BE46" i="62"/>
  <c r="BE55" i="62"/>
  <c r="BE53" i="62"/>
  <c r="BE17" i="62"/>
  <c r="BE12" i="62"/>
  <c r="BE136" i="62"/>
  <c r="BE271" i="62"/>
  <c r="BE45" i="62"/>
  <c r="BE196" i="62"/>
  <c r="BE171" i="62"/>
  <c r="BE23" i="62"/>
  <c r="BE292" i="62"/>
  <c r="BE11" i="62"/>
  <c r="BE52" i="62"/>
  <c r="BE72" i="62"/>
  <c r="BE65" i="62"/>
  <c r="BE63" i="62"/>
  <c r="AW136" i="62"/>
  <c r="AF7" i="62"/>
  <c r="AL9" i="62" s="1"/>
  <c r="AL14" i="62"/>
  <c r="D7" i="62"/>
  <c r="BB262" i="62"/>
  <c r="BC262" i="62" s="1"/>
  <c r="BB187" i="62"/>
  <c r="BC187" i="62" s="1"/>
  <c r="F185" i="62"/>
  <c r="AE12" i="62"/>
  <c r="AE15" i="62"/>
  <c r="AE18" i="62"/>
  <c r="AE25" i="62"/>
  <c r="AE26" i="62"/>
  <c r="AE7" i="62"/>
  <c r="AE19" i="62"/>
  <c r="AE23" i="62"/>
  <c r="AE36" i="62"/>
  <c r="AE37" i="62"/>
  <c r="AE30" i="62"/>
  <c r="AE33" i="62"/>
  <c r="AE35" i="62"/>
  <c r="AE39" i="62"/>
  <c r="AE54" i="62"/>
  <c r="AE56" i="62"/>
  <c r="AE69" i="62"/>
  <c r="AE70" i="62"/>
  <c r="AE76" i="62"/>
  <c r="AE80" i="62"/>
  <c r="AE81" i="62"/>
  <c r="AE83" i="62"/>
  <c r="AE84" i="62"/>
  <c r="AE88" i="62"/>
  <c r="AE90" i="62"/>
  <c r="AE93" i="62"/>
  <c r="AE94" i="62"/>
  <c r="AE97" i="62"/>
  <c r="AE98" i="62"/>
  <c r="AE99" i="62"/>
  <c r="AE105" i="62"/>
  <c r="AE108" i="62"/>
  <c r="AE110" i="62"/>
  <c r="AE117" i="62"/>
  <c r="AE120" i="62"/>
  <c r="AE121" i="62"/>
  <c r="AE21" i="62"/>
  <c r="AE28" i="62"/>
  <c r="AE45" i="62"/>
  <c r="AE49" i="62"/>
  <c r="AE61" i="62"/>
  <c r="AE67" i="62"/>
  <c r="AE68" i="62"/>
  <c r="AE73" i="62"/>
  <c r="AE104" i="62"/>
  <c r="AE113" i="62"/>
  <c r="AE124" i="62"/>
  <c r="AE128" i="62"/>
  <c r="AE133" i="62"/>
  <c r="AE139" i="62"/>
  <c r="AE140" i="62"/>
  <c r="AE142" i="62"/>
  <c r="AE149" i="62"/>
  <c r="AE152" i="62"/>
  <c r="AE154" i="62"/>
  <c r="AE161" i="62"/>
  <c r="AE164" i="62"/>
  <c r="AE165" i="62"/>
  <c r="AE166" i="62"/>
  <c r="AE167" i="62"/>
  <c r="AE202" i="62"/>
  <c r="AE204" i="62"/>
  <c r="AE231" i="62"/>
  <c r="AE241" i="62"/>
  <c r="AE250" i="62"/>
  <c r="AE255" i="62"/>
  <c r="AE260" i="62"/>
  <c r="AE265" i="62"/>
  <c r="AE266" i="62"/>
  <c r="AE29" i="62"/>
  <c r="AE38" i="62"/>
  <c r="AE47" i="62"/>
  <c r="AE63" i="62"/>
  <c r="AE74" i="62"/>
  <c r="AE75" i="62"/>
  <c r="AE77" i="62"/>
  <c r="AE82" i="62"/>
  <c r="AE85" i="62"/>
  <c r="AE91" i="62"/>
  <c r="AE92" i="62"/>
  <c r="AE100" i="62"/>
  <c r="AE114" i="62"/>
  <c r="AE122" i="62"/>
  <c r="AE145" i="62"/>
  <c r="AE150" i="62"/>
  <c r="AE151" i="62"/>
  <c r="AE157" i="62"/>
  <c r="AE163" i="62"/>
  <c r="AE199" i="62"/>
  <c r="AE203" i="62"/>
  <c r="AE214" i="62"/>
  <c r="AE217" i="62"/>
  <c r="AE219" i="62"/>
  <c r="AE247" i="62"/>
  <c r="AE62" i="62"/>
  <c r="AE89" i="62"/>
  <c r="AE103" i="62"/>
  <c r="AE127" i="62"/>
  <c r="AE132" i="62"/>
  <c r="AE141" i="62"/>
  <c r="AE148" i="62"/>
  <c r="AE153" i="62"/>
  <c r="AE158" i="62"/>
  <c r="AE162" i="62"/>
  <c r="AE168" i="62"/>
  <c r="AE201" i="62"/>
  <c r="AE206" i="62"/>
  <c r="AE209" i="62"/>
  <c r="AE216" i="62"/>
  <c r="AE218" i="62"/>
  <c r="AE245" i="62"/>
  <c r="AE254" i="62"/>
  <c r="AE256" i="62"/>
  <c r="AE264" i="62"/>
  <c r="AE269" i="62"/>
  <c r="AE160" i="62"/>
  <c r="AE268" i="62"/>
  <c r="AE253" i="62"/>
  <c r="AE239" i="62"/>
  <c r="AE198" i="62"/>
  <c r="AE147" i="62"/>
  <c r="AE126" i="62"/>
  <c r="AE223" i="62"/>
  <c r="AE221" i="62"/>
  <c r="AE212" i="62"/>
  <c r="AE182" i="62"/>
  <c r="AE107" i="62"/>
  <c r="AE102" i="62"/>
  <c r="AE11" i="62"/>
  <c r="AE292" i="62"/>
  <c r="AE274" i="62"/>
  <c r="AE258" i="62"/>
  <c r="AE181" i="62"/>
  <c r="AE65" i="62"/>
  <c r="AE32" i="62"/>
  <c r="AE123" i="62"/>
  <c r="AE53" i="62"/>
  <c r="AE48" i="62"/>
  <c r="AE46" i="62"/>
  <c r="AE24" i="62"/>
  <c r="AE156" i="62"/>
  <c r="AE87" i="62"/>
  <c r="AE208" i="62"/>
  <c r="AE144" i="62"/>
  <c r="AE79" i="62"/>
  <c r="AE261" i="62"/>
  <c r="AE243" i="62"/>
  <c r="AE242" i="62"/>
  <c r="AE224" i="62"/>
  <c r="AE222" i="62"/>
  <c r="AE215" i="62"/>
  <c r="AE55" i="62"/>
  <c r="AE293" i="62"/>
  <c r="AE291" i="62"/>
  <c r="AE262" i="62"/>
  <c r="AE246" i="62"/>
  <c r="AE240" i="62"/>
  <c r="AE183" i="62"/>
  <c r="AE17" i="62"/>
  <c r="AE96" i="62"/>
  <c r="AE50" i="62"/>
  <c r="AE52" i="62"/>
  <c r="AE174" i="62"/>
  <c r="AE175" i="62"/>
  <c r="AE176" i="62"/>
  <c r="AE177" i="62"/>
  <c r="AE178" i="62"/>
  <c r="AE213" i="62"/>
  <c r="AE235" i="62"/>
  <c r="AE115" i="62"/>
  <c r="AE130" i="62"/>
  <c r="AE180" i="62"/>
  <c r="AE72" i="62"/>
  <c r="AE236" i="62"/>
  <c r="AE138" i="62"/>
  <c r="AE196" i="62"/>
  <c r="BE9" i="62"/>
  <c r="BE7" i="62" s="1"/>
  <c r="AM136" i="62"/>
  <c r="AM7" i="62" s="1"/>
  <c r="F180" i="62"/>
  <c r="E9" i="62"/>
  <c r="E7" i="62" s="1"/>
  <c r="AZ7" i="62"/>
  <c r="AE173" i="63" l="1"/>
  <c r="D80" i="65"/>
  <c r="G11" i="65"/>
  <c r="J81" i="65"/>
  <c r="I80" i="65"/>
  <c r="J38" i="65"/>
  <c r="J46" i="65"/>
  <c r="J54" i="65"/>
  <c r="J14" i="65"/>
  <c r="J40" i="65"/>
  <c r="J48" i="65"/>
  <c r="J67" i="65"/>
  <c r="J135" i="65"/>
  <c r="F133" i="65"/>
  <c r="J88" i="65"/>
  <c r="J59" i="65"/>
  <c r="J57" i="65"/>
  <c r="F30" i="65"/>
  <c r="J32" i="65"/>
  <c r="G14" i="65"/>
  <c r="G136" i="65"/>
  <c r="G129" i="65"/>
  <c r="D125" i="65"/>
  <c r="D86" i="65" s="1"/>
  <c r="D30" i="65"/>
  <c r="G32" i="65"/>
  <c r="G53" i="65"/>
  <c r="G51" i="65"/>
  <c r="G45" i="65"/>
  <c r="G43" i="65"/>
  <c r="G37" i="65"/>
  <c r="G35" i="65"/>
  <c r="J11" i="65"/>
  <c r="I86" i="65"/>
  <c r="I30" i="65"/>
  <c r="J34" i="65"/>
  <c r="J42" i="65"/>
  <c r="J50" i="65"/>
  <c r="J33" i="65"/>
  <c r="J41" i="65"/>
  <c r="J49" i="65"/>
  <c r="J70" i="65"/>
  <c r="J96" i="65"/>
  <c r="J36" i="65"/>
  <c r="J44" i="65"/>
  <c r="J52" i="65"/>
  <c r="J39" i="65"/>
  <c r="J47" i="65"/>
  <c r="J55" i="65"/>
  <c r="J60" i="65"/>
  <c r="J129" i="65"/>
  <c r="F125" i="65"/>
  <c r="F86" i="65" s="1"/>
  <c r="F138" i="65" s="1"/>
  <c r="J138" i="65" s="1"/>
  <c r="F80" i="65"/>
  <c r="G80" i="65" s="1"/>
  <c r="J80" i="65" s="1"/>
  <c r="J83" i="65"/>
  <c r="J65" i="65"/>
  <c r="J63" i="65"/>
  <c r="J61" i="65"/>
  <c r="J58" i="65"/>
  <c r="J56" i="65"/>
  <c r="G12" i="65"/>
  <c r="G60" i="65"/>
  <c r="G67" i="65"/>
  <c r="G70" i="65"/>
  <c r="G135" i="65"/>
  <c r="D133" i="65"/>
  <c r="G133" i="65" s="1"/>
  <c r="J133" i="65" s="1"/>
  <c r="G88" i="65"/>
  <c r="G83" i="65"/>
  <c r="G66" i="65"/>
  <c r="G64" i="65"/>
  <c r="G62" i="65"/>
  <c r="G59" i="65"/>
  <c r="G57" i="65"/>
  <c r="F68" i="65"/>
  <c r="J68" i="65" s="1"/>
  <c r="G56" i="65"/>
  <c r="G54" i="65"/>
  <c r="G52" i="65"/>
  <c r="G50" i="65"/>
  <c r="G48" i="65"/>
  <c r="G46" i="65"/>
  <c r="G44" i="65"/>
  <c r="G42" i="65"/>
  <c r="G40" i="65"/>
  <c r="G38" i="65"/>
  <c r="G36" i="65"/>
  <c r="G34" i="65"/>
  <c r="AV12" i="63"/>
  <c r="AV13" i="63"/>
  <c r="AV14" i="63"/>
  <c r="AV15" i="63"/>
  <c r="AV18" i="63"/>
  <c r="AV19" i="63"/>
  <c r="AV20" i="63"/>
  <c r="AV21" i="63"/>
  <c r="AV38" i="63"/>
  <c r="AV66" i="63"/>
  <c r="AV70" i="63"/>
  <c r="AV74" i="63"/>
  <c r="AV75" i="63"/>
  <c r="AV77" i="63"/>
  <c r="AV78" i="63"/>
  <c r="AV83" i="63"/>
  <c r="AV86" i="63"/>
  <c r="AV61" i="63"/>
  <c r="AV67" i="63"/>
  <c r="AV68" i="63"/>
  <c r="AV69" i="63"/>
  <c r="AV76" i="63"/>
  <c r="AV81" i="63"/>
  <c r="AV82" i="63"/>
  <c r="AV84" i="63"/>
  <c r="AV85" i="63"/>
  <c r="AV90" i="63"/>
  <c r="AV92" i="63"/>
  <c r="AV95" i="63"/>
  <c r="AV100" i="63"/>
  <c r="AV101" i="63"/>
  <c r="AV105" i="63"/>
  <c r="AV106" i="63"/>
  <c r="AV110" i="63"/>
  <c r="AV111" i="63"/>
  <c r="AV118" i="63"/>
  <c r="AV119" i="63"/>
  <c r="AV123" i="63"/>
  <c r="AV124" i="63"/>
  <c r="AV128" i="63"/>
  <c r="AV132" i="63"/>
  <c r="AV133" i="63"/>
  <c r="AV134" i="63"/>
  <c r="AV135" i="63"/>
  <c r="AV142" i="63"/>
  <c r="AV143" i="63"/>
  <c r="AV144" i="63"/>
  <c r="AV147" i="63"/>
  <c r="AV89" i="63"/>
  <c r="AV91" i="63"/>
  <c r="AV93" i="63"/>
  <c r="AV98" i="63"/>
  <c r="AV99" i="63"/>
  <c r="AV104" i="63"/>
  <c r="AV109" i="63"/>
  <c r="AV120" i="63"/>
  <c r="AV121" i="63"/>
  <c r="AV122" i="63"/>
  <c r="AV125" i="63"/>
  <c r="AV129" i="63"/>
  <c r="AV141" i="63"/>
  <c r="AV151" i="63"/>
  <c r="AV152" i="63"/>
  <c r="AV154" i="63"/>
  <c r="AV155" i="63"/>
  <c r="AV159" i="63"/>
  <c r="AV163" i="63"/>
  <c r="AV165" i="63"/>
  <c r="AV166" i="63"/>
  <c r="AV169" i="63"/>
  <c r="AV170" i="63"/>
  <c r="AV181" i="63"/>
  <c r="AV194" i="63"/>
  <c r="AV196" i="63"/>
  <c r="AV198" i="63"/>
  <c r="AV199" i="63"/>
  <c r="AV200" i="63"/>
  <c r="AV201" i="63"/>
  <c r="AV202" i="63"/>
  <c r="AV205" i="63"/>
  <c r="AV211" i="63"/>
  <c r="AV214" i="63"/>
  <c r="AV215" i="63"/>
  <c r="AV153" i="63"/>
  <c r="AV156" i="63"/>
  <c r="AV160" i="63"/>
  <c r="AV164" i="63"/>
  <c r="AV167" i="63"/>
  <c r="AV168" i="63"/>
  <c r="AV176" i="63"/>
  <c r="AV178" i="63"/>
  <c r="AV180" i="63"/>
  <c r="AV183" i="63"/>
  <c r="AV197" i="63"/>
  <c r="AV203" i="63"/>
  <c r="AV204" i="63"/>
  <c r="AV210" i="63"/>
  <c r="AV212" i="63"/>
  <c r="AV213" i="63"/>
  <c r="AV217" i="63"/>
  <c r="AV220" i="63"/>
  <c r="AV225" i="63"/>
  <c r="AV227" i="63"/>
  <c r="AV229" i="63"/>
  <c r="AV232" i="63"/>
  <c r="AV234" i="63"/>
  <c r="AV236" i="63"/>
  <c r="AV237" i="63"/>
  <c r="AV239" i="63"/>
  <c r="AV240" i="63"/>
  <c r="AV247" i="63"/>
  <c r="AV252" i="63"/>
  <c r="AV253" i="63"/>
  <c r="AV254" i="63"/>
  <c r="AV255" i="63"/>
  <c r="AV261" i="63"/>
  <c r="AV266" i="63"/>
  <c r="AV267" i="63"/>
  <c r="AV271" i="63"/>
  <c r="AV277" i="63"/>
  <c r="AV280" i="63"/>
  <c r="AV285" i="63"/>
  <c r="AV295" i="63"/>
  <c r="AV296" i="63"/>
  <c r="AV297" i="63"/>
  <c r="AV304" i="63"/>
  <c r="AV305" i="63"/>
  <c r="AV306" i="63"/>
  <c r="AV307" i="63"/>
  <c r="AV313" i="63"/>
  <c r="AV216" i="63"/>
  <c r="AV224" i="63"/>
  <c r="AV228" i="63"/>
  <c r="AV230" i="63"/>
  <c r="AV231" i="63"/>
  <c r="AV233" i="63"/>
  <c r="AV235" i="63"/>
  <c r="AV238" i="63"/>
  <c r="AV243" i="63"/>
  <c r="AV246" i="63"/>
  <c r="AV265" i="63"/>
  <c r="AV276" i="63"/>
  <c r="AV286" i="63"/>
  <c r="AV292" i="63"/>
  <c r="AV293" i="63"/>
  <c r="AV294" i="63"/>
  <c r="AV298" i="63"/>
  <c r="AV269" i="63"/>
  <c r="AV262" i="63"/>
  <c r="AV279" i="63"/>
  <c r="AV264" i="63"/>
  <c r="AV251" i="63"/>
  <c r="AV248" i="63"/>
  <c r="AV300" i="63"/>
  <c r="AV258" i="63"/>
  <c r="AV221" i="63"/>
  <c r="AV185" i="63"/>
  <c r="AV114" i="63"/>
  <c r="AV108" i="63"/>
  <c r="AV146" i="63"/>
  <c r="AV127" i="63"/>
  <c r="AV116" i="63"/>
  <c r="AV97" i="63"/>
  <c r="AV65" i="63"/>
  <c r="AV62" i="63"/>
  <c r="AV52" i="63"/>
  <c r="AV56" i="63"/>
  <c r="AV45" i="63"/>
  <c r="AV54" i="63"/>
  <c r="AV53" i="63"/>
  <c r="AV50" i="63"/>
  <c r="AV48" i="63"/>
  <c r="AV33" i="63"/>
  <c r="AV24" i="63"/>
  <c r="AV36" i="63"/>
  <c r="AV26" i="63"/>
  <c r="AV17" i="63"/>
  <c r="AV29" i="63"/>
  <c r="AV25" i="63"/>
  <c r="AV245" i="63"/>
  <c r="AV222" i="63"/>
  <c r="AV291" i="63"/>
  <c r="AV275" i="63"/>
  <c r="AV272" i="63"/>
  <c r="AV299" i="63"/>
  <c r="AV284" i="63"/>
  <c r="AV241" i="63"/>
  <c r="AV226" i="63"/>
  <c r="AV223" i="63"/>
  <c r="AV184" i="63"/>
  <c r="AV179" i="63"/>
  <c r="AV177" i="63"/>
  <c r="AV158" i="63"/>
  <c r="AV162" i="63"/>
  <c r="AV140" i="63"/>
  <c r="AV103" i="63"/>
  <c r="AV94" i="63"/>
  <c r="AV88" i="63"/>
  <c r="AV115" i="63"/>
  <c r="AV80" i="63"/>
  <c r="AV73" i="63"/>
  <c r="AV55" i="63"/>
  <c r="AV49" i="63"/>
  <c r="AV47" i="63"/>
  <c r="AV46" i="63"/>
  <c r="AV28" i="63"/>
  <c r="AV37" i="63"/>
  <c r="AV32" i="63"/>
  <c r="AV30" i="63"/>
  <c r="AV11" i="63"/>
  <c r="AV63" i="63"/>
  <c r="AV173" i="63"/>
  <c r="AV282" i="63"/>
  <c r="AV257" i="63"/>
  <c r="AV311" i="63"/>
  <c r="AV273" i="63"/>
  <c r="AV35" i="63"/>
  <c r="AV312" i="63"/>
  <c r="AV219" i="63"/>
  <c r="AV175" i="63"/>
  <c r="AV209" i="63"/>
  <c r="AV259" i="63"/>
  <c r="AV309" i="63"/>
  <c r="AV207" i="63"/>
  <c r="AV150" i="63"/>
  <c r="AV301" i="63"/>
  <c r="AV23" i="63"/>
  <c r="AV303" i="63"/>
  <c r="AX12" i="63"/>
  <c r="AY7" i="63"/>
  <c r="AX19" i="63"/>
  <c r="AX38" i="63"/>
  <c r="AX36" i="63"/>
  <c r="AX68" i="63"/>
  <c r="AX69" i="63"/>
  <c r="AX84" i="63"/>
  <c r="AX61" i="63"/>
  <c r="AX66" i="63"/>
  <c r="AX67" i="63"/>
  <c r="AX74" i="63"/>
  <c r="AX75" i="63"/>
  <c r="AX76" i="63"/>
  <c r="AX78" i="63"/>
  <c r="AX81" i="63"/>
  <c r="AX82" i="63"/>
  <c r="AX85" i="63"/>
  <c r="AX89" i="63"/>
  <c r="AX93" i="63"/>
  <c r="AX121" i="63"/>
  <c r="AX123" i="63"/>
  <c r="AX124" i="63"/>
  <c r="AX142" i="63"/>
  <c r="AX143" i="63"/>
  <c r="AX144" i="63"/>
  <c r="AX147" i="63"/>
  <c r="AX86" i="63"/>
  <c r="AX91" i="63"/>
  <c r="AX98" i="63"/>
  <c r="AX99" i="63"/>
  <c r="AX100" i="63"/>
  <c r="AX101" i="63"/>
  <c r="AX104" i="63"/>
  <c r="AX105" i="63"/>
  <c r="AX106" i="63"/>
  <c r="AX109" i="63"/>
  <c r="AX111" i="63"/>
  <c r="AX118" i="63"/>
  <c r="AX152" i="63"/>
  <c r="AX155" i="63"/>
  <c r="AX159" i="63"/>
  <c r="AX164" i="63"/>
  <c r="AX167" i="63"/>
  <c r="AX168" i="63"/>
  <c r="AX198" i="63"/>
  <c r="AX201" i="63"/>
  <c r="AX203" i="63"/>
  <c r="AX205" i="63"/>
  <c r="AX210" i="63"/>
  <c r="AX211" i="63"/>
  <c r="AX214" i="63"/>
  <c r="AX150" i="63"/>
  <c r="AX153" i="63"/>
  <c r="AX156" i="63"/>
  <c r="AX160" i="63"/>
  <c r="AX176" i="63"/>
  <c r="AX178" i="63"/>
  <c r="AX180" i="63"/>
  <c r="AX182" i="63"/>
  <c r="AX183" i="63"/>
  <c r="AX184" i="63"/>
  <c r="AX199" i="63"/>
  <c r="AX202" i="63"/>
  <c r="AX215" i="63"/>
  <c r="AX217" i="63"/>
  <c r="AX221" i="63"/>
  <c r="AX241" i="63"/>
  <c r="AX252" i="63"/>
  <c r="AX253" i="63"/>
  <c r="AX254" i="63"/>
  <c r="AX255" i="63"/>
  <c r="AX262" i="63"/>
  <c r="AX265" i="63"/>
  <c r="AX267" i="63"/>
  <c r="AX271" i="63"/>
  <c r="AX273" i="63"/>
  <c r="AX277" i="63"/>
  <c r="AX285" i="63"/>
  <c r="AX294" i="63"/>
  <c r="AX298" i="63"/>
  <c r="AX299" i="63"/>
  <c r="AX300" i="63"/>
  <c r="AX304" i="63"/>
  <c r="AX305" i="63"/>
  <c r="AX306" i="63"/>
  <c r="AX307" i="63"/>
  <c r="AX313" i="63"/>
  <c r="AX216" i="63"/>
  <c r="AX239" i="63"/>
  <c r="AX240" i="63"/>
  <c r="AX266" i="63"/>
  <c r="AX297" i="63"/>
  <c r="AX311" i="63"/>
  <c r="AX312" i="63"/>
  <c r="AX291" i="63"/>
  <c r="AX272" i="63"/>
  <c r="AX258" i="63"/>
  <c r="AX248" i="63"/>
  <c r="AX246" i="63"/>
  <c r="AX223" i="63"/>
  <c r="AX303" i="63"/>
  <c r="AX284" i="63"/>
  <c r="AX275" i="63"/>
  <c r="AX243" i="63"/>
  <c r="AX230" i="63"/>
  <c r="AX286" i="63"/>
  <c r="AX276" i="63"/>
  <c r="AX269" i="63"/>
  <c r="AX238" i="63"/>
  <c r="AX224" i="63"/>
  <c r="AX204" i="63"/>
  <c r="AX170" i="63"/>
  <c r="AX165" i="63"/>
  <c r="AX163" i="63"/>
  <c r="AX213" i="63"/>
  <c r="AX177" i="63"/>
  <c r="AX166" i="63"/>
  <c r="AX212" i="63"/>
  <c r="AX94" i="63"/>
  <c r="AX146" i="63"/>
  <c r="AX115" i="63"/>
  <c r="AX103" i="63"/>
  <c r="AX95" i="63"/>
  <c r="AX88" i="63"/>
  <c r="AX122" i="63"/>
  <c r="AX65" i="63"/>
  <c r="AX77" i="63"/>
  <c r="AX49" i="63"/>
  <c r="AX55" i="63"/>
  <c r="AX54" i="63"/>
  <c r="AX46" i="63"/>
  <c r="AX30" i="63"/>
  <c r="AX20" i="63"/>
  <c r="AX37" i="63"/>
  <c r="AX28" i="63"/>
  <c r="AX296" i="63"/>
  <c r="AX264" i="63"/>
  <c r="AX251" i="63"/>
  <c r="AX233" i="63"/>
  <c r="AX228" i="63"/>
  <c r="AX295" i="63"/>
  <c r="AX293" i="63"/>
  <c r="AX235" i="63"/>
  <c r="AX292" i="63"/>
  <c r="AX231" i="63"/>
  <c r="AX209" i="63"/>
  <c r="AX181" i="63"/>
  <c r="AX197" i="63"/>
  <c r="AX185" i="63"/>
  <c r="AX179" i="63"/>
  <c r="AX169" i="63"/>
  <c r="AX158" i="63"/>
  <c r="AX125" i="63"/>
  <c r="AX110" i="63"/>
  <c r="AX140" i="63"/>
  <c r="AX129" i="63"/>
  <c r="AX116" i="63"/>
  <c r="AX120" i="63"/>
  <c r="AX114" i="63"/>
  <c r="AX97" i="63"/>
  <c r="AX92" i="63"/>
  <c r="AX141" i="63"/>
  <c r="AX70" i="63"/>
  <c r="AX90" i="63"/>
  <c r="AX83" i="63"/>
  <c r="AX62" i="63"/>
  <c r="AX56" i="63"/>
  <c r="AX47" i="63"/>
  <c r="AX50" i="63"/>
  <c r="AX48" i="63"/>
  <c r="AX45" i="63"/>
  <c r="AX53" i="63"/>
  <c r="AX33" i="63"/>
  <c r="AX32" i="63"/>
  <c r="AX26" i="63"/>
  <c r="AX24" i="63"/>
  <c r="AX21" i="63"/>
  <c r="AX18" i="63"/>
  <c r="AX29" i="63"/>
  <c r="AX25" i="63"/>
  <c r="AX14" i="63"/>
  <c r="AX11" i="63"/>
  <c r="AX15" i="63"/>
  <c r="AX63" i="63"/>
  <c r="AX35" i="63"/>
  <c r="AX119" i="63"/>
  <c r="AX222" i="63"/>
  <c r="AX301" i="63"/>
  <c r="AX236" i="63"/>
  <c r="AX309" i="63"/>
  <c r="AX17" i="63"/>
  <c r="AX151" i="63"/>
  <c r="AX196" i="63"/>
  <c r="AX200" i="63"/>
  <c r="AX207" i="63"/>
  <c r="AX227" i="63"/>
  <c r="AX261" i="63"/>
  <c r="AX52" i="63"/>
  <c r="AX80" i="63"/>
  <c r="AX135" i="63"/>
  <c r="AX162" i="63"/>
  <c r="AX232" i="63"/>
  <c r="AX282" i="63"/>
  <c r="AX73" i="63"/>
  <c r="AX108" i="63"/>
  <c r="AX134" i="63"/>
  <c r="AX154" i="63"/>
  <c r="AX175" i="63"/>
  <c r="AX237" i="63"/>
  <c r="AX226" i="63"/>
  <c r="AX229" i="63"/>
  <c r="AX234" i="63"/>
  <c r="AX257" i="63"/>
  <c r="AX280" i="63"/>
  <c r="AX149" i="63"/>
  <c r="AX23" i="63"/>
  <c r="AX247" i="63"/>
  <c r="AX259" i="63"/>
  <c r="AX194" i="63"/>
  <c r="AX133" i="63"/>
  <c r="AX132" i="63"/>
  <c r="AX225" i="63"/>
  <c r="AX220" i="63"/>
  <c r="AX219" i="63"/>
  <c r="AX173" i="63"/>
  <c r="AX128" i="63"/>
  <c r="AX127" i="63"/>
  <c r="AV149" i="63"/>
  <c r="AE15" i="63"/>
  <c r="AE12" i="63"/>
  <c r="AE18" i="63"/>
  <c r="AE21" i="63"/>
  <c r="AE25" i="63"/>
  <c r="AE26" i="63"/>
  <c r="AE29" i="63"/>
  <c r="AE30" i="63"/>
  <c r="AE19" i="63"/>
  <c r="AE38" i="63"/>
  <c r="AE33" i="63"/>
  <c r="AE39" i="63"/>
  <c r="AE46" i="63"/>
  <c r="AE47" i="63"/>
  <c r="AE48" i="63"/>
  <c r="AE49" i="63"/>
  <c r="AE50" i="63"/>
  <c r="AE53" i="63"/>
  <c r="AE54" i="63"/>
  <c r="AE55" i="63"/>
  <c r="AE32" i="63"/>
  <c r="AE36" i="63"/>
  <c r="AE37" i="63"/>
  <c r="AE66" i="63"/>
  <c r="AE67" i="63"/>
  <c r="AE68" i="63"/>
  <c r="AE75" i="63"/>
  <c r="AE76" i="63"/>
  <c r="AE77" i="63"/>
  <c r="AE82" i="63"/>
  <c r="AE83" i="63"/>
  <c r="AE85" i="63"/>
  <c r="AE86" i="63"/>
  <c r="AE56" i="63"/>
  <c r="AE69" i="63"/>
  <c r="AE70" i="63"/>
  <c r="AE78" i="63"/>
  <c r="AE81" i="63"/>
  <c r="AE84" i="63"/>
  <c r="AE89" i="63"/>
  <c r="AE90" i="63"/>
  <c r="AE92" i="63"/>
  <c r="AE93" i="63"/>
  <c r="AE95" i="63"/>
  <c r="AE105" i="63"/>
  <c r="AE106" i="63"/>
  <c r="AE109" i="63"/>
  <c r="AE110" i="63"/>
  <c r="AE111" i="63"/>
  <c r="AE115" i="63"/>
  <c r="AE120" i="63"/>
  <c r="AE121" i="63"/>
  <c r="AE124" i="63"/>
  <c r="AE129" i="63"/>
  <c r="AE142" i="63"/>
  <c r="AE143" i="63"/>
  <c r="AE147" i="63"/>
  <c r="AE91" i="63"/>
  <c r="AE94" i="63"/>
  <c r="AE98" i="63"/>
  <c r="AE99" i="63"/>
  <c r="AE100" i="63"/>
  <c r="AE101" i="63"/>
  <c r="AE104" i="63"/>
  <c r="AE118" i="63"/>
  <c r="AE119" i="63"/>
  <c r="AE122" i="63"/>
  <c r="AE125" i="63"/>
  <c r="AE128" i="63"/>
  <c r="AE133" i="63"/>
  <c r="AE134" i="63"/>
  <c r="AE135" i="63"/>
  <c r="AE141" i="63"/>
  <c r="AE144" i="63"/>
  <c r="AE151" i="63"/>
  <c r="AE152" i="63"/>
  <c r="AE153" i="63"/>
  <c r="AE154" i="63"/>
  <c r="AE155" i="63"/>
  <c r="AE156" i="63"/>
  <c r="AE160" i="63"/>
  <c r="AE150" i="63"/>
  <c r="AE163" i="63"/>
  <c r="AE165" i="63"/>
  <c r="AE167" i="63"/>
  <c r="AE198" i="63"/>
  <c r="AE200" i="63"/>
  <c r="AE202" i="63"/>
  <c r="AE205" i="63"/>
  <c r="AE210" i="63"/>
  <c r="AE211" i="63"/>
  <c r="AE215" i="63"/>
  <c r="AE159" i="63"/>
  <c r="AE164" i="63"/>
  <c r="AE166" i="63"/>
  <c r="AE168" i="63"/>
  <c r="AE169" i="63"/>
  <c r="AE170" i="63"/>
  <c r="AE172" i="63"/>
  <c r="AE183" i="63"/>
  <c r="AE187" i="63"/>
  <c r="AE188" i="63"/>
  <c r="AE189" i="63"/>
  <c r="AE190" i="63"/>
  <c r="AE191" i="63"/>
  <c r="AE192" i="63"/>
  <c r="AE193" i="63"/>
  <c r="AE195" i="63"/>
  <c r="AE212" i="63"/>
  <c r="AE213" i="63"/>
  <c r="AE214" i="63"/>
  <c r="AE216" i="63"/>
  <c r="AE219" i="63"/>
  <c r="AE220" i="63"/>
  <c r="AE221" i="63"/>
  <c r="AE223" i="63"/>
  <c r="AE224" i="63"/>
  <c r="AE228" i="63"/>
  <c r="AE230" i="63"/>
  <c r="AE233" i="63"/>
  <c r="AE235" i="63"/>
  <c r="AE237" i="63"/>
  <c r="AE239" i="63"/>
  <c r="AE240" i="63"/>
  <c r="AE241" i="63"/>
  <c r="AE247" i="63"/>
  <c r="AE258" i="63"/>
  <c r="AE261" i="63"/>
  <c r="AE270" i="63"/>
  <c r="AE271" i="63"/>
  <c r="AE276" i="63"/>
  <c r="AE277" i="63"/>
  <c r="AE280" i="63"/>
  <c r="AE295" i="63"/>
  <c r="AE296" i="63"/>
  <c r="AE297" i="63"/>
  <c r="AE299" i="63"/>
  <c r="AE300" i="63"/>
  <c r="AE307" i="63"/>
  <c r="AE312" i="63"/>
  <c r="AE313" i="63"/>
  <c r="AE217" i="63"/>
  <c r="AE222" i="63"/>
  <c r="AE225" i="63"/>
  <c r="AE226" i="63"/>
  <c r="AE227" i="63"/>
  <c r="AE229" i="63"/>
  <c r="AE231" i="63"/>
  <c r="AE232" i="63"/>
  <c r="AE234" i="63"/>
  <c r="AE236" i="63"/>
  <c r="AE238" i="63"/>
  <c r="AE243" i="63"/>
  <c r="AE253" i="63"/>
  <c r="AE265" i="63"/>
  <c r="AE266" i="63"/>
  <c r="AE293" i="63"/>
  <c r="AE294" i="63"/>
  <c r="AE298" i="63"/>
  <c r="AE309" i="63"/>
  <c r="AE269" i="63"/>
  <c r="AE264" i="63"/>
  <c r="AE311" i="63"/>
  <c r="AE306" i="63"/>
  <c r="AE304" i="63"/>
  <c r="AE303" i="63"/>
  <c r="AE273" i="63"/>
  <c r="AE267" i="63"/>
  <c r="AE254" i="63"/>
  <c r="AE251" i="63"/>
  <c r="AE182" i="63"/>
  <c r="AE180" i="63"/>
  <c r="AE178" i="63"/>
  <c r="AE176" i="63"/>
  <c r="AE204" i="63"/>
  <c r="AE116" i="63"/>
  <c r="AE158" i="63"/>
  <c r="AE127" i="63"/>
  <c r="AE132" i="63"/>
  <c r="AE123" i="63"/>
  <c r="AE80" i="63"/>
  <c r="AE73" i="63"/>
  <c r="AE65" i="63"/>
  <c r="AE45" i="63"/>
  <c r="AE62" i="63"/>
  <c r="AE24" i="63"/>
  <c r="AE17" i="63"/>
  <c r="AE305" i="63"/>
  <c r="AE301" i="63"/>
  <c r="AE285" i="63"/>
  <c r="AE255" i="63"/>
  <c r="AE252" i="63"/>
  <c r="AE203" i="63"/>
  <c r="AE197" i="63"/>
  <c r="AE162" i="63"/>
  <c r="AE149" i="63"/>
  <c r="AE140" i="63"/>
  <c r="AE108" i="63"/>
  <c r="AE103" i="63"/>
  <c r="AE114" i="63"/>
  <c r="AE74" i="63"/>
  <c r="AE61" i="63"/>
  <c r="AE52" i="63"/>
  <c r="AE28" i="63"/>
  <c r="AE248" i="63"/>
  <c r="AE272" i="63"/>
  <c r="AE275" i="63"/>
  <c r="AE279" i="63"/>
  <c r="AE245" i="63"/>
  <c r="AE284" i="63"/>
  <c r="AE11" i="63"/>
  <c r="AE35" i="63"/>
  <c r="AE63" i="63"/>
  <c r="AE97" i="63"/>
  <c r="AE146" i="63"/>
  <c r="AE177" i="63"/>
  <c r="AE181" i="63"/>
  <c r="AE209" i="63"/>
  <c r="AE286" i="63"/>
  <c r="AE292" i="63"/>
  <c r="AE88" i="63"/>
  <c r="AE179" i="63"/>
  <c r="AE185" i="63"/>
  <c r="AE199" i="63"/>
  <c r="AE201" i="63"/>
  <c r="AE246" i="63"/>
  <c r="AE259" i="63"/>
  <c r="AE175" i="63"/>
  <c r="AE257" i="63"/>
  <c r="AE23" i="63"/>
  <c r="AE196" i="63"/>
  <c r="AE194" i="63"/>
  <c r="AE282" i="63"/>
  <c r="AE184" i="63"/>
  <c r="AE138" i="63"/>
  <c r="AE291" i="63"/>
  <c r="AE207" i="63"/>
  <c r="AV9" i="63"/>
  <c r="F63" i="63"/>
  <c r="AF7" i="63"/>
  <c r="AX9" i="63"/>
  <c r="AX7" i="63" s="1"/>
  <c r="AV138" i="63"/>
  <c r="F138" i="63"/>
  <c r="BF7" i="62"/>
  <c r="BA13" i="62"/>
  <c r="BA14" i="62"/>
  <c r="BA19" i="62"/>
  <c r="BA21" i="62"/>
  <c r="BG7" i="62"/>
  <c r="BA33" i="62"/>
  <c r="BA36" i="62"/>
  <c r="BA39" i="62"/>
  <c r="BA41" i="62"/>
  <c r="BA47" i="62"/>
  <c r="BA49" i="62"/>
  <c r="BA60" i="62"/>
  <c r="BA20" i="62"/>
  <c r="BA38" i="62"/>
  <c r="BA56" i="62"/>
  <c r="BA58" i="62"/>
  <c r="BA61" i="62"/>
  <c r="BA70" i="62"/>
  <c r="BA75" i="62"/>
  <c r="BA77" i="62"/>
  <c r="BA80" i="62"/>
  <c r="BA89" i="62"/>
  <c r="BA90" i="62"/>
  <c r="BA92" i="62"/>
  <c r="BA94" i="62"/>
  <c r="BA97" i="62"/>
  <c r="BA98" i="62"/>
  <c r="BA100" i="62"/>
  <c r="BA103" i="62"/>
  <c r="BA109" i="62"/>
  <c r="BA113" i="62"/>
  <c r="BA122" i="62"/>
  <c r="BA123" i="62"/>
  <c r="BA18" i="62"/>
  <c r="BA29" i="62"/>
  <c r="BA30" i="62"/>
  <c r="BA66" i="62"/>
  <c r="BA81" i="62"/>
  <c r="BA85" i="62"/>
  <c r="BA114" i="62"/>
  <c r="BA124" i="62"/>
  <c r="BA145" i="62"/>
  <c r="BA148" i="62"/>
  <c r="BA152" i="62"/>
  <c r="BA154" i="62"/>
  <c r="BA158" i="62"/>
  <c r="BA164" i="62"/>
  <c r="BA167" i="62"/>
  <c r="BA192" i="62"/>
  <c r="BA200" i="62"/>
  <c r="BA201" i="62"/>
  <c r="BA202" i="62"/>
  <c r="BA204" i="62"/>
  <c r="BA209" i="62"/>
  <c r="BA212" i="62"/>
  <c r="BA227" i="62"/>
  <c r="BA228" i="62"/>
  <c r="BA229" i="62"/>
  <c r="BA231" i="62"/>
  <c r="BA241" i="62"/>
  <c r="BA256" i="62"/>
  <c r="BA259" i="62"/>
  <c r="BA261" i="62"/>
  <c r="BA289" i="62"/>
  <c r="BA15" i="62"/>
  <c r="BA40" i="62"/>
  <c r="BA42" i="62"/>
  <c r="BA54" i="62"/>
  <c r="BA83" i="62"/>
  <c r="BA84" i="62"/>
  <c r="BA93" i="62"/>
  <c r="BA104" i="62"/>
  <c r="BA131" i="62"/>
  <c r="BA133" i="62"/>
  <c r="BA149" i="62"/>
  <c r="BA157" i="62"/>
  <c r="BA161" i="62"/>
  <c r="BA166" i="62"/>
  <c r="BA168" i="62"/>
  <c r="BA183" i="62"/>
  <c r="BA189" i="62"/>
  <c r="BA190" i="62"/>
  <c r="BA193" i="62"/>
  <c r="BA199" i="62"/>
  <c r="BA203" i="62"/>
  <c r="BA206" i="62"/>
  <c r="BA221" i="62"/>
  <c r="BA222" i="62"/>
  <c r="BA223" i="62"/>
  <c r="BA224" i="62"/>
  <c r="BA226" i="62"/>
  <c r="BA246" i="62"/>
  <c r="BA247" i="62"/>
  <c r="BA249" i="62"/>
  <c r="BA250" i="62"/>
  <c r="BA262" i="62"/>
  <c r="BA266" i="62"/>
  <c r="BA274" i="62"/>
  <c r="BA275" i="62"/>
  <c r="BA280" i="62"/>
  <c r="BA283" i="62"/>
  <c r="BA285" i="62"/>
  <c r="BA286" i="62"/>
  <c r="BA291" i="62"/>
  <c r="BA292" i="62"/>
  <c r="BA293" i="62"/>
  <c r="BA294" i="62"/>
  <c r="BA299" i="62"/>
  <c r="BA298" i="62"/>
  <c r="BA290" i="62"/>
  <c r="BA284" i="62"/>
  <c r="BA182" i="62"/>
  <c r="BA281" i="62"/>
  <c r="BA279" i="62"/>
  <c r="BA255" i="62"/>
  <c r="BA243" i="62"/>
  <c r="BA242" i="62"/>
  <c r="BA235" i="62"/>
  <c r="BA219" i="62"/>
  <c r="BA215" i="62"/>
  <c r="BA214" i="62"/>
  <c r="BA198" i="62"/>
  <c r="BA178" i="62"/>
  <c r="BA176" i="62"/>
  <c r="BA174" i="62"/>
  <c r="BA162" i="62"/>
  <c r="BA153" i="62"/>
  <c r="BA151" i="62"/>
  <c r="BA139" i="62"/>
  <c r="BA115" i="62"/>
  <c r="BA110" i="62"/>
  <c r="BA108" i="62"/>
  <c r="BA68" i="62"/>
  <c r="BA62" i="62"/>
  <c r="BA278" i="62"/>
  <c r="BA269" i="62"/>
  <c r="BA251" i="62"/>
  <c r="BA150" i="62"/>
  <c r="BA128" i="62"/>
  <c r="BA99" i="62"/>
  <c r="BA82" i="62"/>
  <c r="BA37" i="62"/>
  <c r="BA120" i="62"/>
  <c r="BA119" i="62"/>
  <c r="BA105" i="62"/>
  <c r="BA88" i="62"/>
  <c r="BA76" i="62"/>
  <c r="BA74" i="62"/>
  <c r="BA69" i="62"/>
  <c r="BA55" i="62"/>
  <c r="BA296" i="62"/>
  <c r="BA282" i="62"/>
  <c r="BA300" i="62"/>
  <c r="BA260" i="62"/>
  <c r="BA236" i="62"/>
  <c r="BA234" i="62"/>
  <c r="BA230" i="62"/>
  <c r="BA225" i="62"/>
  <c r="BA220" i="62"/>
  <c r="BA217" i="62"/>
  <c r="BA191" i="62"/>
  <c r="BA177" i="62"/>
  <c r="BA175" i="62"/>
  <c r="BA165" i="62"/>
  <c r="BA156" i="62"/>
  <c r="BA144" i="62"/>
  <c r="BA141" i="62"/>
  <c r="BA132" i="62"/>
  <c r="BA96" i="62"/>
  <c r="BA67" i="62"/>
  <c r="BA273" i="62"/>
  <c r="BA265" i="62"/>
  <c r="BA254" i="62"/>
  <c r="BA240" i="62"/>
  <c r="BA239" i="62"/>
  <c r="BA218" i="62"/>
  <c r="BA216" i="62"/>
  <c r="BA213" i="62"/>
  <c r="BA194" i="62"/>
  <c r="BA180" i="62"/>
  <c r="BA179" i="62"/>
  <c r="BA163" i="62"/>
  <c r="BA142" i="62"/>
  <c r="BA140" i="62"/>
  <c r="BA127" i="62"/>
  <c r="BA121" i="62"/>
  <c r="BA91" i="62"/>
  <c r="BA50" i="62"/>
  <c r="BA46" i="62"/>
  <c r="BA118" i="62"/>
  <c r="BA117" i="62"/>
  <c r="BA102" i="62"/>
  <c r="BA73" i="62"/>
  <c r="BA48" i="62"/>
  <c r="BA59" i="62"/>
  <c r="BA53" i="62"/>
  <c r="BA43" i="62"/>
  <c r="BA32" i="62"/>
  <c r="BA25" i="62"/>
  <c r="BA26" i="62"/>
  <c r="BA17" i="62"/>
  <c r="BA12" i="62"/>
  <c r="BA28" i="62"/>
  <c r="BA87" i="62"/>
  <c r="BA126" i="62"/>
  <c r="BA130" i="62"/>
  <c r="BA188" i="62"/>
  <c r="BA253" i="62"/>
  <c r="BA138" i="62"/>
  <c r="BA173" i="62"/>
  <c r="BA11" i="62"/>
  <c r="BA52" i="62"/>
  <c r="BA72" i="62"/>
  <c r="BA79" i="62"/>
  <c r="BA211" i="62"/>
  <c r="BA268" i="62"/>
  <c r="BA65" i="62"/>
  <c r="BA277" i="62"/>
  <c r="BA35" i="62"/>
  <c r="BA160" i="62"/>
  <c r="BA196" i="62"/>
  <c r="BA107" i="62"/>
  <c r="BA208" i="62"/>
  <c r="BA258" i="62"/>
  <c r="BA24" i="62"/>
  <c r="BA45" i="62"/>
  <c r="BA147" i="62"/>
  <c r="BA264" i="62"/>
  <c r="BA271" i="62"/>
  <c r="BA233" i="62"/>
  <c r="BA288" i="62"/>
  <c r="BA63" i="62"/>
  <c r="BA23" i="62"/>
  <c r="BA245" i="62"/>
  <c r="BA9" i="62"/>
  <c r="BA171" i="62"/>
  <c r="BA136" i="62"/>
  <c r="BA187" i="62"/>
  <c r="BB180" i="62"/>
  <c r="AV12" i="62"/>
  <c r="AV13" i="62"/>
  <c r="AV14" i="62"/>
  <c r="AV15" i="62"/>
  <c r="AV18" i="62"/>
  <c r="AV19" i="62"/>
  <c r="AV25" i="62"/>
  <c r="AV26" i="62"/>
  <c r="AV30" i="62"/>
  <c r="AV37" i="62"/>
  <c r="AV46" i="62"/>
  <c r="AV48" i="62"/>
  <c r="AV50" i="62"/>
  <c r="AV64" i="62"/>
  <c r="AV70" i="62"/>
  <c r="AV80" i="62"/>
  <c r="AV81" i="62"/>
  <c r="AV84" i="62"/>
  <c r="AV85" i="62"/>
  <c r="AV86" i="62"/>
  <c r="AV89" i="62"/>
  <c r="AV90" i="62"/>
  <c r="AV92" i="62"/>
  <c r="AV94" i="62"/>
  <c r="AV97" i="62"/>
  <c r="AV98" i="62"/>
  <c r="AV99" i="62"/>
  <c r="AV107" i="62"/>
  <c r="AV109" i="62"/>
  <c r="AV110" i="62"/>
  <c r="AV116" i="62"/>
  <c r="AV117" i="62"/>
  <c r="AV120" i="62"/>
  <c r="AV121" i="62"/>
  <c r="AV122" i="62"/>
  <c r="AV123" i="62"/>
  <c r="AV21" i="62"/>
  <c r="AV32" i="62"/>
  <c r="AV55" i="62"/>
  <c r="AV67" i="62"/>
  <c r="AV82" i="62"/>
  <c r="AV83" i="62"/>
  <c r="AV91" i="62"/>
  <c r="AV108" i="62"/>
  <c r="AV118" i="62"/>
  <c r="AV119" i="62"/>
  <c r="AV124" i="62"/>
  <c r="AV129" i="62"/>
  <c r="AV131" i="62"/>
  <c r="AV133" i="62"/>
  <c r="AV145" i="62"/>
  <c r="AV149" i="62"/>
  <c r="AV152" i="62"/>
  <c r="AV154" i="62"/>
  <c r="AV156" i="62"/>
  <c r="AV161" i="62"/>
  <c r="AV162" i="62"/>
  <c r="AV165" i="62"/>
  <c r="AV168" i="62"/>
  <c r="AV185" i="62"/>
  <c r="AV187" i="62"/>
  <c r="AV188" i="62"/>
  <c r="AV197" i="62"/>
  <c r="AV202" i="62"/>
  <c r="AV203" i="62"/>
  <c r="AV206" i="62"/>
  <c r="AV220" i="62"/>
  <c r="AV225" i="62"/>
  <c r="AV234" i="62"/>
  <c r="AV241" i="62"/>
  <c r="AV256" i="62"/>
  <c r="AV265" i="62"/>
  <c r="AV275" i="62"/>
  <c r="AV278" i="62"/>
  <c r="AV75" i="62"/>
  <c r="AV77" i="62"/>
  <c r="AV100" i="62"/>
  <c r="AV105" i="62"/>
  <c r="AV115" i="62"/>
  <c r="AV128" i="62"/>
  <c r="AV130" i="62"/>
  <c r="AV140" i="62"/>
  <c r="AV141" i="62"/>
  <c r="AV150" i="62"/>
  <c r="AV151" i="62"/>
  <c r="AV157" i="62"/>
  <c r="AV166" i="62"/>
  <c r="AV190" i="62"/>
  <c r="AV193" i="62"/>
  <c r="AV199" i="62"/>
  <c r="AV212" i="62"/>
  <c r="AV221" i="62"/>
  <c r="AV222" i="62"/>
  <c r="AV223" i="62"/>
  <c r="AV224" i="62"/>
  <c r="AV226" i="62"/>
  <c r="AV242" i="62"/>
  <c r="AV243" i="62"/>
  <c r="AV250" i="62"/>
  <c r="AV255" i="62"/>
  <c r="AV260" i="62"/>
  <c r="AV53" i="62"/>
  <c r="AV76" i="62"/>
  <c r="AV88" i="62"/>
  <c r="AV95" i="62"/>
  <c r="AV127" i="62"/>
  <c r="AV132" i="62"/>
  <c r="AV139" i="62"/>
  <c r="AV142" i="62"/>
  <c r="AV153" i="62"/>
  <c r="AV158" i="62"/>
  <c r="AV163" i="62"/>
  <c r="AV164" i="62"/>
  <c r="AV167" i="62"/>
  <c r="AV179" i="62"/>
  <c r="AV181" i="62"/>
  <c r="AV191" i="62"/>
  <c r="AV200" i="62"/>
  <c r="AV201" i="62"/>
  <c r="AV204" i="62"/>
  <c r="AV207" i="62"/>
  <c r="AV209" i="62"/>
  <c r="AV227" i="62"/>
  <c r="AV231" i="62"/>
  <c r="AV235" i="62"/>
  <c r="AV240" i="62"/>
  <c r="AV247" i="62"/>
  <c r="AV266" i="62"/>
  <c r="AV279" i="62"/>
  <c r="AV284" i="62"/>
  <c r="AV300" i="62"/>
  <c r="AV282" i="62"/>
  <c r="AV233" i="62"/>
  <c r="AV177" i="62"/>
  <c r="AV87" i="62"/>
  <c r="AV292" i="62"/>
  <c r="AV283" i="62"/>
  <c r="AV178" i="62"/>
  <c r="AV174" i="62"/>
  <c r="AV96" i="62"/>
  <c r="AV258" i="62"/>
  <c r="AV246" i="62"/>
  <c r="AV239" i="62"/>
  <c r="AV192" i="62"/>
  <c r="AV62" i="62"/>
  <c r="AV54" i="62"/>
  <c r="AV251" i="62"/>
  <c r="AV215" i="62"/>
  <c r="AV126" i="62"/>
  <c r="AV114" i="62"/>
  <c r="AV79" i="62"/>
  <c r="AV113" i="62"/>
  <c r="AV104" i="62"/>
  <c r="AV93" i="62"/>
  <c r="AV56" i="62"/>
  <c r="AV33" i="62"/>
  <c r="AV47" i="62"/>
  <c r="AV29" i="62"/>
  <c r="AV298" i="62"/>
  <c r="AV293" i="62"/>
  <c r="AV281" i="62"/>
  <c r="AV175" i="62"/>
  <c r="AV144" i="62"/>
  <c r="AV291" i="62"/>
  <c r="AV264" i="62"/>
  <c r="AV236" i="62"/>
  <c r="AV171" i="62"/>
  <c r="AV176" i="62"/>
  <c r="AV138" i="62"/>
  <c r="AV274" i="62"/>
  <c r="AV273" i="62"/>
  <c r="AV213" i="62"/>
  <c r="AV198" i="62"/>
  <c r="AV183" i="62"/>
  <c r="AV17" i="62"/>
  <c r="AV261" i="62"/>
  <c r="AV36" i="62"/>
  <c r="AV61" i="62"/>
  <c r="AV45" i="62"/>
  <c r="AV49" i="62"/>
  <c r="AV24" i="62"/>
  <c r="AV20" i="62"/>
  <c r="AV11" i="62"/>
  <c r="AV211" i="62"/>
  <c r="AV294" i="62"/>
  <c r="AV52" i="62"/>
  <c r="AV102" i="62"/>
  <c r="AV290" i="62"/>
  <c r="AV73" i="62"/>
  <c r="AV74" i="62"/>
  <c r="AV214" i="62"/>
  <c r="AV217" i="62"/>
  <c r="AV219" i="62"/>
  <c r="AV268" i="62"/>
  <c r="AV277" i="62"/>
  <c r="AV296" i="62"/>
  <c r="AV35" i="62"/>
  <c r="AV28" i="62"/>
  <c r="AV66" i="62"/>
  <c r="AV160" i="62"/>
  <c r="AV189" i="62"/>
  <c r="AV271" i="62"/>
  <c r="AV299" i="62"/>
  <c r="AV216" i="62"/>
  <c r="AV245" i="62"/>
  <c r="AV254" i="62"/>
  <c r="AV269" i="62"/>
  <c r="AV288" i="62"/>
  <c r="AV173" i="62"/>
  <c r="AV103" i="62"/>
  <c r="AV182" i="62"/>
  <c r="AV218" i="62"/>
  <c r="AV262" i="62"/>
  <c r="AV72" i="62"/>
  <c r="AV208" i="62"/>
  <c r="AV23" i="62"/>
  <c r="AV148" i="62"/>
  <c r="AV253" i="62"/>
  <c r="AV65" i="62"/>
  <c r="AV136" i="62"/>
  <c r="AV196" i="62"/>
  <c r="BA185" i="62"/>
  <c r="AV180" i="62"/>
  <c r="AV9" i="62"/>
  <c r="AV147" i="62"/>
  <c r="AV63" i="62"/>
  <c r="BB185" i="62"/>
  <c r="BC185" i="62" s="1"/>
  <c r="F7" i="62"/>
  <c r="AY185" i="62" s="1"/>
  <c r="AL19" i="62"/>
  <c r="AL12" i="62"/>
  <c r="AL26" i="62"/>
  <c r="AL29" i="62"/>
  <c r="AL33" i="62"/>
  <c r="AL47" i="62"/>
  <c r="AL49" i="62"/>
  <c r="AL54" i="62"/>
  <c r="AL56" i="62"/>
  <c r="AL25" i="62"/>
  <c r="AL81" i="62"/>
  <c r="AL82" i="62"/>
  <c r="AL89" i="62"/>
  <c r="AL91" i="62"/>
  <c r="AL109" i="62"/>
  <c r="AL110" i="62"/>
  <c r="AL122" i="62"/>
  <c r="AL48" i="62"/>
  <c r="AL90" i="62"/>
  <c r="AL94" i="62"/>
  <c r="AL97" i="62"/>
  <c r="AL98" i="62"/>
  <c r="AL108" i="62"/>
  <c r="AL124" i="62"/>
  <c r="AL126" i="62"/>
  <c r="AL128" i="62"/>
  <c r="AL141" i="62"/>
  <c r="AL142" i="62"/>
  <c r="AL163" i="62"/>
  <c r="AL203" i="62"/>
  <c r="AL37" i="62"/>
  <c r="AL46" i="62"/>
  <c r="AL50" i="62"/>
  <c r="AL145" i="62"/>
  <c r="AL147" i="62"/>
  <c r="AL151" i="62"/>
  <c r="AL157" i="62"/>
  <c r="AL202" i="62"/>
  <c r="AL15" i="62"/>
  <c r="AL80" i="62"/>
  <c r="AL144" i="62"/>
  <c r="AL156" i="62"/>
  <c r="AL158" i="62"/>
  <c r="AL161" i="62"/>
  <c r="AL165" i="62"/>
  <c r="AL167" i="62"/>
  <c r="AL168" i="62"/>
  <c r="AL206" i="62"/>
  <c r="AL209" i="62"/>
  <c r="AL241" i="62"/>
  <c r="AL256" i="62"/>
  <c r="AL300" i="62"/>
  <c r="AL107" i="62"/>
  <c r="AL208" i="62"/>
  <c r="AL239" i="62"/>
  <c r="AL55" i="62"/>
  <c r="AL17" i="62"/>
  <c r="AL53" i="62"/>
  <c r="AL24" i="62"/>
  <c r="AL253" i="62"/>
  <c r="AL198" i="62"/>
  <c r="AL160" i="62"/>
  <c r="AL87" i="62"/>
  <c r="AL79" i="62"/>
  <c r="AL35" i="62"/>
  <c r="AL32" i="62"/>
  <c r="AL196" i="62"/>
  <c r="AL245" i="62"/>
  <c r="AL11" i="62"/>
  <c r="AL45" i="62"/>
  <c r="AL96" i="62"/>
  <c r="AL115" i="62"/>
  <c r="AL52" i="62"/>
  <c r="AL298" i="62"/>
  <c r="AL28" i="62"/>
  <c r="AL138" i="62"/>
  <c r="AL63" i="62"/>
  <c r="AL23" i="62"/>
  <c r="AL136" i="62"/>
  <c r="AL296" i="62"/>
  <c r="AW7" i="62"/>
  <c r="AX136" i="62" s="1"/>
  <c r="AY180" i="62" l="1"/>
  <c r="AE7" i="63"/>
  <c r="AL7" i="62"/>
  <c r="G86" i="65"/>
  <c r="J86" i="65" s="1"/>
  <c r="D138" i="65"/>
  <c r="G138" i="65" s="1"/>
  <c r="G68" i="65"/>
  <c r="G30" i="65"/>
  <c r="J30" i="65" s="1"/>
  <c r="G125" i="65"/>
  <c r="J125" i="65" s="1"/>
  <c r="AL12" i="63"/>
  <c r="AL15" i="63"/>
  <c r="AL21" i="63"/>
  <c r="AL24" i="63"/>
  <c r="AL28" i="63"/>
  <c r="AL18" i="63"/>
  <c r="AL19" i="63"/>
  <c r="AL25" i="63"/>
  <c r="AL26" i="63"/>
  <c r="AL29" i="63"/>
  <c r="AL30" i="63"/>
  <c r="AL32" i="63"/>
  <c r="AL33" i="63"/>
  <c r="AL36" i="63"/>
  <c r="AL37" i="63"/>
  <c r="AL46" i="63"/>
  <c r="AL47" i="63"/>
  <c r="AL48" i="63"/>
  <c r="AL49" i="63"/>
  <c r="AL50" i="63"/>
  <c r="AL53" i="63"/>
  <c r="AL54" i="63"/>
  <c r="AL55" i="63"/>
  <c r="AL56" i="63"/>
  <c r="AL69" i="63"/>
  <c r="AL70" i="63"/>
  <c r="AL78" i="63"/>
  <c r="AL81" i="63"/>
  <c r="AL85" i="63"/>
  <c r="AL86" i="63"/>
  <c r="AL66" i="63"/>
  <c r="AL67" i="63"/>
  <c r="AL68" i="63"/>
  <c r="AL75" i="63"/>
  <c r="AL76" i="63"/>
  <c r="AL77" i="63"/>
  <c r="AL82" i="63"/>
  <c r="AL83" i="63"/>
  <c r="AL84" i="63"/>
  <c r="AL91" i="63"/>
  <c r="AL93" i="63"/>
  <c r="AL94" i="63"/>
  <c r="AL98" i="63"/>
  <c r="AL99" i="63"/>
  <c r="AL100" i="63"/>
  <c r="AL103" i="63"/>
  <c r="AL104" i="63"/>
  <c r="AL111" i="63"/>
  <c r="AL118" i="63"/>
  <c r="AL119" i="63"/>
  <c r="AL122" i="63"/>
  <c r="AL123" i="63"/>
  <c r="AL125" i="63"/>
  <c r="AL127" i="63"/>
  <c r="AL128" i="63"/>
  <c r="AL129" i="63"/>
  <c r="AL133" i="63"/>
  <c r="AL134" i="63"/>
  <c r="AL135" i="63"/>
  <c r="AL141" i="63"/>
  <c r="AL144" i="63"/>
  <c r="AL90" i="63"/>
  <c r="AL92" i="63"/>
  <c r="AL95" i="63"/>
  <c r="AL105" i="63"/>
  <c r="AL106" i="63"/>
  <c r="AL109" i="63"/>
  <c r="AL110" i="63"/>
  <c r="AL120" i="63"/>
  <c r="AL121" i="63"/>
  <c r="AL124" i="63"/>
  <c r="AL142" i="63"/>
  <c r="AL143" i="63"/>
  <c r="AL147" i="63"/>
  <c r="AL150" i="63"/>
  <c r="AL159" i="63"/>
  <c r="AL166" i="63"/>
  <c r="AL167" i="63"/>
  <c r="AL169" i="63"/>
  <c r="AL170" i="63"/>
  <c r="AL201" i="63"/>
  <c r="AL204" i="63"/>
  <c r="AL211" i="63"/>
  <c r="AL212" i="63"/>
  <c r="AL213" i="63"/>
  <c r="AL214" i="63"/>
  <c r="AL215" i="63"/>
  <c r="AL153" i="63"/>
  <c r="AL156" i="63"/>
  <c r="AL160" i="63"/>
  <c r="AL163" i="63"/>
  <c r="AL164" i="63"/>
  <c r="AL165" i="63"/>
  <c r="AL168" i="63"/>
  <c r="AL181" i="63"/>
  <c r="AL197" i="63"/>
  <c r="AL198" i="63"/>
  <c r="AL205" i="63"/>
  <c r="AL210" i="63"/>
  <c r="AL217" i="63"/>
  <c r="AL219" i="63"/>
  <c r="AL220" i="63"/>
  <c r="AL222" i="63"/>
  <c r="AL237" i="63"/>
  <c r="AL243" i="63"/>
  <c r="AL246" i="63"/>
  <c r="AL253" i="63"/>
  <c r="AL265" i="63"/>
  <c r="AL286" i="63"/>
  <c r="AL292" i="63"/>
  <c r="AL293" i="63"/>
  <c r="AL301" i="63"/>
  <c r="AL303" i="63"/>
  <c r="AL311" i="63"/>
  <c r="AL221" i="63"/>
  <c r="AL241" i="63"/>
  <c r="AL261" i="63"/>
  <c r="AL266" i="63"/>
  <c r="AL267" i="63"/>
  <c r="AL270" i="63"/>
  <c r="AL271" i="63"/>
  <c r="AL276" i="63"/>
  <c r="AL277" i="63"/>
  <c r="AL280" i="63"/>
  <c r="AL299" i="63"/>
  <c r="AL300" i="63"/>
  <c r="AL307" i="63"/>
  <c r="AL313" i="63"/>
  <c r="AL309" i="63"/>
  <c r="AL275" i="63"/>
  <c r="AL291" i="63"/>
  <c r="AL155" i="63"/>
  <c r="AL154" i="63"/>
  <c r="AL149" i="63"/>
  <c r="AL132" i="63"/>
  <c r="AL97" i="63"/>
  <c r="AL140" i="63"/>
  <c r="AL80" i="63"/>
  <c r="AL65" i="63"/>
  <c r="AL45" i="63"/>
  <c r="AL52" i="63"/>
  <c r="AL17" i="63"/>
  <c r="AL279" i="63"/>
  <c r="AL269" i="63"/>
  <c r="AL259" i="63"/>
  <c r="AL251" i="63"/>
  <c r="AL245" i="63"/>
  <c r="AL216" i="63"/>
  <c r="AL162" i="63"/>
  <c r="AL152" i="63"/>
  <c r="AL116" i="63"/>
  <c r="AL146" i="63"/>
  <c r="AL108" i="63"/>
  <c r="AL35" i="63"/>
  <c r="AL11" i="63"/>
  <c r="AL138" i="63"/>
  <c r="AL194" i="63"/>
  <c r="AL284" i="63"/>
  <c r="AL9" i="63"/>
  <c r="AL23" i="63"/>
  <c r="AL158" i="63"/>
  <c r="AL175" i="63"/>
  <c r="AL264" i="63"/>
  <c r="AL282" i="63"/>
  <c r="AL38" i="63"/>
  <c r="AL151" i="63"/>
  <c r="AL173" i="63"/>
  <c r="AL209" i="63"/>
  <c r="AL88" i="63"/>
  <c r="AL196" i="63"/>
  <c r="AL257" i="63"/>
  <c r="AL74" i="63"/>
  <c r="AL207" i="63"/>
  <c r="AL73" i="63"/>
  <c r="AL63" i="63"/>
  <c r="AV7" i="63"/>
  <c r="F7" i="63"/>
  <c r="AV7" i="62"/>
  <c r="BA7" i="62"/>
  <c r="AX7" i="62"/>
  <c r="AX8" i="62"/>
  <c r="AX12" i="62"/>
  <c r="AX19" i="62"/>
  <c r="AX25" i="62"/>
  <c r="AX26" i="62"/>
  <c r="AX37" i="62"/>
  <c r="AX46" i="62"/>
  <c r="AX48" i="62"/>
  <c r="AX50" i="62"/>
  <c r="AX75" i="62"/>
  <c r="AX77" i="62"/>
  <c r="AX83" i="62"/>
  <c r="AX88" i="62"/>
  <c r="AX95" i="62"/>
  <c r="AX100" i="62"/>
  <c r="AX111" i="62"/>
  <c r="AX124" i="62"/>
  <c r="AX32" i="62"/>
  <c r="AX55" i="62"/>
  <c r="AX62" i="62"/>
  <c r="AX66" i="62"/>
  <c r="AX67" i="62"/>
  <c r="AX68" i="62"/>
  <c r="AX82" i="62"/>
  <c r="AX91" i="62"/>
  <c r="AX99" i="62"/>
  <c r="AX108" i="62"/>
  <c r="AX110" i="62"/>
  <c r="AX116" i="62"/>
  <c r="AX121" i="62"/>
  <c r="AX143" i="62"/>
  <c r="AX146" i="62"/>
  <c r="AX157" i="62"/>
  <c r="AX158" i="62"/>
  <c r="AX164" i="62"/>
  <c r="AX166" i="62"/>
  <c r="AX167" i="62"/>
  <c r="AX190" i="62"/>
  <c r="AX193" i="62"/>
  <c r="AX199" i="62"/>
  <c r="AX200" i="62"/>
  <c r="AX201" i="62"/>
  <c r="AX204" i="62"/>
  <c r="AX105" i="62"/>
  <c r="AX117" i="62"/>
  <c r="AX137" i="62"/>
  <c r="AX141" i="62"/>
  <c r="AX151" i="62"/>
  <c r="AX156" i="62"/>
  <c r="AX162" i="62"/>
  <c r="AX165" i="62"/>
  <c r="AX174" i="62"/>
  <c r="AX175" i="62"/>
  <c r="AX176" i="62"/>
  <c r="AX177" i="62"/>
  <c r="AX178" i="62"/>
  <c r="AX236" i="62"/>
  <c r="AX242" i="62"/>
  <c r="AX243" i="62"/>
  <c r="AX260" i="62"/>
  <c r="AX53" i="62"/>
  <c r="AX69" i="62"/>
  <c r="AX73" i="62"/>
  <c r="AX74" i="62"/>
  <c r="AX76" i="62"/>
  <c r="AX86" i="62"/>
  <c r="AX120" i="62"/>
  <c r="AX142" i="62"/>
  <c r="AX163" i="62"/>
  <c r="AX172" i="62"/>
  <c r="AX179" i="62"/>
  <c r="AX180" i="62"/>
  <c r="AX181" i="62"/>
  <c r="AX240" i="62"/>
  <c r="AX254" i="62"/>
  <c r="AX278" i="62"/>
  <c r="AX300" i="62"/>
  <c r="AX294" i="62"/>
  <c r="AX292" i="62"/>
  <c r="AX277" i="62"/>
  <c r="AX149" i="62"/>
  <c r="AX133" i="62"/>
  <c r="AX261" i="62"/>
  <c r="AX197" i="62"/>
  <c r="AX123" i="62"/>
  <c r="AX122" i="62"/>
  <c r="AX90" i="62"/>
  <c r="AX61" i="62"/>
  <c r="AX203" i="62"/>
  <c r="AX189" i="62"/>
  <c r="AX183" i="62"/>
  <c r="AX182" i="62"/>
  <c r="AX161" i="62"/>
  <c r="AX113" i="62"/>
  <c r="AX109" i="62"/>
  <c r="AX52" i="62"/>
  <c r="AX49" i="62"/>
  <c r="AX35" i="62"/>
  <c r="AX85" i="62"/>
  <c r="AX84" i="62"/>
  <c r="AX81" i="62"/>
  <c r="AX72" i="62"/>
  <c r="AX64" i="62"/>
  <c r="AX47" i="62"/>
  <c r="AX24" i="62"/>
  <c r="AX56" i="62"/>
  <c r="AX298" i="62"/>
  <c r="AX299" i="62"/>
  <c r="AX291" i="62"/>
  <c r="AX293" i="62"/>
  <c r="AX256" i="62"/>
  <c r="AX241" i="62"/>
  <c r="AX202" i="62"/>
  <c r="AX192" i="62"/>
  <c r="AX154" i="62"/>
  <c r="AX152" i="62"/>
  <c r="AX148" i="62"/>
  <c r="AX145" i="62"/>
  <c r="AX98" i="62"/>
  <c r="AX97" i="62"/>
  <c r="AX94" i="62"/>
  <c r="AX92" i="62"/>
  <c r="AX80" i="62"/>
  <c r="AX70" i="62"/>
  <c r="AX275" i="62"/>
  <c r="AX274" i="62"/>
  <c r="AX262" i="62"/>
  <c r="AX258" i="62"/>
  <c r="AX246" i="62"/>
  <c r="AX206" i="62"/>
  <c r="AX173" i="62"/>
  <c r="AX168" i="62"/>
  <c r="AX129" i="62"/>
  <c r="AX103" i="62"/>
  <c r="AX89" i="62"/>
  <c r="AX114" i="62"/>
  <c r="AX104" i="62"/>
  <c r="AX93" i="62"/>
  <c r="AX33" i="62"/>
  <c r="AX54" i="62"/>
  <c r="AX29" i="62"/>
  <c r="AX20" i="62"/>
  <c r="AX14" i="62"/>
  <c r="AX18" i="62"/>
  <c r="AX15" i="62"/>
  <c r="AX45" i="62"/>
  <c r="AX127" i="62"/>
  <c r="AX119" i="62"/>
  <c r="AX131" i="62"/>
  <c r="AX160" i="62"/>
  <c r="AX115" i="62"/>
  <c r="AX65" i="62"/>
  <c r="AX171" i="62"/>
  <c r="AX239" i="62"/>
  <c r="AX245" i="62"/>
  <c r="AX273" i="62"/>
  <c r="AX144" i="62"/>
  <c r="AX253" i="62"/>
  <c r="AX11" i="62"/>
  <c r="AX23" i="62"/>
  <c r="AX107" i="62"/>
  <c r="AX126" i="62"/>
  <c r="AX132" i="62"/>
  <c r="AX153" i="62"/>
  <c r="AX235" i="62"/>
  <c r="AX130" i="62"/>
  <c r="AX150" i="62"/>
  <c r="AX188" i="62"/>
  <c r="AX279" i="62"/>
  <c r="AX17" i="62"/>
  <c r="AX28" i="62"/>
  <c r="AX87" i="62"/>
  <c r="AX102" i="62"/>
  <c r="AX191" i="62"/>
  <c r="AX79" i="62"/>
  <c r="AX96" i="62"/>
  <c r="AX128" i="62"/>
  <c r="AX140" i="62"/>
  <c r="AX198" i="62"/>
  <c r="AX290" i="62"/>
  <c r="AX296" i="62"/>
  <c r="AX196" i="62"/>
  <c r="AX139" i="62"/>
  <c r="AX187" i="62"/>
  <c r="AX118" i="62"/>
  <c r="AX147" i="62"/>
  <c r="AX271" i="62"/>
  <c r="AX63" i="62"/>
  <c r="AX288" i="62"/>
  <c r="AX9" i="62"/>
  <c r="AX185" i="62"/>
  <c r="AX138" i="62"/>
  <c r="BB7" i="62"/>
  <c r="AY26" i="62"/>
  <c r="BC7" i="62"/>
  <c r="AY32" i="62"/>
  <c r="AY38" i="62"/>
  <c r="AY46" i="62"/>
  <c r="AY48" i="62"/>
  <c r="AY50" i="62"/>
  <c r="AY53" i="62"/>
  <c r="AY55" i="62"/>
  <c r="AY36" i="62"/>
  <c r="AY47" i="62"/>
  <c r="AY49" i="62"/>
  <c r="AY60" i="62"/>
  <c r="AY66" i="62"/>
  <c r="AY69" i="62"/>
  <c r="AY73" i="62"/>
  <c r="AY76" i="62"/>
  <c r="AY105" i="62"/>
  <c r="AY117" i="62"/>
  <c r="AY119" i="62"/>
  <c r="AY120" i="62"/>
  <c r="AY121" i="62"/>
  <c r="AY7" i="62"/>
  <c r="AY70" i="62"/>
  <c r="AY80" i="62"/>
  <c r="AY89" i="62"/>
  <c r="AY90" i="62"/>
  <c r="AY92" i="62"/>
  <c r="AY94" i="62"/>
  <c r="AY97" i="62"/>
  <c r="AY98" i="62"/>
  <c r="AY100" i="62"/>
  <c r="AY122" i="62"/>
  <c r="AY128" i="62"/>
  <c r="AY139" i="62"/>
  <c r="AY140" i="62"/>
  <c r="AY141" i="62"/>
  <c r="AY142" i="62"/>
  <c r="AY163" i="62"/>
  <c r="AY220" i="62"/>
  <c r="AY225" i="62"/>
  <c r="AY230" i="62"/>
  <c r="AY234" i="62"/>
  <c r="AY255" i="62"/>
  <c r="AY260" i="62"/>
  <c r="AY265" i="62"/>
  <c r="AY18" i="62"/>
  <c r="AY29" i="62"/>
  <c r="AY30" i="62"/>
  <c r="AY81" i="62"/>
  <c r="AY85" i="62"/>
  <c r="AY124" i="62"/>
  <c r="AY145" i="62"/>
  <c r="AY152" i="62"/>
  <c r="AY154" i="62"/>
  <c r="AY164" i="62"/>
  <c r="AY167" i="62"/>
  <c r="AY192" i="62"/>
  <c r="AY200" i="62"/>
  <c r="AY202" i="62"/>
  <c r="AY204" i="62"/>
  <c r="AY209" i="62"/>
  <c r="AY227" i="62"/>
  <c r="AY228" i="62"/>
  <c r="AY229" i="62"/>
  <c r="AY231" i="62"/>
  <c r="AY241" i="62"/>
  <c r="AY256" i="62"/>
  <c r="AY259" i="62"/>
  <c r="AY278" i="62"/>
  <c r="AY279" i="62"/>
  <c r="AY281" i="62"/>
  <c r="AY284" i="62"/>
  <c r="AY15" i="62"/>
  <c r="AY45" i="62"/>
  <c r="AY54" i="62"/>
  <c r="AY72" i="62"/>
  <c r="AY83" i="62"/>
  <c r="AY84" i="62"/>
  <c r="AY93" i="62"/>
  <c r="AY104" i="62"/>
  <c r="AY131" i="62"/>
  <c r="AY133" i="62"/>
  <c r="AY149" i="62"/>
  <c r="AY157" i="62"/>
  <c r="AY161" i="62"/>
  <c r="AY166" i="62"/>
  <c r="AY168" i="62"/>
  <c r="AY189" i="62"/>
  <c r="AY193" i="62"/>
  <c r="AY199" i="62"/>
  <c r="AY203" i="62"/>
  <c r="AY206" i="62"/>
  <c r="AY226" i="62"/>
  <c r="AY233" i="62"/>
  <c r="AY250" i="62"/>
  <c r="AY258" i="62"/>
  <c r="AY264" i="62"/>
  <c r="AY266" i="62"/>
  <c r="AY273" i="62"/>
  <c r="AY275" i="62"/>
  <c r="AY280" i="62"/>
  <c r="AY285" i="62"/>
  <c r="AY286" i="62"/>
  <c r="AY294" i="62"/>
  <c r="AY292" i="62"/>
  <c r="AY291" i="62"/>
  <c r="AY251" i="62"/>
  <c r="AY300" i="62"/>
  <c r="AY269" i="62"/>
  <c r="AY254" i="62"/>
  <c r="AY211" i="62"/>
  <c r="AY179" i="62"/>
  <c r="AY153" i="62"/>
  <c r="AY144" i="62"/>
  <c r="AY132" i="62"/>
  <c r="AY109" i="62"/>
  <c r="AY56" i="62"/>
  <c r="AY247" i="62"/>
  <c r="AY210" i="62"/>
  <c r="AY148" i="62"/>
  <c r="AY123" i="62"/>
  <c r="AY96" i="62"/>
  <c r="AY91" i="62"/>
  <c r="AY74" i="62"/>
  <c r="AY37" i="62"/>
  <c r="AY110" i="62"/>
  <c r="AY108" i="62"/>
  <c r="AY67" i="62"/>
  <c r="AY39" i="62"/>
  <c r="AY25" i="62"/>
  <c r="AY12" i="62"/>
  <c r="AY59" i="62"/>
  <c r="AY293" i="62"/>
  <c r="AY239" i="62"/>
  <c r="AY194" i="62"/>
  <c r="AY165" i="62"/>
  <c r="AY162" i="62"/>
  <c r="AY127" i="62"/>
  <c r="AY103" i="62"/>
  <c r="AY201" i="62"/>
  <c r="AY158" i="62"/>
  <c r="AY151" i="62"/>
  <c r="AY150" i="62"/>
  <c r="AY138" i="62"/>
  <c r="AY87" i="62"/>
  <c r="AY79" i="62"/>
  <c r="AY77" i="62"/>
  <c r="AY75" i="62"/>
  <c r="AY33" i="62"/>
  <c r="AY17" i="62"/>
  <c r="AY99" i="62"/>
  <c r="AY82" i="62"/>
  <c r="AY68" i="62"/>
  <c r="AY42" i="62"/>
  <c r="AY215" i="62"/>
  <c r="AY58" i="62"/>
  <c r="AY65" i="62"/>
  <c r="AY35" i="62"/>
  <c r="AY115" i="62"/>
  <c r="AY41" i="62"/>
  <c r="AY62" i="62"/>
  <c r="AY102" i="62"/>
  <c r="AY107" i="62"/>
  <c r="AY173" i="62"/>
  <c r="AY182" i="62"/>
  <c r="AY208" i="62"/>
  <c r="AY212" i="62"/>
  <c r="AY221" i="62"/>
  <c r="AY223" i="62"/>
  <c r="AY253" i="62"/>
  <c r="AY277" i="62"/>
  <c r="AY282" i="62"/>
  <c r="AY52" i="62"/>
  <c r="AY61" i="62"/>
  <c r="AY130" i="62"/>
  <c r="AY183" i="62"/>
  <c r="AY190" i="62"/>
  <c r="AY246" i="62"/>
  <c r="AY156" i="62"/>
  <c r="AY222" i="62"/>
  <c r="AY224" i="62"/>
  <c r="AY261" i="62"/>
  <c r="AY40" i="62"/>
  <c r="AY28" i="62"/>
  <c r="AY24" i="62"/>
  <c r="AY113" i="62"/>
  <c r="AY114" i="62"/>
  <c r="AY268" i="62"/>
  <c r="AY271" i="62"/>
  <c r="AY274" i="62"/>
  <c r="AY283" i="62"/>
  <c r="AY43" i="62"/>
  <c r="AY126" i="62"/>
  <c r="AY147" i="62"/>
  <c r="AY198" i="62"/>
  <c r="AY290" i="62"/>
  <c r="AY11" i="62"/>
  <c r="AY160" i="62"/>
  <c r="AY240" i="62"/>
  <c r="AY242" i="62"/>
  <c r="AY243" i="62"/>
  <c r="AY298" i="62"/>
  <c r="AY188" i="62"/>
  <c r="AY136" i="62"/>
  <c r="AY299" i="62"/>
  <c r="AY219" i="62"/>
  <c r="AY217" i="62"/>
  <c r="AY214" i="62"/>
  <c r="AY235" i="62"/>
  <c r="AY196" i="62"/>
  <c r="AY213" i="62"/>
  <c r="AY178" i="62"/>
  <c r="AY177" i="62"/>
  <c r="AY176" i="62"/>
  <c r="AY175" i="62"/>
  <c r="AY174" i="62"/>
  <c r="AY218" i="62"/>
  <c r="AY216" i="62"/>
  <c r="AY236" i="62"/>
  <c r="AY63" i="62"/>
  <c r="AY245" i="62"/>
  <c r="AY171" i="62"/>
  <c r="AY191" i="62"/>
  <c r="AY296" i="62"/>
  <c r="AY9" i="62"/>
  <c r="AY288" i="62"/>
  <c r="AY23" i="62"/>
  <c r="AY118" i="62"/>
  <c r="AY262" i="62"/>
  <c r="AY187" i="62"/>
  <c r="AL7" i="63" l="1"/>
  <c r="I12" i="42" l="1"/>
  <c r="I14" i="42"/>
  <c r="G163" i="42" l="1"/>
  <c r="G88" i="42"/>
  <c r="AJ299" i="23"/>
  <c r="AD88" i="23"/>
  <c r="P263" i="23"/>
  <c r="E103" i="43" l="1"/>
  <c r="E47" i="43"/>
  <c r="K119" i="42" l="1"/>
  <c r="K114" i="42" s="1"/>
  <c r="I110" i="43"/>
  <c r="I55" i="43"/>
  <c r="G158" i="42" l="1"/>
  <c r="H25" i="23"/>
  <c r="G159" i="42"/>
  <c r="M125" i="42" l="1"/>
  <c r="E164" i="43" l="1"/>
  <c r="I145" i="42" l="1"/>
  <c r="M163" i="42" l="1"/>
  <c r="M160" i="42"/>
  <c r="M158" i="42"/>
  <c r="I163" i="42"/>
  <c r="H162" i="42"/>
  <c r="H158" i="42"/>
  <c r="F299" i="23"/>
  <c r="F297" i="23" s="1"/>
  <c r="F295" i="23" s="1"/>
  <c r="G160" i="42"/>
  <c r="G131" i="42" s="1"/>
  <c r="G113" i="42" s="1"/>
  <c r="AH282" i="23"/>
  <c r="E282" i="23" s="1"/>
  <c r="AQ196" i="23"/>
  <c r="AP196" i="23"/>
  <c r="AO196" i="23"/>
  <c r="AN196" i="23"/>
  <c r="AL196" i="23"/>
  <c r="AJ196" i="23"/>
  <c r="AI196" i="23"/>
  <c r="AH196" i="23"/>
  <c r="AG196" i="23"/>
  <c r="AE196" i="23"/>
  <c r="AD196" i="23"/>
  <c r="AC196" i="23"/>
  <c r="AB196" i="23"/>
  <c r="AA196" i="23"/>
  <c r="Y196" i="23"/>
  <c r="X196" i="23"/>
  <c r="W196" i="23"/>
  <c r="V196" i="23"/>
  <c r="U196" i="23"/>
  <c r="T196" i="23"/>
  <c r="S196" i="23"/>
  <c r="R196" i="23"/>
  <c r="Q196" i="23"/>
  <c r="P196" i="23"/>
  <c r="O196" i="23"/>
  <c r="N196" i="23"/>
  <c r="M196" i="23"/>
  <c r="L196" i="23"/>
  <c r="K196" i="23"/>
  <c r="J196" i="23"/>
  <c r="I196" i="23"/>
  <c r="H196" i="23"/>
  <c r="G196" i="23"/>
  <c r="E299" i="23"/>
  <c r="E297" i="23" s="1"/>
  <c r="E295" i="23" s="1"/>
  <c r="E293" i="23"/>
  <c r="E289" i="23" s="1"/>
  <c r="E283" i="23"/>
  <c r="E281" i="23"/>
  <c r="E280" i="23"/>
  <c r="E279" i="23"/>
  <c r="E278" i="23"/>
  <c r="E273" i="23"/>
  <c r="E271" i="23" s="1"/>
  <c r="E267" i="23"/>
  <c r="E266" i="23" s="1"/>
  <c r="E264" i="23"/>
  <c r="E263" i="23"/>
  <c r="E259" i="23"/>
  <c r="E255" i="23"/>
  <c r="E254" i="23"/>
  <c r="E250" i="23"/>
  <c r="E248" i="23" s="1"/>
  <c r="E242" i="23"/>
  <c r="E240" i="23" s="1"/>
  <c r="E235" i="23"/>
  <c r="E234" i="23" s="1"/>
  <c r="E232" i="23"/>
  <c r="E231" i="23"/>
  <c r="E230" i="23"/>
  <c r="E229" i="23"/>
  <c r="E228" i="23"/>
  <c r="E227" i="23"/>
  <c r="E226" i="23"/>
  <c r="E225" i="23"/>
  <c r="E224" i="23"/>
  <c r="E223" i="23"/>
  <c r="E222" i="23"/>
  <c r="E221" i="23"/>
  <c r="E220" i="23"/>
  <c r="E219" i="23"/>
  <c r="E218" i="23"/>
  <c r="E217" i="23"/>
  <c r="E216" i="23"/>
  <c r="E215" i="23"/>
  <c r="E214" i="23"/>
  <c r="E213" i="23"/>
  <c r="E212" i="23"/>
  <c r="E211" i="23"/>
  <c r="E210" i="23"/>
  <c r="E208" i="23"/>
  <c r="E207" i="23"/>
  <c r="E204" i="23"/>
  <c r="E203" i="23"/>
  <c r="E202" i="23"/>
  <c r="E201" i="23"/>
  <c r="E200" i="23"/>
  <c r="E199" i="23"/>
  <c r="E198" i="23"/>
  <c r="E197" i="23"/>
  <c r="E191" i="23"/>
  <c r="E190" i="23"/>
  <c r="E189" i="23"/>
  <c r="E188" i="23"/>
  <c r="E187" i="23"/>
  <c r="E176" i="23"/>
  <c r="E170" i="23" s="1"/>
  <c r="E168" i="23" s="1"/>
  <c r="E165" i="23"/>
  <c r="E164" i="23"/>
  <c r="E163" i="23"/>
  <c r="E162" i="23"/>
  <c r="E161" i="23"/>
  <c r="E160" i="23"/>
  <c r="E159" i="23"/>
  <c r="E158" i="23"/>
  <c r="E155" i="23"/>
  <c r="E154" i="23"/>
  <c r="E151" i="23"/>
  <c r="E150" i="23"/>
  <c r="E149" i="23"/>
  <c r="E148" i="23"/>
  <c r="E147" i="23"/>
  <c r="E146" i="23"/>
  <c r="E142" i="23"/>
  <c r="E141" i="23" s="1"/>
  <c r="E139" i="23"/>
  <c r="E137" i="23"/>
  <c r="E136" i="23"/>
  <c r="E131" i="23"/>
  <c r="E130" i="23"/>
  <c r="E129" i="23"/>
  <c r="E126" i="23"/>
  <c r="E125" i="23"/>
  <c r="E122" i="23"/>
  <c r="E121" i="23"/>
  <c r="E120" i="23"/>
  <c r="E119" i="23"/>
  <c r="E118" i="23"/>
  <c r="E117" i="23"/>
  <c r="E116" i="23"/>
  <c r="E115" i="23"/>
  <c r="E107" i="23"/>
  <c r="E106" i="23"/>
  <c r="E103" i="23"/>
  <c r="E102" i="23"/>
  <c r="E101" i="23"/>
  <c r="E89" i="23"/>
  <c r="E92" i="23"/>
  <c r="E91" i="23"/>
  <c r="E90" i="23"/>
  <c r="E86" i="23"/>
  <c r="E83" i="23"/>
  <c r="E82" i="23"/>
  <c r="E81" i="23"/>
  <c r="E80" i="23"/>
  <c r="E79" i="23"/>
  <c r="E78" i="23"/>
  <c r="E75" i="23"/>
  <c r="E74" i="23"/>
  <c r="E73" i="23"/>
  <c r="E72" i="23"/>
  <c r="E68" i="23"/>
  <c r="E67" i="23"/>
  <c r="E66" i="23"/>
  <c r="E65" i="23"/>
  <c r="E64" i="23"/>
  <c r="E54" i="23"/>
  <c r="E53" i="23"/>
  <c r="E52" i="23"/>
  <c r="E51" i="23"/>
  <c r="E48" i="23"/>
  <c r="E47" i="23"/>
  <c r="E46" i="23"/>
  <c r="E45" i="23"/>
  <c r="E44" i="23"/>
  <c r="E36" i="23"/>
  <c r="E33" i="23"/>
  <c r="E32" i="23"/>
  <c r="E30" i="23"/>
  <c r="E29" i="23"/>
  <c r="E26" i="23"/>
  <c r="E25" i="23"/>
  <c r="E21" i="23"/>
  <c r="E20" i="23"/>
  <c r="E19" i="23"/>
  <c r="E18" i="23"/>
  <c r="E13" i="23"/>
  <c r="E14" i="23"/>
  <c r="E15" i="23"/>
  <c r="E12" i="23"/>
  <c r="E156" i="42"/>
  <c r="D158" i="43"/>
  <c r="G158" i="43"/>
  <c r="E145" i="42"/>
  <c r="J129" i="42"/>
  <c r="J128" i="42"/>
  <c r="J127" i="42"/>
  <c r="J126" i="42"/>
  <c r="I107" i="42"/>
  <c r="I159" i="42" s="1"/>
  <c r="M107" i="42"/>
  <c r="J107" i="42" s="1"/>
  <c r="M109" i="42"/>
  <c r="I88" i="42"/>
  <c r="I162" i="42" s="1"/>
  <c r="I78" i="42"/>
  <c r="J78" i="42"/>
  <c r="J76" i="42" s="1"/>
  <c r="M76" i="42"/>
  <c r="M14" i="42" s="1"/>
  <c r="K76" i="42"/>
  <c r="I76" i="42"/>
  <c r="K74" i="42"/>
  <c r="K56" i="42"/>
  <c r="J56" i="42" s="1"/>
  <c r="K52" i="42"/>
  <c r="K50" i="42"/>
  <c r="I32" i="42"/>
  <c r="G32" i="42"/>
  <c r="E34" i="42"/>
  <c r="E33" i="42"/>
  <c r="E35" i="42"/>
  <c r="K23" i="42"/>
  <c r="AL256" i="23"/>
  <c r="E256" i="23" s="1"/>
  <c r="I76" i="43"/>
  <c r="AL88" i="23"/>
  <c r="AL87" i="23"/>
  <c r="J38" i="42"/>
  <c r="E38" i="42" s="1"/>
  <c r="K32" i="42"/>
  <c r="H37" i="42"/>
  <c r="E43" i="23" l="1"/>
  <c r="E50" i="23"/>
  <c r="E77" i="23"/>
  <c r="E113" i="23"/>
  <c r="E128" i="23"/>
  <c r="E37" i="42"/>
  <c r="H159" i="42"/>
  <c r="H131" i="42" s="1"/>
  <c r="G122" i="42"/>
  <c r="I158" i="42"/>
  <c r="I131" i="42" s="1"/>
  <c r="I122" i="42" s="1"/>
  <c r="I113" i="42" s="1"/>
  <c r="E11" i="23"/>
  <c r="E24" i="23"/>
  <c r="E28" i="23"/>
  <c r="E63" i="23"/>
  <c r="E100" i="23"/>
  <c r="E105" i="23"/>
  <c r="E124" i="23"/>
  <c r="E153" i="23"/>
  <c r="E157" i="23"/>
  <c r="E209" i="23"/>
  <c r="E253" i="23"/>
  <c r="E206" i="23"/>
  <c r="E17" i="23"/>
  <c r="E262" i="23"/>
  <c r="M106" i="42"/>
  <c r="I84" i="42"/>
  <c r="M159" i="42"/>
  <c r="M131" i="42" s="1"/>
  <c r="M122" i="42" s="1"/>
  <c r="E35" i="23"/>
  <c r="E196" i="23"/>
  <c r="E78" i="42"/>
  <c r="E56" i="42"/>
  <c r="K53" i="42"/>
  <c r="K21" i="42"/>
  <c r="I10" i="42" l="1"/>
  <c r="I8" i="42" s="1"/>
  <c r="E23" i="23"/>
  <c r="AL186" i="23" l="1"/>
  <c r="E186" i="23" s="1"/>
  <c r="F119" i="23" l="1"/>
  <c r="F120" i="23"/>
  <c r="F121" i="23"/>
  <c r="F122" i="23"/>
  <c r="S260" i="23" l="1"/>
  <c r="E260" i="23" s="1"/>
  <c r="E258" i="23" s="1"/>
  <c r="E246" i="23" s="1"/>
  <c r="G83" i="43" l="1"/>
  <c r="C27" i="43" l="1"/>
  <c r="H27" i="43"/>
  <c r="H24" i="43" s="1"/>
  <c r="E46" i="43"/>
  <c r="D76" i="43"/>
  <c r="D60" i="43"/>
  <c r="D61" i="43"/>
  <c r="D62" i="43"/>
  <c r="D63" i="43"/>
  <c r="D64" i="43"/>
  <c r="D65" i="43"/>
  <c r="D66" i="43"/>
  <c r="J58" i="43"/>
  <c r="I58" i="43"/>
  <c r="J57" i="43"/>
  <c r="I57" i="43"/>
  <c r="F20" i="23"/>
  <c r="F21" i="23"/>
  <c r="AQ277" i="23"/>
  <c r="E277" i="23" s="1"/>
  <c r="AQ276" i="23"/>
  <c r="E276" i="23" s="1"/>
  <c r="AQ88" i="23"/>
  <c r="E88" i="23" s="1"/>
  <c r="AQ87" i="23"/>
  <c r="E87" i="23" s="1"/>
  <c r="J80" i="43"/>
  <c r="J79" i="43" s="1"/>
  <c r="AG157" i="23"/>
  <c r="C37" i="42" l="1"/>
  <c r="E85" i="23"/>
  <c r="E275" i="23"/>
  <c r="E269" i="23" s="1"/>
  <c r="R113" i="23"/>
  <c r="G138" i="23" l="1"/>
  <c r="E138" i="23" s="1"/>
  <c r="E135" i="23" s="1"/>
  <c r="E102" i="43" l="1"/>
  <c r="D106" i="43"/>
  <c r="C106" i="43" s="1"/>
  <c r="D107" i="43"/>
  <c r="C107" i="43" s="1"/>
  <c r="D108" i="43"/>
  <c r="C108" i="43" s="1"/>
  <c r="E101" i="43" l="1"/>
  <c r="D50" i="43"/>
  <c r="C50" i="43" s="1"/>
  <c r="J146" i="43"/>
  <c r="J143" i="43" s="1"/>
  <c r="AQ192" i="23"/>
  <c r="E192" i="23" s="1"/>
  <c r="E185" i="23" s="1"/>
  <c r="E184" i="23" s="1"/>
  <c r="E182" i="23" s="1"/>
  <c r="J75" i="43"/>
  <c r="D75" i="43" s="1"/>
  <c r="G146" i="43" l="1"/>
  <c r="E59" i="43"/>
  <c r="D59" i="43" s="1"/>
  <c r="D58" i="43" s="1"/>
  <c r="D57" i="43" s="1"/>
  <c r="E38" i="43"/>
  <c r="E37" i="43" s="1"/>
  <c r="F26" i="43" l="1"/>
  <c r="F24" i="43" s="1"/>
  <c r="I24" i="43"/>
  <c r="Z12" i="23"/>
  <c r="Z13" i="23"/>
  <c r="Z14" i="23"/>
  <c r="Z15" i="23"/>
  <c r="Z25" i="23"/>
  <c r="Z26" i="23"/>
  <c r="C158" i="43"/>
  <c r="C19" i="43"/>
  <c r="D22" i="43"/>
  <c r="C22" i="43" s="1"/>
  <c r="D25" i="43"/>
  <c r="C25" i="43" s="1"/>
  <c r="D26" i="43"/>
  <c r="C26" i="43" s="1"/>
  <c r="G30" i="43"/>
  <c r="G29" i="43" s="1"/>
  <c r="D38" i="43"/>
  <c r="D39" i="43"/>
  <c r="C39" i="43" s="1"/>
  <c r="D43" i="43"/>
  <c r="C43" i="43" s="1"/>
  <c r="D44" i="43"/>
  <c r="C44" i="43" s="1"/>
  <c r="D47" i="43"/>
  <c r="D49" i="43"/>
  <c r="C49" i="43" s="1"/>
  <c r="C55" i="43"/>
  <c r="C59" i="43"/>
  <c r="C66" i="43"/>
  <c r="C64" i="42" s="1"/>
  <c r="D83" i="43"/>
  <c r="C83" i="43" s="1"/>
  <c r="D97" i="43"/>
  <c r="C110" i="43"/>
  <c r="D103" i="43"/>
  <c r="C103" i="43" s="1"/>
  <c r="D105" i="43"/>
  <c r="C105" i="43" s="1"/>
  <c r="D115" i="43"/>
  <c r="C115" i="43" s="1"/>
  <c r="D146" i="43"/>
  <c r="C146" i="43" s="1"/>
  <c r="D153" i="43"/>
  <c r="C153" i="43" s="1"/>
  <c r="D156" i="43"/>
  <c r="C156" i="43" s="1"/>
  <c r="D157" i="43"/>
  <c r="C157" i="43" s="1"/>
  <c r="D159" i="43"/>
  <c r="C159" i="43" s="1"/>
  <c r="D160" i="43"/>
  <c r="C160" i="43" s="1"/>
  <c r="D162" i="43"/>
  <c r="C162" i="43" s="1"/>
  <c r="D166" i="43"/>
  <c r="C166" i="43" s="1"/>
  <c r="D164" i="43"/>
  <c r="C164" i="43" s="1"/>
  <c r="D161" i="43"/>
  <c r="D24" i="43"/>
  <c r="I18" i="43"/>
  <c r="I36" i="43"/>
  <c r="I46" i="43"/>
  <c r="I74" i="43"/>
  <c r="I73" i="43" s="1"/>
  <c r="I102" i="43"/>
  <c r="I101" i="43" s="1"/>
  <c r="I100" i="43" s="1"/>
  <c r="I93" i="43" s="1"/>
  <c r="I125" i="43"/>
  <c r="I123" i="43" s="1"/>
  <c r="E144" i="42"/>
  <c r="E129" i="42"/>
  <c r="B156" i="42"/>
  <c r="I148" i="43"/>
  <c r="I142" i="43" s="1"/>
  <c r="D165" i="43"/>
  <c r="C165" i="43" s="1"/>
  <c r="E36" i="43"/>
  <c r="E58" i="43"/>
  <c r="E57" i="43" s="1"/>
  <c r="G21" i="43"/>
  <c r="G24" i="43"/>
  <c r="G80" i="43"/>
  <c r="G79" i="43" s="1"/>
  <c r="E74" i="43"/>
  <c r="E73" i="43" s="1"/>
  <c r="E80" i="43"/>
  <c r="E79" i="43" s="1"/>
  <c r="E24" i="43"/>
  <c r="J74" i="43"/>
  <c r="J73" i="43" s="1"/>
  <c r="J148" i="43"/>
  <c r="J142" i="43" s="1"/>
  <c r="J113" i="43"/>
  <c r="J112" i="43" s="1"/>
  <c r="G148" i="43"/>
  <c r="G143" i="43"/>
  <c r="G96" i="43"/>
  <c r="G94" i="43" s="1"/>
  <c r="G113" i="43"/>
  <c r="G112" i="43" s="1"/>
  <c r="E148" i="43"/>
  <c r="E143" i="43"/>
  <c r="E100" i="43"/>
  <c r="G46" i="42"/>
  <c r="G53" i="42"/>
  <c r="G60" i="42"/>
  <c r="G76" i="42"/>
  <c r="G92" i="42"/>
  <c r="G87" i="42"/>
  <c r="G70" i="42"/>
  <c r="AM189" i="23"/>
  <c r="AK189" i="23" s="1"/>
  <c r="AM191" i="23"/>
  <c r="AK191" i="23" s="1"/>
  <c r="AM192" i="23"/>
  <c r="AK192" i="23" s="1"/>
  <c r="AL184" i="23"/>
  <c r="AL182" i="23" s="1"/>
  <c r="AM190" i="23"/>
  <c r="AK190" i="23" s="1"/>
  <c r="AQ185" i="23"/>
  <c r="M60" i="42"/>
  <c r="M47" i="42"/>
  <c r="M54" i="42"/>
  <c r="M53" i="42" s="1"/>
  <c r="M21" i="42"/>
  <c r="M16" i="42" s="1"/>
  <c r="M70" i="42"/>
  <c r="M92" i="42"/>
  <c r="M87" i="42"/>
  <c r="M84" i="42" s="1"/>
  <c r="M116" i="42"/>
  <c r="M115" i="42" s="1"/>
  <c r="M114" i="42" s="1"/>
  <c r="M113" i="42" s="1"/>
  <c r="J158" i="42"/>
  <c r="E158" i="42" s="1"/>
  <c r="I21" i="42"/>
  <c r="I29" i="42"/>
  <c r="I40" i="42"/>
  <c r="I53" i="42"/>
  <c r="I60" i="42"/>
  <c r="I70" i="42"/>
  <c r="H32" i="42"/>
  <c r="H21" i="42"/>
  <c r="H60" i="42"/>
  <c r="H53" i="42"/>
  <c r="H70" i="42"/>
  <c r="J125" i="42"/>
  <c r="E125" i="42" s="1"/>
  <c r="E128" i="42"/>
  <c r="J137" i="42"/>
  <c r="E137" i="42" s="1"/>
  <c r="J139" i="42"/>
  <c r="E139" i="42" s="1"/>
  <c r="J146" i="42"/>
  <c r="E146" i="42" s="1"/>
  <c r="J147" i="42"/>
  <c r="E147" i="42" s="1"/>
  <c r="J149" i="42"/>
  <c r="E149" i="42" s="1"/>
  <c r="E150" i="42"/>
  <c r="J151" i="42"/>
  <c r="E151" i="42" s="1"/>
  <c r="J153" i="42"/>
  <c r="E153" i="42" s="1"/>
  <c r="J155" i="42"/>
  <c r="E155" i="42" s="1"/>
  <c r="J157" i="42"/>
  <c r="E157" i="42" s="1"/>
  <c r="J160" i="42"/>
  <c r="J161" i="42"/>
  <c r="E161" i="42" s="1"/>
  <c r="E162" i="42"/>
  <c r="J163" i="42"/>
  <c r="F218" i="23"/>
  <c r="AF218" i="23"/>
  <c r="AM218" i="23"/>
  <c r="AK218" i="23" s="1"/>
  <c r="F225" i="23"/>
  <c r="AF225" i="23"/>
  <c r="AM225" i="23"/>
  <c r="AK225" i="23" s="1"/>
  <c r="AF227" i="23"/>
  <c r="D227" i="23" s="1"/>
  <c r="AF228" i="23"/>
  <c r="D228" i="23" s="1"/>
  <c r="AF229" i="23"/>
  <c r="D229" i="23" s="1"/>
  <c r="AF226" i="23"/>
  <c r="AF230" i="23"/>
  <c r="D230" i="23" s="1"/>
  <c r="AF208" i="23"/>
  <c r="AF232" i="23"/>
  <c r="J100" i="42"/>
  <c r="E100" i="42" s="1"/>
  <c r="E107" i="42"/>
  <c r="J52" i="42"/>
  <c r="E52" i="42" s="1"/>
  <c r="J57" i="42"/>
  <c r="J64" i="42"/>
  <c r="E64" i="42" s="1"/>
  <c r="E90" i="42"/>
  <c r="J88" i="42"/>
  <c r="E88" i="42" s="1"/>
  <c r="J89" i="42"/>
  <c r="E89" i="42" s="1"/>
  <c r="C97" i="43"/>
  <c r="K16" i="42"/>
  <c r="J22" i="42"/>
  <c r="E22" i="42" s="1"/>
  <c r="F18" i="23"/>
  <c r="AM18" i="23"/>
  <c r="AK18" i="23" s="1"/>
  <c r="F12" i="23"/>
  <c r="AF12" i="23"/>
  <c r="AM12" i="23"/>
  <c r="AK12" i="23" s="1"/>
  <c r="F15" i="23"/>
  <c r="AF15" i="23"/>
  <c r="AM15" i="23"/>
  <c r="AK15" i="23" s="1"/>
  <c r="F13" i="23"/>
  <c r="AF13" i="23"/>
  <c r="AM13" i="23"/>
  <c r="AK13" i="23" s="1"/>
  <c r="F14" i="23"/>
  <c r="AF14" i="23"/>
  <c r="AM14" i="23"/>
  <c r="AK14" i="23" s="1"/>
  <c r="F25" i="23"/>
  <c r="AF25" i="23"/>
  <c r="AM25" i="23"/>
  <c r="AK25" i="23" s="1"/>
  <c r="F26" i="23"/>
  <c r="AF26" i="23"/>
  <c r="AM26" i="23"/>
  <c r="AK26" i="23" s="1"/>
  <c r="F30" i="23"/>
  <c r="Z30" i="23"/>
  <c r="Z28" i="23" s="1"/>
  <c r="AF30" i="23"/>
  <c r="F29" i="23"/>
  <c r="Z29" i="23"/>
  <c r="AF29" i="23"/>
  <c r="AM29" i="23"/>
  <c r="AK29" i="23" s="1"/>
  <c r="F32" i="23"/>
  <c r="Z32" i="23"/>
  <c r="AF32" i="23"/>
  <c r="AM32" i="23"/>
  <c r="AK32" i="23" s="1"/>
  <c r="F33" i="23"/>
  <c r="Z33" i="23"/>
  <c r="AF33" i="23"/>
  <c r="AM33" i="23"/>
  <c r="AK33" i="23" s="1"/>
  <c r="F36" i="23"/>
  <c r="Z36" i="23"/>
  <c r="AF36" i="23"/>
  <c r="AM36" i="23"/>
  <c r="AK36" i="23" s="1"/>
  <c r="F44" i="23"/>
  <c r="Z44" i="23"/>
  <c r="AF44" i="23"/>
  <c r="AM44" i="23"/>
  <c r="AK44" i="23" s="1"/>
  <c r="F45" i="23"/>
  <c r="Z45" i="23"/>
  <c r="AF45" i="23"/>
  <c r="AM45" i="23"/>
  <c r="AK45" i="23" s="1"/>
  <c r="F46" i="23"/>
  <c r="Z46" i="23"/>
  <c r="AF46" i="23"/>
  <c r="AM46" i="23"/>
  <c r="AK46" i="23" s="1"/>
  <c r="F47" i="23"/>
  <c r="Z47" i="23"/>
  <c r="AF47" i="23"/>
  <c r="AM47" i="23"/>
  <c r="AK47" i="23" s="1"/>
  <c r="F48" i="23"/>
  <c r="Z48" i="23"/>
  <c r="AF48" i="23"/>
  <c r="AM48" i="23"/>
  <c r="AK48" i="23" s="1"/>
  <c r="F51" i="23"/>
  <c r="Z51" i="23"/>
  <c r="AF51" i="23"/>
  <c r="AM51" i="23"/>
  <c r="AK51" i="23" s="1"/>
  <c r="F52" i="23"/>
  <c r="Z52" i="23"/>
  <c r="AF52" i="23"/>
  <c r="AM52" i="23"/>
  <c r="AK52" i="23" s="1"/>
  <c r="F53" i="23"/>
  <c r="Z53" i="23"/>
  <c r="AF53" i="23"/>
  <c r="AM53" i="23"/>
  <c r="AK53" i="23" s="1"/>
  <c r="F54" i="23"/>
  <c r="Z54" i="23"/>
  <c r="AF54" i="23"/>
  <c r="AM54" i="23"/>
  <c r="AK54" i="23" s="1"/>
  <c r="Z80" i="23"/>
  <c r="F80" i="23"/>
  <c r="AF80" i="23"/>
  <c r="AM80" i="23"/>
  <c r="AK80" i="23" s="1"/>
  <c r="F82" i="23"/>
  <c r="F78" i="23"/>
  <c r="Z78" i="23"/>
  <c r="AM78" i="23"/>
  <c r="AK78" i="23" s="1"/>
  <c r="F79" i="23"/>
  <c r="Z79" i="23"/>
  <c r="AM79" i="23"/>
  <c r="AK79" i="23" s="1"/>
  <c r="F81" i="23"/>
  <c r="F83" i="23"/>
  <c r="AC71" i="23"/>
  <c r="AC70" i="23" s="1"/>
  <c r="AD71" i="23"/>
  <c r="AE71" i="23"/>
  <c r="AE70" i="23" s="1"/>
  <c r="F71" i="23"/>
  <c r="F72" i="23"/>
  <c r="F73" i="23"/>
  <c r="AM73" i="23"/>
  <c r="AK73" i="23" s="1"/>
  <c r="F74" i="23"/>
  <c r="AM74" i="23"/>
  <c r="AK74" i="23" s="1"/>
  <c r="F75" i="23"/>
  <c r="F89" i="23"/>
  <c r="Z89" i="23"/>
  <c r="AF89" i="23"/>
  <c r="AM89" i="23"/>
  <c r="AK89" i="23" s="1"/>
  <c r="F90" i="23"/>
  <c r="Z90" i="23"/>
  <c r="AF90" i="23"/>
  <c r="F87" i="23"/>
  <c r="Z87" i="23"/>
  <c r="AF87" i="23"/>
  <c r="AM87" i="23"/>
  <c r="AK87" i="23" s="1"/>
  <c r="F88" i="23"/>
  <c r="Z88" i="23"/>
  <c r="AF88" i="23"/>
  <c r="AM88" i="23"/>
  <c r="AK88" i="23" s="1"/>
  <c r="F91" i="23"/>
  <c r="AF91" i="23"/>
  <c r="AM91" i="23"/>
  <c r="AK91" i="23" s="1"/>
  <c r="F92" i="23"/>
  <c r="AM92" i="23"/>
  <c r="AK92" i="23" s="1"/>
  <c r="Z86" i="23"/>
  <c r="F65" i="23"/>
  <c r="Z65" i="23"/>
  <c r="AM65" i="23"/>
  <c r="AK65" i="23" s="1"/>
  <c r="F64" i="23"/>
  <c r="F66" i="23"/>
  <c r="F67" i="23"/>
  <c r="F68" i="23"/>
  <c r="F96" i="23"/>
  <c r="Z96" i="23"/>
  <c r="AF96" i="23"/>
  <c r="AM96" i="23"/>
  <c r="AK96" i="23" s="1"/>
  <c r="F95" i="23"/>
  <c r="Z95" i="23"/>
  <c r="AF95" i="23"/>
  <c r="AM95" i="23"/>
  <c r="AK95" i="23" s="1"/>
  <c r="F107" i="23"/>
  <c r="Z107" i="23"/>
  <c r="AF107" i="23"/>
  <c r="AM107" i="23"/>
  <c r="AK107" i="23" s="1"/>
  <c r="F106" i="23"/>
  <c r="Z106" i="23"/>
  <c r="AM106" i="23"/>
  <c r="AK106" i="23" s="1"/>
  <c r="AM119" i="23"/>
  <c r="AK119" i="23" s="1"/>
  <c r="Z120" i="23"/>
  <c r="AF120" i="23"/>
  <c r="AM120" i="23"/>
  <c r="AK120" i="23" s="1"/>
  <c r="Z121" i="23"/>
  <c r="AF121" i="23"/>
  <c r="AM121" i="23"/>
  <c r="AK121" i="23" s="1"/>
  <c r="Z122" i="23"/>
  <c r="AF122" i="23"/>
  <c r="AM122" i="23"/>
  <c r="AK122" i="23" s="1"/>
  <c r="F115" i="23"/>
  <c r="F116" i="23"/>
  <c r="F117" i="23"/>
  <c r="F118" i="23"/>
  <c r="F101" i="23"/>
  <c r="AF101" i="23"/>
  <c r="F102" i="23"/>
  <c r="F103" i="23"/>
  <c r="F125" i="23"/>
  <c r="F126" i="23"/>
  <c r="AF126" i="23"/>
  <c r="F129" i="23"/>
  <c r="F130" i="23"/>
  <c r="F131" i="23"/>
  <c r="AL77" i="23"/>
  <c r="AL63" i="23"/>
  <c r="AL70" i="23"/>
  <c r="AL85" i="23"/>
  <c r="AL94" i="23"/>
  <c r="AL100" i="23"/>
  <c r="AL105" i="23"/>
  <c r="AL113" i="23"/>
  <c r="AL170" i="23"/>
  <c r="AL248" i="23"/>
  <c r="AL253" i="23"/>
  <c r="AL258" i="23"/>
  <c r="F249" i="23"/>
  <c r="Z249" i="23"/>
  <c r="AF249" i="23"/>
  <c r="AM249" i="23"/>
  <c r="AK249" i="23" s="1"/>
  <c r="F250" i="23"/>
  <c r="F255" i="23"/>
  <c r="F254" i="23"/>
  <c r="Z254" i="23"/>
  <c r="F256" i="23"/>
  <c r="F260" i="23"/>
  <c r="Z260" i="23"/>
  <c r="AF260" i="23"/>
  <c r="AM260" i="23"/>
  <c r="AK260" i="23" s="1"/>
  <c r="F259" i="23"/>
  <c r="F263" i="23"/>
  <c r="F264" i="23"/>
  <c r="AF264" i="23"/>
  <c r="AM264" i="23"/>
  <c r="AK264" i="23" s="1"/>
  <c r="F267" i="23"/>
  <c r="D31" i="43"/>
  <c r="C31" i="43" s="1"/>
  <c r="H166" i="43"/>
  <c r="D82" i="43"/>
  <c r="C82" i="43" s="1"/>
  <c r="AL240" i="23"/>
  <c r="AL206" i="23"/>
  <c r="AL297" i="23"/>
  <c r="AL295" i="23" s="1"/>
  <c r="AL11" i="23"/>
  <c r="AL17" i="23"/>
  <c r="AL24" i="23"/>
  <c r="AL28" i="23"/>
  <c r="AL35" i="23"/>
  <c r="AL43" i="23"/>
  <c r="AL50" i="23"/>
  <c r="AL135" i="23"/>
  <c r="AL141" i="23"/>
  <c r="AL144" i="23"/>
  <c r="AL153" i="23"/>
  <c r="AL157" i="23"/>
  <c r="AL289" i="23"/>
  <c r="AL287" i="23" s="1"/>
  <c r="R28" i="23"/>
  <c r="S258" i="23"/>
  <c r="Z299" i="23"/>
  <c r="Z297" i="23" s="1"/>
  <c r="Z295" i="23" s="1"/>
  <c r="Z201" i="23"/>
  <c r="Z200" i="23"/>
  <c r="Z242" i="23"/>
  <c r="Z148" i="23"/>
  <c r="Z158" i="23"/>
  <c r="Z160" i="23"/>
  <c r="Z138" i="23"/>
  <c r="Z139" i="23"/>
  <c r="Z154" i="23"/>
  <c r="Z155" i="23"/>
  <c r="AM203" i="23"/>
  <c r="AK203" i="23" s="1"/>
  <c r="F208" i="23"/>
  <c r="D208" i="23" s="1"/>
  <c r="F210" i="23"/>
  <c r="D210" i="23" s="1"/>
  <c r="F211" i="23"/>
  <c r="F212" i="23"/>
  <c r="F213" i="23"/>
  <c r="F214" i="23"/>
  <c r="F215" i="23"/>
  <c r="F216" i="23"/>
  <c r="F217" i="23"/>
  <c r="F219" i="23"/>
  <c r="F220" i="23"/>
  <c r="F221" i="23"/>
  <c r="F222" i="23"/>
  <c r="F223" i="23"/>
  <c r="F224" i="23"/>
  <c r="F226" i="23"/>
  <c r="F198" i="23"/>
  <c r="F199" i="23"/>
  <c r="F200" i="23"/>
  <c r="F202" i="23"/>
  <c r="F203" i="23"/>
  <c r="F204" i="23"/>
  <c r="AF203" i="23"/>
  <c r="Z240" i="23"/>
  <c r="F164" i="23"/>
  <c r="F138" i="23"/>
  <c r="F142" i="23"/>
  <c r="F148" i="23"/>
  <c r="F158" i="23"/>
  <c r="F160" i="23"/>
  <c r="F161" i="23"/>
  <c r="D163" i="43"/>
  <c r="C163" i="43" s="1"/>
  <c r="D155" i="43"/>
  <c r="C155" i="43" s="1"/>
  <c r="D154" i="43"/>
  <c r="C154" i="43" s="1"/>
  <c r="D140" i="43"/>
  <c r="C140" i="43" s="1"/>
  <c r="D104" i="43"/>
  <c r="C104" i="43" s="1"/>
  <c r="C76" i="43"/>
  <c r="D40" i="43"/>
  <c r="F201" i="23"/>
  <c r="AM101" i="23"/>
  <c r="AK101" i="23" s="1"/>
  <c r="AM102" i="23"/>
  <c r="AK102" i="23" s="1"/>
  <c r="AH209" i="23"/>
  <c r="Z281" i="23"/>
  <c r="Z280" i="23"/>
  <c r="Z279" i="23"/>
  <c r="Z278" i="23"/>
  <c r="Z277" i="23"/>
  <c r="Z276" i="23"/>
  <c r="Z267" i="23"/>
  <c r="Z259" i="23"/>
  <c r="Z256" i="23"/>
  <c r="Z255" i="23"/>
  <c r="Z250" i="23"/>
  <c r="Z235" i="23"/>
  <c r="Z232" i="23"/>
  <c r="Z204" i="23"/>
  <c r="Z203" i="23"/>
  <c r="Z202" i="23"/>
  <c r="Z199" i="23"/>
  <c r="Z198" i="23"/>
  <c r="Z197" i="23"/>
  <c r="Z176" i="23"/>
  <c r="Z165" i="23"/>
  <c r="Z164" i="23"/>
  <c r="Z163" i="23"/>
  <c r="Z162" i="23"/>
  <c r="Z159" i="23"/>
  <c r="Z161" i="23"/>
  <c r="Z151" i="23"/>
  <c r="Z150" i="23"/>
  <c r="Z149" i="23"/>
  <c r="Z147" i="23"/>
  <c r="Z146" i="23"/>
  <c r="Z145" i="23"/>
  <c r="Z142" i="23"/>
  <c r="Z141" i="23" s="1"/>
  <c r="Z137" i="23"/>
  <c r="Z136" i="23"/>
  <c r="Z131" i="23"/>
  <c r="Z130" i="23"/>
  <c r="Z129" i="23"/>
  <c r="Z126" i="23"/>
  <c r="Z125" i="23"/>
  <c r="Z119" i="23"/>
  <c r="Z118" i="23"/>
  <c r="Z117" i="23"/>
  <c r="Z116" i="23"/>
  <c r="Z115" i="23"/>
  <c r="Z103" i="23"/>
  <c r="Z102" i="23"/>
  <c r="Z92" i="23"/>
  <c r="Z91" i="23"/>
  <c r="Z83" i="23"/>
  <c r="Z82" i="23"/>
  <c r="Z81" i="23"/>
  <c r="AF282" i="23"/>
  <c r="O144" i="23"/>
  <c r="E30" i="43"/>
  <c r="E29" i="43" s="1"/>
  <c r="F30" i="43"/>
  <c r="F29" i="43" s="1"/>
  <c r="D41" i="43"/>
  <c r="C41" i="43" s="1"/>
  <c r="D42" i="43"/>
  <c r="C42" i="43" s="1"/>
  <c r="D48" i="43"/>
  <c r="C48" i="43" s="1"/>
  <c r="D52" i="43"/>
  <c r="C52" i="43" s="1"/>
  <c r="D53" i="43"/>
  <c r="C53" i="43" s="1"/>
  <c r="C61" i="43"/>
  <c r="C62" i="43"/>
  <c r="C63" i="43"/>
  <c r="C64" i="43"/>
  <c r="D77" i="43"/>
  <c r="D81" i="43"/>
  <c r="D98" i="43"/>
  <c r="D114" i="43"/>
  <c r="D124" i="43"/>
  <c r="C124" i="43" s="1"/>
  <c r="D125" i="43"/>
  <c r="D168" i="43"/>
  <c r="D169" i="43"/>
  <c r="D170" i="43"/>
  <c r="J102" i="43"/>
  <c r="J101" i="43" s="1"/>
  <c r="J100" i="43" s="1"/>
  <c r="J125" i="43"/>
  <c r="J123" i="43" s="1"/>
  <c r="I14" i="43"/>
  <c r="I12" i="43" s="1"/>
  <c r="H153" i="43"/>
  <c r="H164" i="43"/>
  <c r="H149" i="43"/>
  <c r="H150" i="43"/>
  <c r="H151" i="43"/>
  <c r="H152" i="43"/>
  <c r="H154" i="43"/>
  <c r="H155" i="43"/>
  <c r="H157" i="43"/>
  <c r="H167" i="43"/>
  <c r="C167" i="43" s="1"/>
  <c r="H168" i="43"/>
  <c r="C168" i="43" s="1"/>
  <c r="H146" i="43"/>
  <c r="H143" i="43" s="1"/>
  <c r="H140" i="43"/>
  <c r="H125" i="43" s="1"/>
  <c r="H123" i="43" s="1"/>
  <c r="H19" i="43"/>
  <c r="H18" i="43" s="1"/>
  <c r="H21" i="43"/>
  <c r="H30" i="43"/>
  <c r="H29" i="43" s="1"/>
  <c r="H40" i="43"/>
  <c r="H36" i="43" s="1"/>
  <c r="H55" i="43"/>
  <c r="H46" i="43" s="1"/>
  <c r="H66" i="43"/>
  <c r="H58" i="43" s="1"/>
  <c r="H57" i="43" s="1"/>
  <c r="H83" i="43"/>
  <c r="H110" i="43"/>
  <c r="H102" i="43" s="1"/>
  <c r="H101" i="43" s="1"/>
  <c r="H100" i="43" s="1"/>
  <c r="H115" i="43"/>
  <c r="H113" i="43" s="1"/>
  <c r="H112" i="43" s="1"/>
  <c r="Z21" i="23"/>
  <c r="Z20" i="23"/>
  <c r="Z19" i="23"/>
  <c r="Z18" i="23"/>
  <c r="M28" i="23"/>
  <c r="L28" i="23"/>
  <c r="K28" i="23"/>
  <c r="J28" i="23"/>
  <c r="I28" i="23"/>
  <c r="H28" i="23"/>
  <c r="G101" i="43"/>
  <c r="G100" i="43" s="1"/>
  <c r="G123" i="43"/>
  <c r="H186" i="43"/>
  <c r="H187" i="43"/>
  <c r="H96" i="43"/>
  <c r="H94" i="43" s="1"/>
  <c r="D149" i="43"/>
  <c r="D150" i="43"/>
  <c r="C150" i="43" s="1"/>
  <c r="D151" i="43"/>
  <c r="D152" i="43"/>
  <c r="AF299" i="23"/>
  <c r="AF21" i="23"/>
  <c r="AM21" i="23"/>
  <c r="AK21" i="23" s="1"/>
  <c r="AF18" i="23"/>
  <c r="F19" i="23"/>
  <c r="AF19" i="23"/>
  <c r="AM19" i="23"/>
  <c r="AK19" i="23" s="1"/>
  <c r="AF24" i="23"/>
  <c r="AK30" i="23"/>
  <c r="AM83" i="23"/>
  <c r="AK83" i="23" s="1"/>
  <c r="F86" i="23"/>
  <c r="AF115" i="23"/>
  <c r="AM115" i="23"/>
  <c r="AK115" i="23" s="1"/>
  <c r="AF116" i="23"/>
  <c r="AM116" i="23"/>
  <c r="AK116" i="23" s="1"/>
  <c r="AF118" i="23"/>
  <c r="AM118" i="23"/>
  <c r="AK118" i="23" s="1"/>
  <c r="AF117" i="23"/>
  <c r="AM117" i="23"/>
  <c r="AK117" i="23" s="1"/>
  <c r="AF131" i="23"/>
  <c r="AF138" i="23"/>
  <c r="AM138" i="23"/>
  <c r="AK138" i="23" s="1"/>
  <c r="F137" i="23"/>
  <c r="F136" i="23"/>
  <c r="F139" i="23"/>
  <c r="AF139" i="23"/>
  <c r="AM139" i="23"/>
  <c r="AM142" i="23"/>
  <c r="AM141" i="23" s="1"/>
  <c r="F151" i="23"/>
  <c r="AM148" i="23"/>
  <c r="AK148" i="23" s="1"/>
  <c r="F147" i="23"/>
  <c r="F145" i="23"/>
  <c r="F146" i="23"/>
  <c r="F149" i="23"/>
  <c r="F150" i="23"/>
  <c r="AF158" i="23"/>
  <c r="AM158" i="23"/>
  <c r="AK158" i="23" s="1"/>
  <c r="AF160" i="23"/>
  <c r="AM160" i="23"/>
  <c r="AK160" i="23" s="1"/>
  <c r="AF161" i="23"/>
  <c r="AM161" i="23"/>
  <c r="AK161" i="23" s="1"/>
  <c r="AF164" i="23"/>
  <c r="AM164" i="23"/>
  <c r="AK164" i="23" s="1"/>
  <c r="F159" i="23"/>
  <c r="AF159" i="23"/>
  <c r="AM159" i="23"/>
  <c r="AK159" i="23" s="1"/>
  <c r="F163" i="23"/>
  <c r="AF163" i="23"/>
  <c r="AM163" i="23"/>
  <c r="AK163" i="23" s="1"/>
  <c r="F165" i="23"/>
  <c r="AF165" i="23"/>
  <c r="AM165" i="23"/>
  <c r="AK165" i="23" s="1"/>
  <c r="F162" i="23"/>
  <c r="AF162" i="23"/>
  <c r="AM162" i="23"/>
  <c r="AK162" i="23" s="1"/>
  <c r="F155" i="23"/>
  <c r="F154" i="23"/>
  <c r="AF154" i="23"/>
  <c r="AF200" i="23"/>
  <c r="AM200" i="23"/>
  <c r="AK200" i="23" s="1"/>
  <c r="AF201" i="23"/>
  <c r="AM201" i="23"/>
  <c r="AK201" i="23" s="1"/>
  <c r="AF202" i="23"/>
  <c r="AF199" i="23"/>
  <c r="AM199" i="23"/>
  <c r="AF204" i="23"/>
  <c r="AM204" i="23"/>
  <c r="AK204" i="23" s="1"/>
  <c r="F197" i="23"/>
  <c r="AF197" i="23"/>
  <c r="AF198" i="23"/>
  <c r="F242" i="23"/>
  <c r="F207" i="23"/>
  <c r="AF219" i="23"/>
  <c r="AF220" i="23"/>
  <c r="AF221" i="23"/>
  <c r="AF222" i="23"/>
  <c r="AF223" i="23"/>
  <c r="AF224" i="23"/>
  <c r="AF235" i="23"/>
  <c r="AM259" i="23"/>
  <c r="AK259" i="23" s="1"/>
  <c r="AM263" i="23"/>
  <c r="AF273" i="23"/>
  <c r="AM273" i="23"/>
  <c r="AK273" i="23" s="1"/>
  <c r="AF278" i="23"/>
  <c r="AF279" i="23"/>
  <c r="AM279" i="23"/>
  <c r="AK279" i="23" s="1"/>
  <c r="D279" i="23" s="1"/>
  <c r="AF280" i="23"/>
  <c r="AM280" i="23"/>
  <c r="AK280" i="23" s="1"/>
  <c r="AF281" i="23"/>
  <c r="AM281" i="23"/>
  <c r="AK281" i="23" s="1"/>
  <c r="AF283" i="23"/>
  <c r="D283" i="23" s="1"/>
  <c r="AM276" i="23"/>
  <c r="AK276" i="23" s="1"/>
  <c r="AM277" i="23"/>
  <c r="AK277" i="23" s="1"/>
  <c r="I178" i="43"/>
  <c r="F175" i="43"/>
  <c r="J14" i="43"/>
  <c r="J18" i="43"/>
  <c r="J24" i="43"/>
  <c r="J36" i="43"/>
  <c r="J46" i="43"/>
  <c r="D171" i="43"/>
  <c r="C170" i="43"/>
  <c r="C169" i="43"/>
  <c r="K148" i="43"/>
  <c r="K142" i="43" s="1"/>
  <c r="F148" i="43"/>
  <c r="D145" i="43"/>
  <c r="C145" i="43" s="1"/>
  <c r="D144" i="43"/>
  <c r="C144" i="43" s="1"/>
  <c r="F143" i="43"/>
  <c r="C134" i="43"/>
  <c r="C133" i="43"/>
  <c r="C131" i="43"/>
  <c r="C130" i="43"/>
  <c r="C129" i="43"/>
  <c r="C127" i="43"/>
  <c r="K121" i="43"/>
  <c r="F113" i="43"/>
  <c r="F112" i="43" s="1"/>
  <c r="E113" i="43"/>
  <c r="E112" i="43" s="1"/>
  <c r="K101" i="43"/>
  <c r="K100" i="43" s="1"/>
  <c r="F101" i="43"/>
  <c r="F100" i="43" s="1"/>
  <c r="K96" i="43"/>
  <c r="K94" i="43" s="1"/>
  <c r="J96" i="43"/>
  <c r="J94" i="43" s="1"/>
  <c r="I96" i="43"/>
  <c r="I94" i="43" s="1"/>
  <c r="F96" i="43"/>
  <c r="F94" i="43" s="1"/>
  <c r="E96" i="43"/>
  <c r="E94" i="43" s="1"/>
  <c r="F80" i="43"/>
  <c r="I79" i="43"/>
  <c r="F79" i="43"/>
  <c r="C77" i="43"/>
  <c r="G74" i="43"/>
  <c r="G73" i="43" s="1"/>
  <c r="K73" i="43"/>
  <c r="F73" i="43"/>
  <c r="K58" i="43"/>
  <c r="K57" i="43" s="1"/>
  <c r="G58" i="43"/>
  <c r="G57" i="43" s="1"/>
  <c r="F58" i="43"/>
  <c r="F57" i="43" s="1"/>
  <c r="G46" i="43"/>
  <c r="F46" i="43"/>
  <c r="K37" i="43"/>
  <c r="G37" i="43"/>
  <c r="G36" i="43" s="1"/>
  <c r="F37" i="43"/>
  <c r="F36" i="43" s="1"/>
  <c r="K36" i="43"/>
  <c r="K35" i="43"/>
  <c r="D33" i="43"/>
  <c r="C33" i="43" s="1"/>
  <c r="D32" i="43"/>
  <c r="C32" i="43" s="1"/>
  <c r="K30" i="43"/>
  <c r="K29" i="43" s="1"/>
  <c r="J30" i="43"/>
  <c r="J29" i="43" s="1"/>
  <c r="I30" i="43"/>
  <c r="I29" i="43" s="1"/>
  <c r="K21" i="43"/>
  <c r="K18" i="43" s="1"/>
  <c r="J21" i="43"/>
  <c r="I21" i="43"/>
  <c r="F21" i="43"/>
  <c r="F18" i="43" s="1"/>
  <c r="E21" i="43"/>
  <c r="E18" i="43" s="1"/>
  <c r="X19" i="43"/>
  <c r="C16" i="43"/>
  <c r="D15" i="43"/>
  <c r="C15" i="43" s="1"/>
  <c r="E14" i="43"/>
  <c r="F14" i="43"/>
  <c r="G14" i="43"/>
  <c r="H14" i="43"/>
  <c r="K14" i="43"/>
  <c r="X7" i="43"/>
  <c r="K60" i="42"/>
  <c r="J99" i="42"/>
  <c r="E99" i="42" s="1"/>
  <c r="K46" i="42"/>
  <c r="J24" i="42"/>
  <c r="E24" i="42" s="1"/>
  <c r="J25" i="42"/>
  <c r="E25" i="42" s="1"/>
  <c r="J26" i="42"/>
  <c r="E26" i="42" s="1"/>
  <c r="J74" i="42"/>
  <c r="E74" i="42" s="1"/>
  <c r="J117" i="42"/>
  <c r="E117" i="42" s="1"/>
  <c r="J119" i="42"/>
  <c r="E119" i="42" s="1"/>
  <c r="E48" i="42"/>
  <c r="J50" i="42"/>
  <c r="E50" i="42" s="1"/>
  <c r="E41" i="42"/>
  <c r="E40" i="42" s="1"/>
  <c r="E30" i="42"/>
  <c r="E29" i="42" s="1"/>
  <c r="AL56" i="23"/>
  <c r="AL262" i="23"/>
  <c r="F108" i="23"/>
  <c r="Z108" i="23"/>
  <c r="AF108" i="23"/>
  <c r="AM108" i="23"/>
  <c r="AK108" i="23" s="1"/>
  <c r="F97" i="23"/>
  <c r="Z97" i="23"/>
  <c r="AF97" i="23"/>
  <c r="AM97" i="23"/>
  <c r="AK97" i="23" s="1"/>
  <c r="F98" i="23"/>
  <c r="Z98" i="23"/>
  <c r="AF98" i="23"/>
  <c r="AM98" i="23"/>
  <c r="AK98" i="23" s="1"/>
  <c r="AF20" i="23"/>
  <c r="AM20" i="23"/>
  <c r="AK20" i="23" s="1"/>
  <c r="F37" i="23"/>
  <c r="Z37" i="23"/>
  <c r="AF37" i="23"/>
  <c r="AM37" i="23"/>
  <c r="AK37" i="23" s="1"/>
  <c r="F38" i="23"/>
  <c r="Z38" i="23"/>
  <c r="AF38" i="23"/>
  <c r="AM38" i="23"/>
  <c r="AK38" i="23" s="1"/>
  <c r="F39" i="23"/>
  <c r="Z39" i="23"/>
  <c r="AF39" i="23"/>
  <c r="AM39" i="23"/>
  <c r="AK39" i="23" s="1"/>
  <c r="E39" i="23" s="1"/>
  <c r="F40" i="23"/>
  <c r="Z40" i="23"/>
  <c r="AF40" i="23"/>
  <c r="AM40" i="23"/>
  <c r="AK40" i="23" s="1"/>
  <c r="F57" i="23"/>
  <c r="F56" i="23" s="1"/>
  <c r="Z57" i="23"/>
  <c r="E57" i="23" s="1"/>
  <c r="AF57" i="23"/>
  <c r="AD85" i="23"/>
  <c r="Z41" i="23"/>
  <c r="J141" i="42"/>
  <c r="J140" i="42"/>
  <c r="J138" i="42"/>
  <c r="J136" i="42"/>
  <c r="J134" i="42"/>
  <c r="E134" i="42" s="1"/>
  <c r="J133" i="42"/>
  <c r="E133" i="42" s="1"/>
  <c r="J132" i="42"/>
  <c r="K131" i="42"/>
  <c r="K122" i="42" s="1"/>
  <c r="J112" i="42"/>
  <c r="J109" i="42"/>
  <c r="J108" i="42"/>
  <c r="H106" i="42"/>
  <c r="G106" i="42"/>
  <c r="J103" i="42"/>
  <c r="J102" i="42"/>
  <c r="J98" i="42"/>
  <c r="J97" i="42"/>
  <c r="J96" i="42"/>
  <c r="J95" i="42"/>
  <c r="J94" i="42"/>
  <c r="E94" i="42" s="1"/>
  <c r="D93" i="42"/>
  <c r="I92" i="42"/>
  <c r="H92" i="42"/>
  <c r="H87" i="42"/>
  <c r="J86" i="42"/>
  <c r="J85" i="42"/>
  <c r="J82" i="42"/>
  <c r="E82" i="42" s="1"/>
  <c r="J81" i="42"/>
  <c r="E81" i="42" s="1"/>
  <c r="J72" i="42"/>
  <c r="E72" i="42" s="1"/>
  <c r="K70" i="42"/>
  <c r="E62" i="42"/>
  <c r="J59" i="42"/>
  <c r="E55" i="42"/>
  <c r="J45" i="42"/>
  <c r="J36" i="42"/>
  <c r="G21" i="42"/>
  <c r="J20" i="42"/>
  <c r="J19" i="42"/>
  <c r="M18" i="42"/>
  <c r="K18" i="42"/>
  <c r="I18" i="42"/>
  <c r="H18" i="42"/>
  <c r="G18" i="42"/>
  <c r="E18" i="42"/>
  <c r="C18" i="42"/>
  <c r="D14" i="42"/>
  <c r="AJ297" i="23"/>
  <c r="AJ295" i="23" s="1"/>
  <c r="W85" i="23"/>
  <c r="I157" i="23"/>
  <c r="F251" i="23"/>
  <c r="Z251" i="23"/>
  <c r="D251" i="23" s="1"/>
  <c r="AF251" i="23"/>
  <c r="AJ258" i="23"/>
  <c r="AQ258" i="23"/>
  <c r="U258" i="23"/>
  <c r="Q258" i="23"/>
  <c r="I258" i="23"/>
  <c r="X17" i="23"/>
  <c r="X11" i="23"/>
  <c r="X28" i="23"/>
  <c r="X35" i="23"/>
  <c r="X24" i="23"/>
  <c r="X43" i="23"/>
  <c r="X50" i="23"/>
  <c r="X56" i="23"/>
  <c r="AF259" i="23"/>
  <c r="AH258" i="23"/>
  <c r="AG258" i="23"/>
  <c r="AE258" i="23"/>
  <c r="AD258" i="23"/>
  <c r="AC258" i="23"/>
  <c r="AB258" i="23"/>
  <c r="AA258" i="23"/>
  <c r="Y258" i="23"/>
  <c r="X258" i="23"/>
  <c r="W258" i="23"/>
  <c r="V258" i="23"/>
  <c r="T258" i="23"/>
  <c r="R258" i="23"/>
  <c r="P258" i="23"/>
  <c r="O258" i="23"/>
  <c r="N258" i="23"/>
  <c r="M258" i="23"/>
  <c r="L258" i="23"/>
  <c r="K258" i="23"/>
  <c r="J258" i="23"/>
  <c r="H258" i="23"/>
  <c r="G258" i="23"/>
  <c r="AI258" i="23"/>
  <c r="AP258" i="23"/>
  <c r="AO258" i="23"/>
  <c r="AN258" i="23"/>
  <c r="AL266" i="23"/>
  <c r="AL124" i="23"/>
  <c r="AL128" i="23"/>
  <c r="AL234" i="23"/>
  <c r="AL179" i="23"/>
  <c r="AL168" i="23" s="1"/>
  <c r="AL271" i="23"/>
  <c r="AL275" i="23"/>
  <c r="F186" i="23"/>
  <c r="Z186" i="23"/>
  <c r="AF186" i="23"/>
  <c r="AM186" i="23"/>
  <c r="F187" i="23"/>
  <c r="Z187" i="23"/>
  <c r="AF187" i="23"/>
  <c r="AM187" i="23"/>
  <c r="AK187" i="23" s="1"/>
  <c r="F188" i="23"/>
  <c r="Z188" i="23"/>
  <c r="AF188" i="23"/>
  <c r="AM188" i="23"/>
  <c r="AK188" i="23" s="1"/>
  <c r="F189" i="23"/>
  <c r="Z189" i="23"/>
  <c r="Z184" i="23" s="1"/>
  <c r="Z182" i="23" s="1"/>
  <c r="AF189" i="23"/>
  <c r="AF190" i="23"/>
  <c r="AF185" i="23" s="1"/>
  <c r="AF184" i="23" s="1"/>
  <c r="Z190" i="23"/>
  <c r="AM197" i="23"/>
  <c r="AK197" i="23" s="1"/>
  <c r="AM198" i="23"/>
  <c r="AK198" i="23" s="1"/>
  <c r="AM202" i="23"/>
  <c r="Z207" i="23"/>
  <c r="AF207" i="23"/>
  <c r="AM207" i="23"/>
  <c r="AK207" i="23" s="1"/>
  <c r="AF212" i="23"/>
  <c r="AM212" i="23"/>
  <c r="AK212" i="23" s="1"/>
  <c r="AF213" i="23"/>
  <c r="AM213" i="23"/>
  <c r="AF214" i="23"/>
  <c r="AM214" i="23"/>
  <c r="AK214" i="23" s="1"/>
  <c r="AF215" i="23"/>
  <c r="AM215" i="23"/>
  <c r="AK215" i="23" s="1"/>
  <c r="AF216" i="23"/>
  <c r="AM216" i="23"/>
  <c r="AK216" i="23" s="1"/>
  <c r="AF217" i="23"/>
  <c r="AM217" i="23"/>
  <c r="AK217" i="23" s="1"/>
  <c r="AM219" i="23"/>
  <c r="AK219" i="23" s="1"/>
  <c r="D219" i="23" s="1"/>
  <c r="AM220" i="23"/>
  <c r="AK220" i="23" s="1"/>
  <c r="AM221" i="23"/>
  <c r="AK221" i="23" s="1"/>
  <c r="AM222" i="23"/>
  <c r="AK222" i="23" s="1"/>
  <c r="AM223" i="23"/>
  <c r="AK223" i="23" s="1"/>
  <c r="AM224" i="23"/>
  <c r="AK224" i="23" s="1"/>
  <c r="F232" i="23"/>
  <c r="AM232" i="23"/>
  <c r="AK232" i="23" s="1"/>
  <c r="F235" i="23"/>
  <c r="AM235" i="23"/>
  <c r="AK235" i="23" s="1"/>
  <c r="F236" i="23"/>
  <c r="Z236" i="23"/>
  <c r="AF236" i="23"/>
  <c r="AF234" i="23" s="1"/>
  <c r="AM236" i="23"/>
  <c r="F237" i="23"/>
  <c r="E237" i="23" s="1"/>
  <c r="AF237" i="23"/>
  <c r="F241" i="23"/>
  <c r="AF241" i="23"/>
  <c r="AF242" i="23"/>
  <c r="AM242" i="23"/>
  <c r="AM240" i="23" s="1"/>
  <c r="F272" i="23"/>
  <c r="AF272" i="23"/>
  <c r="F273" i="23"/>
  <c r="Z273" i="23"/>
  <c r="Z271" i="23" s="1"/>
  <c r="F276" i="23"/>
  <c r="Z275" i="23"/>
  <c r="AF276" i="23"/>
  <c r="AF277" i="23"/>
  <c r="AM278" i="23"/>
  <c r="AK278" i="23" s="1"/>
  <c r="AF290" i="23"/>
  <c r="D290" i="23" s="1"/>
  <c r="AF291" i="23"/>
  <c r="D291" i="23" s="1"/>
  <c r="AF292" i="23"/>
  <c r="D292" i="23" s="1"/>
  <c r="Z293" i="23"/>
  <c r="AF293" i="23"/>
  <c r="AM293" i="23"/>
  <c r="AK293" i="23" s="1"/>
  <c r="AD11" i="23"/>
  <c r="AQ275" i="23"/>
  <c r="AQ271" i="23"/>
  <c r="AH275" i="23"/>
  <c r="X307" i="23"/>
  <c r="X275" i="23"/>
  <c r="X271" i="23"/>
  <c r="X266" i="23"/>
  <c r="X262" i="23"/>
  <c r="X253" i="23"/>
  <c r="X248" i="23"/>
  <c r="X240" i="23"/>
  <c r="X234" i="23"/>
  <c r="X206" i="23"/>
  <c r="X184" i="23"/>
  <c r="X182" i="23" s="1"/>
  <c r="X179" i="23"/>
  <c r="U179" i="23"/>
  <c r="V179" i="23"/>
  <c r="W179" i="23"/>
  <c r="X170" i="23"/>
  <c r="X168" i="23" s="1"/>
  <c r="X157" i="23"/>
  <c r="X153" i="23"/>
  <c r="X135" i="23"/>
  <c r="X144" i="23"/>
  <c r="X128" i="23"/>
  <c r="X124" i="23"/>
  <c r="X113" i="23"/>
  <c r="X105" i="23"/>
  <c r="X100" i="23"/>
  <c r="X94" i="23"/>
  <c r="X85" i="23"/>
  <c r="X77" i="23"/>
  <c r="X70" i="23"/>
  <c r="X63" i="23"/>
  <c r="W307" i="23"/>
  <c r="W275" i="23"/>
  <c r="W271" i="23"/>
  <c r="W266" i="23"/>
  <c r="W262" i="23"/>
  <c r="W248" i="23"/>
  <c r="W253" i="23"/>
  <c r="W240" i="23"/>
  <c r="W234" i="23"/>
  <c r="W206" i="23"/>
  <c r="W184" i="23"/>
  <c r="W182" i="23" s="1"/>
  <c r="W170" i="23"/>
  <c r="W157" i="23"/>
  <c r="W153" i="23"/>
  <c r="W135" i="23"/>
  <c r="W144" i="23"/>
  <c r="W128" i="23"/>
  <c r="W124" i="23"/>
  <c r="W113" i="23"/>
  <c r="W105" i="23"/>
  <c r="W100" i="23"/>
  <c r="W94" i="23"/>
  <c r="W77" i="23"/>
  <c r="W70" i="23"/>
  <c r="W63" i="23"/>
  <c r="W56" i="23"/>
  <c r="W50" i="23"/>
  <c r="W43" i="23"/>
  <c r="W35" i="23"/>
  <c r="W28" i="23"/>
  <c r="W24" i="23"/>
  <c r="W11" i="23"/>
  <c r="W17" i="23"/>
  <c r="V307" i="23"/>
  <c r="V275" i="23"/>
  <c r="V271" i="23"/>
  <c r="V266" i="23"/>
  <c r="V262" i="23"/>
  <c r="V253" i="23"/>
  <c r="V248" i="23"/>
  <c r="V240" i="23"/>
  <c r="V234" i="23"/>
  <c r="V206" i="23"/>
  <c r="V184" i="23"/>
  <c r="V182" i="23" s="1"/>
  <c r="V170" i="23"/>
  <c r="V157" i="23"/>
  <c r="V153" i="23"/>
  <c r="V144" i="23"/>
  <c r="V135" i="23"/>
  <c r="V128" i="23"/>
  <c r="V124" i="23"/>
  <c r="V113" i="23"/>
  <c r="V105" i="23"/>
  <c r="V100" i="23"/>
  <c r="V94" i="23"/>
  <c r="V85" i="23"/>
  <c r="V77" i="23"/>
  <c r="V70" i="23"/>
  <c r="V63" i="23"/>
  <c r="V56" i="23"/>
  <c r="V50" i="23"/>
  <c r="V43" i="23"/>
  <c r="V35" i="23"/>
  <c r="V24" i="23"/>
  <c r="V28" i="23"/>
  <c r="V11" i="23"/>
  <c r="V17" i="23"/>
  <c r="N24" i="23"/>
  <c r="H124" i="23"/>
  <c r="S77" i="23"/>
  <c r="S105" i="23"/>
  <c r="S94" i="23"/>
  <c r="S113" i="23"/>
  <c r="S128" i="23"/>
  <c r="AM68" i="23"/>
  <c r="AK68" i="23" s="1"/>
  <c r="Z64" i="23"/>
  <c r="R35" i="23"/>
  <c r="AA297" i="23"/>
  <c r="AA295" i="23" s="1"/>
  <c r="AC297" i="23"/>
  <c r="AC295" i="23" s="1"/>
  <c r="AD297" i="23"/>
  <c r="AD295" i="23" s="1"/>
  <c r="AE297" i="23"/>
  <c r="AE295" i="23" s="1"/>
  <c r="U77" i="23"/>
  <c r="Y85" i="23"/>
  <c r="Y94" i="23"/>
  <c r="Y105" i="23"/>
  <c r="Y113" i="23"/>
  <c r="Y77" i="23"/>
  <c r="G206" i="23"/>
  <c r="H206" i="23"/>
  <c r="I206" i="23"/>
  <c r="J206" i="23"/>
  <c r="K206" i="23"/>
  <c r="L206" i="23"/>
  <c r="M206" i="23"/>
  <c r="N206" i="23"/>
  <c r="N234" i="23"/>
  <c r="N240" i="23"/>
  <c r="O206" i="23"/>
  <c r="P206" i="23"/>
  <c r="Q206" i="23"/>
  <c r="R206" i="23"/>
  <c r="R234" i="23"/>
  <c r="R240" i="23"/>
  <c r="S206" i="23"/>
  <c r="T206" i="23"/>
  <c r="U206" i="23"/>
  <c r="Y206" i="23"/>
  <c r="Y234" i="23"/>
  <c r="Y240" i="23"/>
  <c r="G234" i="23"/>
  <c r="H234" i="23"/>
  <c r="I234" i="23"/>
  <c r="J234" i="23"/>
  <c r="J240" i="23"/>
  <c r="K234" i="23"/>
  <c r="L234" i="23"/>
  <c r="M234" i="23"/>
  <c r="O234" i="23"/>
  <c r="P234" i="23"/>
  <c r="Q234" i="23"/>
  <c r="S234" i="23"/>
  <c r="T234" i="23"/>
  <c r="U234" i="23"/>
  <c r="U35" i="23"/>
  <c r="U28" i="23"/>
  <c r="U24" i="23"/>
  <c r="L35" i="23"/>
  <c r="I85" i="23"/>
  <c r="J85" i="23"/>
  <c r="K85" i="23"/>
  <c r="L85" i="23"/>
  <c r="Q85" i="23"/>
  <c r="R85" i="23"/>
  <c r="U240" i="23"/>
  <c r="AQ170" i="23"/>
  <c r="AQ179" i="23"/>
  <c r="AQ43" i="23"/>
  <c r="AQ11" i="23"/>
  <c r="AQ24" i="23"/>
  <c r="AQ28" i="23"/>
  <c r="AQ35" i="23"/>
  <c r="AQ50" i="23"/>
  <c r="AQ17" i="23"/>
  <c r="AP43" i="23"/>
  <c r="AO43" i="23"/>
  <c r="AM256" i="23"/>
  <c r="AK256" i="23" s="1"/>
  <c r="AJ50" i="23"/>
  <c r="AH43" i="23"/>
  <c r="AE50" i="23"/>
  <c r="AC43" i="23"/>
  <c r="AD43" i="23"/>
  <c r="AB50" i="23"/>
  <c r="AB11" i="23"/>
  <c r="AB24" i="23"/>
  <c r="AB28" i="23"/>
  <c r="AB35" i="23"/>
  <c r="AB43" i="23"/>
  <c r="AB17" i="23"/>
  <c r="L43" i="23"/>
  <c r="T50" i="23"/>
  <c r="S50" i="23"/>
  <c r="J43" i="23"/>
  <c r="O17" i="23"/>
  <c r="L17" i="23"/>
  <c r="Q17" i="23"/>
  <c r="U17" i="23"/>
  <c r="Y253" i="23"/>
  <c r="AF256" i="23"/>
  <c r="AF254" i="23"/>
  <c r="AF106" i="23"/>
  <c r="M94" i="23"/>
  <c r="I24" i="23"/>
  <c r="I35" i="23"/>
  <c r="I11" i="23"/>
  <c r="I43" i="23"/>
  <c r="I50" i="23"/>
  <c r="G35" i="23"/>
  <c r="H35" i="23"/>
  <c r="J35" i="23"/>
  <c r="J24" i="23"/>
  <c r="J11" i="23"/>
  <c r="J17" i="23"/>
  <c r="J50" i="23"/>
  <c r="K35" i="23"/>
  <c r="M35" i="23"/>
  <c r="N35" i="23"/>
  <c r="N28" i="23"/>
  <c r="N11" i="23"/>
  <c r="N43" i="23"/>
  <c r="N50" i="23"/>
  <c r="O35" i="23"/>
  <c r="O24" i="23"/>
  <c r="O28" i="23"/>
  <c r="P35" i="23"/>
  <c r="Q35" i="23"/>
  <c r="S35" i="23"/>
  <c r="T35" i="23"/>
  <c r="Y35" i="23"/>
  <c r="Y24" i="23"/>
  <c r="Y28" i="23"/>
  <c r="G17" i="23"/>
  <c r="H17" i="23"/>
  <c r="I17" i="23"/>
  <c r="K17" i="23"/>
  <c r="M17" i="23"/>
  <c r="N17" i="23"/>
  <c r="P17" i="23"/>
  <c r="R17" i="23"/>
  <c r="S17" i="23"/>
  <c r="T17" i="23"/>
  <c r="Y17" i="23"/>
  <c r="I248" i="23"/>
  <c r="J248" i="23"/>
  <c r="M253" i="23"/>
  <c r="M77" i="23"/>
  <c r="I77" i="23"/>
  <c r="I94" i="23"/>
  <c r="G105" i="23"/>
  <c r="H105" i="23"/>
  <c r="I105" i="23"/>
  <c r="J105" i="23"/>
  <c r="K105" i="23"/>
  <c r="L105" i="23"/>
  <c r="N105" i="23"/>
  <c r="O105" i="23"/>
  <c r="P105" i="23"/>
  <c r="Q105" i="23"/>
  <c r="R105" i="23"/>
  <c r="T105" i="23"/>
  <c r="U105" i="23"/>
  <c r="R70" i="23"/>
  <c r="M144" i="23"/>
  <c r="M153" i="23"/>
  <c r="I240" i="23"/>
  <c r="M240" i="23"/>
  <c r="AM149" i="23"/>
  <c r="AK149" i="23" s="1"/>
  <c r="AF149" i="23"/>
  <c r="Z298" i="23"/>
  <c r="Z264" i="23"/>
  <c r="D264" i="23" s="1"/>
  <c r="Z263" i="23"/>
  <c r="O253" i="23"/>
  <c r="J253" i="23"/>
  <c r="Z170" i="23"/>
  <c r="Z168" i="23" s="1"/>
  <c r="AF119" i="23"/>
  <c r="Z101" i="23"/>
  <c r="Z72" i="23"/>
  <c r="Z73" i="23"/>
  <c r="Z74" i="23"/>
  <c r="Z75" i="23"/>
  <c r="Z66" i="23"/>
  <c r="Z67" i="23"/>
  <c r="Z68" i="23"/>
  <c r="AF298" i="23"/>
  <c r="AF289" i="23"/>
  <c r="AF287" i="23" s="1"/>
  <c r="AF267" i="23"/>
  <c r="AF266" i="23" s="1"/>
  <c r="AF263" i="23"/>
  <c r="AF262" i="23" s="1"/>
  <c r="AF250" i="23"/>
  <c r="AM250" i="23"/>
  <c r="AK250" i="23" s="1"/>
  <c r="AF248" i="23"/>
  <c r="AF176" i="23"/>
  <c r="AF170" i="23" s="1"/>
  <c r="AF168" i="23" s="1"/>
  <c r="AF155" i="23"/>
  <c r="AF151" i="23"/>
  <c r="AF150" i="23"/>
  <c r="AF148" i="23"/>
  <c r="AF147" i="23"/>
  <c r="AF146" i="23"/>
  <c r="AF137" i="23"/>
  <c r="AM137" i="23"/>
  <c r="AK137" i="23" s="1"/>
  <c r="AF136" i="23"/>
  <c r="AF130" i="23"/>
  <c r="AF129" i="23"/>
  <c r="AF125" i="23"/>
  <c r="AF103" i="23"/>
  <c r="AF102" i="23"/>
  <c r="AF92" i="23"/>
  <c r="AM90" i="23"/>
  <c r="AK90" i="23" s="1"/>
  <c r="AF86" i="23"/>
  <c r="AF83" i="23"/>
  <c r="AF82" i="23"/>
  <c r="AM82" i="23"/>
  <c r="AK82" i="23" s="1"/>
  <c r="AF81" i="23"/>
  <c r="AF79" i="23"/>
  <c r="AF77" i="23" s="1"/>
  <c r="AF78" i="23"/>
  <c r="AF65" i="23"/>
  <c r="AF68" i="23"/>
  <c r="AF73" i="23"/>
  <c r="AF75" i="23"/>
  <c r="AF74" i="23"/>
  <c r="AF72" i="23"/>
  <c r="AM72" i="23"/>
  <c r="AF71" i="23"/>
  <c r="AF67" i="23"/>
  <c r="AF66" i="23"/>
  <c r="AF64" i="23"/>
  <c r="AF41" i="23"/>
  <c r="F41" i="23"/>
  <c r="AM299" i="23"/>
  <c r="AM298" i="23"/>
  <c r="AK298" i="23" s="1"/>
  <c r="AM267" i="23"/>
  <c r="AM255" i="23"/>
  <c r="AM254" i="23"/>
  <c r="AK254" i="23" s="1"/>
  <c r="AM176" i="23"/>
  <c r="AM170" i="23" s="1"/>
  <c r="AM168" i="23" s="1"/>
  <c r="AM155" i="23"/>
  <c r="AK155" i="23" s="1"/>
  <c r="AM154" i="23"/>
  <c r="AK154" i="23" s="1"/>
  <c r="AM151" i="23"/>
  <c r="AK151" i="23" s="1"/>
  <c r="AM150" i="23"/>
  <c r="AK150" i="23" s="1"/>
  <c r="AM147" i="23"/>
  <c r="AK147" i="23" s="1"/>
  <c r="AM146" i="23"/>
  <c r="AK146" i="23" s="1"/>
  <c r="AM145" i="23"/>
  <c r="AK145" i="23" s="1"/>
  <c r="AM136" i="23"/>
  <c r="AK136" i="23" s="1"/>
  <c r="AM131" i="23"/>
  <c r="AK131" i="23" s="1"/>
  <c r="AM130" i="23"/>
  <c r="AK130" i="23" s="1"/>
  <c r="AM129" i="23"/>
  <c r="AM126" i="23"/>
  <c r="AK126" i="23" s="1"/>
  <c r="AM125" i="23"/>
  <c r="AM103" i="23"/>
  <c r="AK103" i="23" s="1"/>
  <c r="AM86" i="23"/>
  <c r="AK86" i="23" s="1"/>
  <c r="AM81" i="23"/>
  <c r="AK81" i="23" s="1"/>
  <c r="AM75" i="23"/>
  <c r="AK75" i="23" s="1"/>
  <c r="AM71" i="23"/>
  <c r="AK71" i="23" s="1"/>
  <c r="AM67" i="23"/>
  <c r="AK67" i="23" s="1"/>
  <c r="AM66" i="23"/>
  <c r="AM64" i="23"/>
  <c r="AM41" i="23"/>
  <c r="AK41" i="23" s="1"/>
  <c r="AE43" i="23"/>
  <c r="AE11" i="23"/>
  <c r="AD50" i="23"/>
  <c r="AA105" i="23"/>
  <c r="AA11" i="23"/>
  <c r="AA17" i="23"/>
  <c r="AA43" i="23"/>
  <c r="AA253" i="23"/>
  <c r="AH11" i="23"/>
  <c r="AH35" i="23"/>
  <c r="AH24" i="23"/>
  <c r="AH28" i="23"/>
  <c r="AH17" i="23"/>
  <c r="AH50" i="23"/>
  <c r="AH253" i="23"/>
  <c r="L240" i="23"/>
  <c r="L11" i="23"/>
  <c r="L24" i="23"/>
  <c r="L50" i="23"/>
  <c r="L63" i="23"/>
  <c r="L70" i="23"/>
  <c r="L77" i="23"/>
  <c r="L94" i="23"/>
  <c r="L100" i="23"/>
  <c r="L124" i="23"/>
  <c r="L128" i="23"/>
  <c r="L135" i="23"/>
  <c r="L144" i="23"/>
  <c r="L153" i="23"/>
  <c r="L157" i="23"/>
  <c r="L141" i="23"/>
  <c r="L170" i="23"/>
  <c r="L168" i="23" s="1"/>
  <c r="L184" i="23"/>
  <c r="L182" i="23" s="1"/>
  <c r="L248" i="23"/>
  <c r="L253" i="23"/>
  <c r="L262" i="23"/>
  <c r="L266" i="23"/>
  <c r="L271" i="23"/>
  <c r="L275" i="23"/>
  <c r="AE94" i="23"/>
  <c r="AE105" i="23"/>
  <c r="AE113" i="23"/>
  <c r="AE63" i="23"/>
  <c r="AE77" i="23"/>
  <c r="AE85" i="23"/>
  <c r="AE124" i="23"/>
  <c r="AE128" i="23"/>
  <c r="AE17" i="23"/>
  <c r="AE24" i="23"/>
  <c r="AE35" i="23"/>
  <c r="AE28" i="23"/>
  <c r="AE135" i="23"/>
  <c r="AE144" i="23"/>
  <c r="AE153" i="23"/>
  <c r="AE157" i="23"/>
  <c r="AE141" i="23"/>
  <c r="AE170" i="23"/>
  <c r="AE168" i="23" s="1"/>
  <c r="AE184" i="23"/>
  <c r="AE182" i="23" s="1"/>
  <c r="AE206" i="23"/>
  <c r="AE234" i="23"/>
  <c r="AE240" i="23"/>
  <c r="AE248" i="23"/>
  <c r="AE253" i="23"/>
  <c r="AE262" i="23"/>
  <c r="AE266" i="23"/>
  <c r="AE271" i="23"/>
  <c r="AE275" i="23"/>
  <c r="AN11" i="23"/>
  <c r="AN17" i="23"/>
  <c r="AN24" i="23"/>
  <c r="AN28" i="23"/>
  <c r="AN35" i="23"/>
  <c r="AN23" i="23" s="1"/>
  <c r="AN50" i="23"/>
  <c r="AN56" i="23"/>
  <c r="AN63" i="23"/>
  <c r="AN70" i="23"/>
  <c r="AN77" i="23"/>
  <c r="AN85" i="23"/>
  <c r="AN94" i="23"/>
  <c r="AN100" i="23"/>
  <c r="AN105" i="23"/>
  <c r="AN113" i="23"/>
  <c r="AN124" i="23"/>
  <c r="AN128" i="23"/>
  <c r="AN135" i="23"/>
  <c r="AN141" i="23"/>
  <c r="AN144" i="23"/>
  <c r="AN157" i="23"/>
  <c r="AN153" i="23"/>
  <c r="AN179" i="23"/>
  <c r="AN184" i="23"/>
  <c r="AN182" i="23" s="1"/>
  <c r="AN206" i="23"/>
  <c r="AN234" i="23"/>
  <c r="AN240" i="23"/>
  <c r="AN248" i="23"/>
  <c r="AO248" i="23"/>
  <c r="AP248" i="23"/>
  <c r="AQ248" i="23"/>
  <c r="AN253" i="23"/>
  <c r="AN262" i="23"/>
  <c r="AN266" i="23"/>
  <c r="AN271" i="23"/>
  <c r="AN275" i="23"/>
  <c r="AN289" i="23"/>
  <c r="AN287" i="23" s="1"/>
  <c r="AN297" i="23"/>
  <c r="AN295" i="23" s="1"/>
  <c r="N302" i="23"/>
  <c r="N304" i="23" s="1"/>
  <c r="N307" i="23" s="1"/>
  <c r="M305" i="23"/>
  <c r="J304" i="23"/>
  <c r="S266" i="23"/>
  <c r="S248" i="23"/>
  <c r="S253" i="23"/>
  <c r="S262" i="23"/>
  <c r="S11" i="23"/>
  <c r="S24" i="23"/>
  <c r="S28" i="23"/>
  <c r="S43" i="23"/>
  <c r="S56" i="23"/>
  <c r="S63" i="23"/>
  <c r="S70" i="23"/>
  <c r="S85" i="23"/>
  <c r="S100" i="23"/>
  <c r="S124" i="23"/>
  <c r="S135" i="23"/>
  <c r="S144" i="23"/>
  <c r="S153" i="23"/>
  <c r="S157" i="23"/>
  <c r="S170" i="23"/>
  <c r="S168" i="23" s="1"/>
  <c r="S240" i="23"/>
  <c r="S271" i="23"/>
  <c r="S275" i="23"/>
  <c r="AQ56" i="23"/>
  <c r="AQ63" i="23"/>
  <c r="AQ70" i="23"/>
  <c r="AQ77" i="23"/>
  <c r="AQ85" i="23"/>
  <c r="AQ94" i="23"/>
  <c r="AQ105" i="23"/>
  <c r="AQ113" i="23"/>
  <c r="AQ100" i="23"/>
  <c r="AQ124" i="23"/>
  <c r="AQ128" i="23"/>
  <c r="AQ135" i="23"/>
  <c r="AQ141" i="23"/>
  <c r="AQ144" i="23"/>
  <c r="AQ157" i="23"/>
  <c r="AQ153" i="23"/>
  <c r="AQ206" i="23"/>
  <c r="AQ240" i="23"/>
  <c r="AQ234" i="23"/>
  <c r="AQ253" i="23"/>
  <c r="AQ262" i="23"/>
  <c r="AQ266" i="23"/>
  <c r="AQ289" i="23"/>
  <c r="AQ287" i="23" s="1"/>
  <c r="AQ297" i="23"/>
  <c r="AQ295" i="23" s="1"/>
  <c r="AP11" i="23"/>
  <c r="AP24" i="23"/>
  <c r="AP28" i="23"/>
  <c r="AP35" i="23"/>
  <c r="AP50" i="23"/>
  <c r="AP17" i="23"/>
  <c r="AP56" i="23"/>
  <c r="AP63" i="23"/>
  <c r="AP70" i="23"/>
  <c r="AP77" i="23"/>
  <c r="AP85" i="23"/>
  <c r="AP94" i="23"/>
  <c r="AP100" i="23"/>
  <c r="AP105" i="23"/>
  <c r="AP113" i="23"/>
  <c r="AP124" i="23"/>
  <c r="AP128" i="23"/>
  <c r="AP135" i="23"/>
  <c r="AP157" i="23"/>
  <c r="AP144" i="23"/>
  <c r="AP141" i="23"/>
  <c r="AP153" i="23"/>
  <c r="AP179" i="23"/>
  <c r="AP184" i="23"/>
  <c r="AP182" i="23" s="1"/>
  <c r="AP206" i="23"/>
  <c r="AP240" i="23"/>
  <c r="AP234" i="23"/>
  <c r="AP253" i="23"/>
  <c r="AP262" i="23"/>
  <c r="AP266" i="23"/>
  <c r="AP271" i="23"/>
  <c r="AP275" i="23"/>
  <c r="AP289" i="23"/>
  <c r="AP287" i="23" s="1"/>
  <c r="AP297" i="23"/>
  <c r="AP295" i="23" s="1"/>
  <c r="AO11" i="23"/>
  <c r="AO17" i="23"/>
  <c r="AO24" i="23"/>
  <c r="AO28" i="23"/>
  <c r="AO35" i="23"/>
  <c r="AO50" i="23"/>
  <c r="AO56" i="23"/>
  <c r="AO63" i="23"/>
  <c r="AO70" i="23"/>
  <c r="AO77" i="23"/>
  <c r="AO85" i="23"/>
  <c r="AO94" i="23"/>
  <c r="AO105" i="23"/>
  <c r="AO113" i="23"/>
  <c r="AO100" i="23"/>
  <c r="AO124" i="23"/>
  <c r="AO128" i="23"/>
  <c r="AO135" i="23"/>
  <c r="AO157" i="23"/>
  <c r="AO141" i="23"/>
  <c r="AO144" i="23"/>
  <c r="AO153" i="23"/>
  <c r="AO179" i="23"/>
  <c r="AO184" i="23"/>
  <c r="AO182" i="23" s="1"/>
  <c r="AO206" i="23"/>
  <c r="AO234" i="23"/>
  <c r="AO240" i="23"/>
  <c r="AO253" i="23"/>
  <c r="AO262" i="23"/>
  <c r="AO266" i="23"/>
  <c r="AO271" i="23"/>
  <c r="AO275" i="23"/>
  <c r="AO289" i="23"/>
  <c r="AO287" i="23" s="1"/>
  <c r="AO297" i="23"/>
  <c r="AO295" i="23" s="1"/>
  <c r="AM56" i="23"/>
  <c r="AM179" i="23"/>
  <c r="AM289" i="23"/>
  <c r="AM287" i="23" s="1"/>
  <c r="AJ11" i="23"/>
  <c r="AJ17" i="23"/>
  <c r="AJ24" i="23"/>
  <c r="AJ28" i="23"/>
  <c r="AJ35" i="23"/>
  <c r="AJ43" i="23"/>
  <c r="AJ206" i="23"/>
  <c r="AJ234" i="23"/>
  <c r="AJ248" i="23"/>
  <c r="AJ262" i="23"/>
  <c r="AJ77" i="23"/>
  <c r="AJ85" i="23"/>
  <c r="AJ94" i="23"/>
  <c r="AJ113" i="23"/>
  <c r="AJ124" i="23"/>
  <c r="AJ135" i="23"/>
  <c r="AJ157" i="23"/>
  <c r="AJ271" i="23"/>
  <c r="AJ63" i="23"/>
  <c r="AJ70" i="23"/>
  <c r="AJ100" i="23"/>
  <c r="AJ105" i="23"/>
  <c r="AJ128" i="23"/>
  <c r="AJ141" i="23"/>
  <c r="AJ145" i="23"/>
  <c r="AJ144" i="23" s="1"/>
  <c r="AJ153" i="23"/>
  <c r="AJ179" i="23"/>
  <c r="AJ184" i="23"/>
  <c r="AJ182" i="23" s="1"/>
  <c r="AJ240" i="23"/>
  <c r="AJ253" i="23"/>
  <c r="AJ266" i="23"/>
  <c r="AJ275" i="23"/>
  <c r="AJ269" i="23" s="1"/>
  <c r="AJ289" i="23"/>
  <c r="AJ287" i="23" s="1"/>
  <c r="AE99" i="23"/>
  <c r="AD275" i="23"/>
  <c r="AD271" i="23"/>
  <c r="AD266" i="23"/>
  <c r="AD262" i="23"/>
  <c r="AD253" i="23"/>
  <c r="AD248" i="23"/>
  <c r="AD240" i="23"/>
  <c r="AD234" i="23"/>
  <c r="AD206" i="23"/>
  <c r="AD184" i="23"/>
  <c r="AD182" i="23" s="1"/>
  <c r="AD170" i="23"/>
  <c r="AD168" i="23" s="1"/>
  <c r="AD157" i="23"/>
  <c r="AD153" i="23"/>
  <c r="AD144" i="23"/>
  <c r="AD141" i="23"/>
  <c r="AD135" i="23"/>
  <c r="AD128" i="23"/>
  <c r="AD124" i="23"/>
  <c r="AD113" i="23"/>
  <c r="AD105" i="23"/>
  <c r="AD99" i="23"/>
  <c r="AD94" i="23"/>
  <c r="AD77" i="23"/>
  <c r="AD70" i="23"/>
  <c r="AD63" i="23"/>
  <c r="AD35" i="23"/>
  <c r="AD28" i="23"/>
  <c r="AD24" i="23"/>
  <c r="AD17" i="23"/>
  <c r="AC275" i="23"/>
  <c r="AC271" i="23"/>
  <c r="AC266" i="23"/>
  <c r="AC262" i="23"/>
  <c r="AC253" i="23"/>
  <c r="AC248" i="23"/>
  <c r="AC240" i="23"/>
  <c r="AC234" i="23"/>
  <c r="AC206" i="23"/>
  <c r="AC184" i="23"/>
  <c r="AC182" i="23" s="1"/>
  <c r="AC170" i="23"/>
  <c r="AC168" i="23" s="1"/>
  <c r="AC157" i="23"/>
  <c r="AC135" i="23"/>
  <c r="AC144" i="23"/>
  <c r="AC153" i="23"/>
  <c r="AC141" i="23"/>
  <c r="AC128" i="23"/>
  <c r="AC124" i="23"/>
  <c r="AC113" i="23"/>
  <c r="AC105" i="23"/>
  <c r="AC99" i="23"/>
  <c r="AC94" i="23"/>
  <c r="AC85" i="23"/>
  <c r="AC77" i="23"/>
  <c r="AC63" i="23"/>
  <c r="AC50" i="23"/>
  <c r="AC35" i="23"/>
  <c r="AC28" i="23"/>
  <c r="AC24" i="23"/>
  <c r="AC11" i="23"/>
  <c r="AC17" i="23"/>
  <c r="AB275" i="23"/>
  <c r="AB271" i="23"/>
  <c r="AB266" i="23"/>
  <c r="AB262" i="23"/>
  <c r="AB248" i="23"/>
  <c r="AB253" i="23"/>
  <c r="AB240" i="23"/>
  <c r="AB234" i="23"/>
  <c r="AB206" i="23"/>
  <c r="AB184" i="23"/>
  <c r="AB182" i="23" s="1"/>
  <c r="AB170" i="23"/>
  <c r="AB168" i="23" s="1"/>
  <c r="AB157" i="23"/>
  <c r="AB153" i="23"/>
  <c r="AB135" i="23"/>
  <c r="AB144" i="23"/>
  <c r="AB141" i="23"/>
  <c r="AB128" i="23"/>
  <c r="AB124" i="23"/>
  <c r="AB113" i="23"/>
  <c r="AB105" i="23"/>
  <c r="AB99" i="23"/>
  <c r="AB94" i="23"/>
  <c r="AB85" i="23"/>
  <c r="AB77" i="23"/>
  <c r="AB71" i="23"/>
  <c r="AB70" i="23" s="1"/>
  <c r="AB63" i="23"/>
  <c r="AA275" i="23"/>
  <c r="AA271" i="23"/>
  <c r="AA266" i="23"/>
  <c r="AA262" i="23"/>
  <c r="AA248" i="23"/>
  <c r="AA240" i="23"/>
  <c r="AA234" i="23"/>
  <c r="AA206" i="23"/>
  <c r="AA184" i="23"/>
  <c r="AA182" i="23" s="1"/>
  <c r="AA170" i="23"/>
  <c r="AA168" i="23" s="1"/>
  <c r="AA157" i="23"/>
  <c r="AA153" i="23"/>
  <c r="AA135" i="23"/>
  <c r="AA141" i="23"/>
  <c r="AA144" i="23"/>
  <c r="AA128" i="23"/>
  <c r="AA124" i="23"/>
  <c r="AA113" i="23"/>
  <c r="AA99" i="23"/>
  <c r="AA94" i="23"/>
  <c r="AA85" i="23"/>
  <c r="AA71" i="23"/>
  <c r="AA63" i="23"/>
  <c r="AA35" i="23"/>
  <c r="AA28" i="23"/>
  <c r="AA24" i="23"/>
  <c r="T275" i="23"/>
  <c r="T271" i="23"/>
  <c r="T266" i="23"/>
  <c r="T262" i="23"/>
  <c r="T253" i="23"/>
  <c r="T240" i="23"/>
  <c r="T184" i="23"/>
  <c r="T182" i="23" s="1"/>
  <c r="T170" i="23"/>
  <c r="T168" i="23" s="1"/>
  <c r="T157" i="23"/>
  <c r="T153" i="23"/>
  <c r="T135" i="23"/>
  <c r="T144" i="23"/>
  <c r="T128" i="23"/>
  <c r="T124" i="23"/>
  <c r="T113" i="23"/>
  <c r="T100" i="23"/>
  <c r="T94" i="23"/>
  <c r="T85" i="23"/>
  <c r="T77" i="23"/>
  <c r="T70" i="23"/>
  <c r="T63" i="23"/>
  <c r="T56" i="23"/>
  <c r="T43" i="23"/>
  <c r="T28" i="23"/>
  <c r="T24" i="23"/>
  <c r="T11" i="23"/>
  <c r="G184" i="23"/>
  <c r="G182" i="23" s="1"/>
  <c r="H184" i="23"/>
  <c r="H182" i="23" s="1"/>
  <c r="I184" i="23"/>
  <c r="I182" i="23" s="1"/>
  <c r="J184" i="23"/>
  <c r="J182" i="23" s="1"/>
  <c r="K184" i="23"/>
  <c r="K182" i="23" s="1"/>
  <c r="M184" i="23"/>
  <c r="M182" i="23" s="1"/>
  <c r="N184" i="23"/>
  <c r="N182" i="23" s="1"/>
  <c r="O184" i="23"/>
  <c r="O182" i="23" s="1"/>
  <c r="P184" i="23"/>
  <c r="P182" i="23" s="1"/>
  <c r="Q184" i="23"/>
  <c r="Q182" i="23" s="1"/>
  <c r="R184" i="23"/>
  <c r="R182" i="23" s="1"/>
  <c r="S184" i="23"/>
  <c r="S182" i="23" s="1"/>
  <c r="U184" i="23"/>
  <c r="U182" i="23" s="1"/>
  <c r="Y184" i="23"/>
  <c r="Y182" i="23" s="1"/>
  <c r="AG185" i="23"/>
  <c r="AG184" i="23" s="1"/>
  <c r="AG182" i="23" s="1"/>
  <c r="AH185" i="23"/>
  <c r="AH184" i="23" s="1"/>
  <c r="AH182" i="23" s="1"/>
  <c r="AI184" i="23"/>
  <c r="AI182" i="23" s="1"/>
  <c r="G240" i="23"/>
  <c r="H240" i="23"/>
  <c r="P240" i="23"/>
  <c r="Q240" i="23"/>
  <c r="O240" i="23"/>
  <c r="K240" i="23"/>
  <c r="AG206" i="23"/>
  <c r="AG234" i="23"/>
  <c r="AG240" i="23"/>
  <c r="AH240" i="23"/>
  <c r="AI240" i="23"/>
  <c r="AH206" i="23"/>
  <c r="AH234" i="23"/>
  <c r="AI234" i="23"/>
  <c r="AI206" i="23"/>
  <c r="F271" i="23"/>
  <c r="G275" i="23"/>
  <c r="G269" i="23" s="1"/>
  <c r="H275" i="23"/>
  <c r="H269" i="23" s="1"/>
  <c r="I275" i="23"/>
  <c r="I269" i="23" s="1"/>
  <c r="J275" i="23"/>
  <c r="J269" i="23" s="1"/>
  <c r="K275" i="23"/>
  <c r="K269" i="23" s="1"/>
  <c r="M275" i="23"/>
  <c r="M269" i="23" s="1"/>
  <c r="N275" i="23"/>
  <c r="O275" i="23"/>
  <c r="O269" i="23" s="1"/>
  <c r="P275" i="23"/>
  <c r="P269" i="23" s="1"/>
  <c r="Q275" i="23"/>
  <c r="R275" i="23"/>
  <c r="R271" i="23"/>
  <c r="U275" i="23"/>
  <c r="U271" i="23"/>
  <c r="Y275" i="23"/>
  <c r="Y271" i="23"/>
  <c r="AG271" i="23"/>
  <c r="AG275" i="23"/>
  <c r="AH271" i="23"/>
  <c r="AI271" i="23"/>
  <c r="AI269" i="23" s="1"/>
  <c r="AI275" i="23"/>
  <c r="AG289" i="23"/>
  <c r="AG287" i="23" s="1"/>
  <c r="AH289" i="23"/>
  <c r="AH287" i="23" s="1"/>
  <c r="AI289" i="23"/>
  <c r="AI287" i="23" s="1"/>
  <c r="AK179" i="23"/>
  <c r="G253" i="23"/>
  <c r="H253" i="23"/>
  <c r="I253" i="23"/>
  <c r="N253" i="23"/>
  <c r="P253" i="23"/>
  <c r="Q253" i="23"/>
  <c r="R253" i="23"/>
  <c r="U253" i="23"/>
  <c r="P262" i="23"/>
  <c r="Q262" i="23"/>
  <c r="R262" i="23"/>
  <c r="Y262" i="23"/>
  <c r="Q248" i="23"/>
  <c r="Q266" i="23"/>
  <c r="U266" i="23"/>
  <c r="K253" i="23"/>
  <c r="G262" i="23"/>
  <c r="H262" i="23"/>
  <c r="I262" i="23"/>
  <c r="J262" i="23"/>
  <c r="K262" i="23"/>
  <c r="M262" i="23"/>
  <c r="N262" i="23"/>
  <c r="N248" i="23"/>
  <c r="N266" i="23"/>
  <c r="O262" i="23"/>
  <c r="U262" i="23"/>
  <c r="G248" i="23"/>
  <c r="G266" i="23"/>
  <c r="H248" i="23"/>
  <c r="I266" i="23"/>
  <c r="K248" i="23"/>
  <c r="M248" i="23"/>
  <c r="M266" i="23"/>
  <c r="O248" i="23"/>
  <c r="O246" i="23" s="1"/>
  <c r="P248" i="23"/>
  <c r="R248" i="23"/>
  <c r="U248" i="23"/>
  <c r="Y248" i="23"/>
  <c r="P266" i="23"/>
  <c r="H266" i="23"/>
  <c r="J266" i="23"/>
  <c r="K266" i="23"/>
  <c r="O266" i="23"/>
  <c r="R266" i="23"/>
  <c r="Y266" i="23"/>
  <c r="AG248" i="23"/>
  <c r="AG253" i="23"/>
  <c r="AG262" i="23"/>
  <c r="AG266" i="23"/>
  <c r="AH248" i="23"/>
  <c r="AH262" i="23"/>
  <c r="AH266" i="23"/>
  <c r="AI248" i="23"/>
  <c r="AI253" i="23"/>
  <c r="AI262" i="23"/>
  <c r="AI266" i="23"/>
  <c r="G11" i="23"/>
  <c r="H11" i="23"/>
  <c r="K11" i="23"/>
  <c r="M11" i="23"/>
  <c r="M24" i="23"/>
  <c r="M23" i="23" s="1"/>
  <c r="M43" i="23"/>
  <c r="M50" i="23"/>
  <c r="O11" i="23"/>
  <c r="P11" i="23"/>
  <c r="Q11" i="23"/>
  <c r="Q24" i="23"/>
  <c r="Q28" i="23"/>
  <c r="Q43" i="23"/>
  <c r="Q50" i="23"/>
  <c r="Q56" i="23"/>
  <c r="Q63" i="23"/>
  <c r="Q70" i="23"/>
  <c r="Q77" i="23"/>
  <c r="Q94" i="23"/>
  <c r="Q100" i="23"/>
  <c r="Q113" i="23"/>
  <c r="Q124" i="23"/>
  <c r="Q128" i="23"/>
  <c r="Q135" i="23"/>
  <c r="Q144" i="23"/>
  <c r="Q153" i="23"/>
  <c r="Q157" i="23"/>
  <c r="Q170" i="23"/>
  <c r="Q168" i="23" s="1"/>
  <c r="Q271" i="23"/>
  <c r="R11" i="23"/>
  <c r="U11" i="23"/>
  <c r="U43" i="23"/>
  <c r="U50" i="23"/>
  <c r="U56" i="23"/>
  <c r="Y11" i="23"/>
  <c r="G28" i="23"/>
  <c r="H24" i="23"/>
  <c r="K24" i="23"/>
  <c r="K23" i="23" s="1"/>
  <c r="K43" i="23"/>
  <c r="K50" i="23"/>
  <c r="P24" i="23"/>
  <c r="P28" i="23"/>
  <c r="R24" i="23"/>
  <c r="AG11" i="23"/>
  <c r="AG17" i="23"/>
  <c r="AG24" i="23"/>
  <c r="AG28" i="23"/>
  <c r="AG35" i="23"/>
  <c r="AG43" i="23"/>
  <c r="AG50" i="23"/>
  <c r="AI35" i="23"/>
  <c r="AI43" i="23"/>
  <c r="AF56" i="23"/>
  <c r="AI11" i="23"/>
  <c r="AI17" i="23"/>
  <c r="AI24" i="23"/>
  <c r="AI28" i="23"/>
  <c r="AI50" i="23"/>
  <c r="G70" i="23"/>
  <c r="H70" i="23"/>
  <c r="I70" i="23"/>
  <c r="J70" i="23"/>
  <c r="K70" i="23"/>
  <c r="M70" i="23"/>
  <c r="N70" i="23"/>
  <c r="O70" i="23"/>
  <c r="P70" i="23"/>
  <c r="U70" i="23"/>
  <c r="Y70" i="23"/>
  <c r="G77" i="23"/>
  <c r="H77" i="23"/>
  <c r="J77" i="23"/>
  <c r="K77" i="23"/>
  <c r="N77" i="23"/>
  <c r="P77" i="23"/>
  <c r="P94" i="23"/>
  <c r="P63" i="23"/>
  <c r="P85" i="23"/>
  <c r="P113" i="23"/>
  <c r="P100" i="23"/>
  <c r="R77" i="23"/>
  <c r="I63" i="23"/>
  <c r="I113" i="23"/>
  <c r="I100" i="23"/>
  <c r="O77" i="23"/>
  <c r="O94" i="23"/>
  <c r="O113" i="23"/>
  <c r="O85" i="23"/>
  <c r="G85" i="23"/>
  <c r="H85" i="23"/>
  <c r="M85" i="23"/>
  <c r="N85" i="23"/>
  <c r="G94" i="23"/>
  <c r="H94" i="23"/>
  <c r="J94" i="23"/>
  <c r="K94" i="23"/>
  <c r="N94" i="23"/>
  <c r="R94" i="23"/>
  <c r="U94" i="23"/>
  <c r="AF69" i="23"/>
  <c r="AG63" i="23"/>
  <c r="AH63" i="23"/>
  <c r="AI63" i="23"/>
  <c r="AI77" i="23"/>
  <c r="AI85" i="23"/>
  <c r="AI94" i="23"/>
  <c r="AI105" i="23"/>
  <c r="AI113" i="23"/>
  <c r="AG70" i="23"/>
  <c r="AG77" i="23"/>
  <c r="AH77" i="23"/>
  <c r="AG85" i="23"/>
  <c r="AG94" i="23"/>
  <c r="AH94" i="23"/>
  <c r="AG100" i="23"/>
  <c r="AG105" i="23"/>
  <c r="AH105" i="23"/>
  <c r="AG113" i="23"/>
  <c r="AG124" i="23"/>
  <c r="AH124" i="23"/>
  <c r="AI124" i="23"/>
  <c r="AG128" i="23"/>
  <c r="AH70" i="23"/>
  <c r="AH85" i="23"/>
  <c r="AH100" i="23"/>
  <c r="AH113" i="23"/>
  <c r="AH128" i="23"/>
  <c r="AI100" i="23"/>
  <c r="AI128" i="23"/>
  <c r="AI70" i="23"/>
  <c r="G135" i="23"/>
  <c r="H135" i="23"/>
  <c r="I135" i="23"/>
  <c r="I141" i="23"/>
  <c r="I153" i="23"/>
  <c r="J135" i="23"/>
  <c r="J144" i="23"/>
  <c r="J153" i="23"/>
  <c r="J157" i="23"/>
  <c r="J141" i="23"/>
  <c r="K135" i="23"/>
  <c r="N135" i="23"/>
  <c r="N157" i="23"/>
  <c r="O135" i="23"/>
  <c r="P135" i="23"/>
  <c r="P144" i="23"/>
  <c r="P153" i="23"/>
  <c r="P157" i="23"/>
  <c r="P141" i="23"/>
  <c r="R135" i="23"/>
  <c r="R144" i="23"/>
  <c r="G144" i="23"/>
  <c r="I144" i="23"/>
  <c r="Y144" i="23"/>
  <c r="R153" i="23"/>
  <c r="R157" i="23"/>
  <c r="U135" i="23"/>
  <c r="Y135" i="23"/>
  <c r="H144" i="23"/>
  <c r="U144" i="23"/>
  <c r="K144" i="23"/>
  <c r="K153" i="23"/>
  <c r="K157" i="23"/>
  <c r="N144" i="23"/>
  <c r="U157" i="23"/>
  <c r="U153" i="23"/>
  <c r="G153" i="23"/>
  <c r="H153" i="23"/>
  <c r="Y153" i="23"/>
  <c r="Y157" i="23"/>
  <c r="N153" i="23"/>
  <c r="O153" i="23"/>
  <c r="G157" i="23"/>
  <c r="H157" i="23"/>
  <c r="O157" i="23"/>
  <c r="G141" i="23"/>
  <c r="H141" i="23"/>
  <c r="K141" i="23"/>
  <c r="M141" i="23"/>
  <c r="N141" i="23"/>
  <c r="O141" i="23"/>
  <c r="AG135" i="23"/>
  <c r="AG144" i="23"/>
  <c r="AG141" i="23"/>
  <c r="AG153" i="23"/>
  <c r="AH135" i="23"/>
  <c r="AH157" i="23"/>
  <c r="AH141" i="23"/>
  <c r="AH144" i="23"/>
  <c r="AH153" i="23"/>
  <c r="AI135" i="23"/>
  <c r="AI141" i="23"/>
  <c r="AI145" i="23"/>
  <c r="AI157" i="23"/>
  <c r="AI153" i="23"/>
  <c r="G170" i="23"/>
  <c r="G168" i="23" s="1"/>
  <c r="H170" i="23"/>
  <c r="I170" i="23"/>
  <c r="I168" i="23" s="1"/>
  <c r="J170" i="23"/>
  <c r="J168" i="23" s="1"/>
  <c r="K170" i="23"/>
  <c r="K168" i="23" s="1"/>
  <c r="M170" i="23"/>
  <c r="M168" i="23" s="1"/>
  <c r="N170" i="23"/>
  <c r="N168" i="23" s="1"/>
  <c r="O170" i="23"/>
  <c r="O168" i="23" s="1"/>
  <c r="P170" i="23"/>
  <c r="P168" i="23" s="1"/>
  <c r="R170" i="23"/>
  <c r="R168" i="23" s="1"/>
  <c r="U170" i="23"/>
  <c r="U168" i="23" s="1"/>
  <c r="Y170" i="23"/>
  <c r="AG170" i="23"/>
  <c r="AG179" i="23"/>
  <c r="AH170" i="23"/>
  <c r="AH179" i="23"/>
  <c r="AI179" i="23"/>
  <c r="AI177" i="23" s="1"/>
  <c r="AF142" i="23"/>
  <c r="F171" i="23"/>
  <c r="AF171" i="23"/>
  <c r="F172" i="23"/>
  <c r="AF172" i="23"/>
  <c r="F173" i="23"/>
  <c r="AF173" i="23"/>
  <c r="F174" i="23"/>
  <c r="AF174" i="23"/>
  <c r="F175" i="23"/>
  <c r="AF175" i="23"/>
  <c r="F176" i="23"/>
  <c r="F177" i="23"/>
  <c r="O43" i="23"/>
  <c r="O50" i="23"/>
  <c r="Y43" i="23"/>
  <c r="Y50" i="23"/>
  <c r="Y246" i="23"/>
  <c r="Y56" i="23"/>
  <c r="P43" i="23"/>
  <c r="P50" i="23"/>
  <c r="H43" i="23"/>
  <c r="H50" i="23"/>
  <c r="G43" i="23"/>
  <c r="G50" i="23"/>
  <c r="R43" i="23"/>
  <c r="R50" i="23"/>
  <c r="R56" i="23"/>
  <c r="AF211" i="23"/>
  <c r="AI297" i="23"/>
  <c r="AI295" i="23" s="1"/>
  <c r="U307" i="23"/>
  <c r="N310" i="23"/>
  <c r="N311" i="23"/>
  <c r="M324" i="23"/>
  <c r="M323" i="23"/>
  <c r="M322" i="23"/>
  <c r="M309" i="23"/>
  <c r="M316" i="23"/>
  <c r="G63" i="23"/>
  <c r="G113" i="23"/>
  <c r="G100" i="23"/>
  <c r="H113" i="23"/>
  <c r="H63" i="23"/>
  <c r="H100" i="23"/>
  <c r="H61" i="23" s="1"/>
  <c r="J113" i="23"/>
  <c r="J63" i="23"/>
  <c r="J100" i="23"/>
  <c r="K63" i="23"/>
  <c r="K100" i="23"/>
  <c r="K113" i="23"/>
  <c r="M63" i="23"/>
  <c r="M100" i="23"/>
  <c r="M105" i="23"/>
  <c r="M113" i="23"/>
  <c r="N113" i="23"/>
  <c r="N63" i="23"/>
  <c r="N61" i="23" s="1"/>
  <c r="N100" i="23"/>
  <c r="O63" i="23"/>
  <c r="O100" i="23"/>
  <c r="R63" i="23"/>
  <c r="R100" i="23"/>
  <c r="R124" i="23"/>
  <c r="R128" i="23"/>
  <c r="U63" i="23"/>
  <c r="U113" i="23"/>
  <c r="U85" i="23"/>
  <c r="U100" i="23"/>
  <c r="U124" i="23"/>
  <c r="U128" i="23"/>
  <c r="Y63" i="23"/>
  <c r="Y100" i="23"/>
  <c r="Y124" i="23"/>
  <c r="Y128" i="23"/>
  <c r="AG297" i="23"/>
  <c r="AG295" i="23" s="1"/>
  <c r="AF10" i="23"/>
  <c r="AF16" i="23"/>
  <c r="AF22" i="23"/>
  <c r="AF27" i="23"/>
  <c r="AF31" i="23"/>
  <c r="AF34" i="23"/>
  <c r="AF42" i="23"/>
  <c r="AF49" i="23"/>
  <c r="AF55" i="23"/>
  <c r="AF60" i="23"/>
  <c r="AF62" i="23"/>
  <c r="E109" i="23"/>
  <c r="F127" i="23"/>
  <c r="AF132" i="23"/>
  <c r="E178" i="23"/>
  <c r="F180" i="23"/>
  <c r="AF180" i="23"/>
  <c r="AF183" i="23"/>
  <c r="F185" i="23"/>
  <c r="AF195" i="23"/>
  <c r="AF247" i="23"/>
  <c r="AF257" i="23"/>
  <c r="AF288" i="23"/>
  <c r="AF294" i="23"/>
  <c r="AF296" i="23"/>
  <c r="D317" i="23"/>
  <c r="AH297" i="23"/>
  <c r="AH295" i="23" s="1"/>
  <c r="AF271" i="23"/>
  <c r="AQ184" i="23"/>
  <c r="AQ182" i="23" s="1"/>
  <c r="M157" i="23"/>
  <c r="E292" i="23"/>
  <c r="E290" i="23"/>
  <c r="AN43" i="23"/>
  <c r="AA50" i="23"/>
  <c r="M135" i="23"/>
  <c r="M133" i="23" s="1"/>
  <c r="AM100" i="23"/>
  <c r="Z266" i="23"/>
  <c r="AF17" i="23"/>
  <c r="AF63" i="23"/>
  <c r="AF135" i="23"/>
  <c r="AF124" i="23"/>
  <c r="N269" i="23"/>
  <c r="E98" i="23"/>
  <c r="AK72" i="23"/>
  <c r="E251" i="23"/>
  <c r="AF128" i="23"/>
  <c r="Z262" i="23"/>
  <c r="L133" i="23"/>
  <c r="AF105" i="23"/>
  <c r="AK129" i="23"/>
  <c r="AK128" i="23" s="1"/>
  <c r="AH269" i="23"/>
  <c r="L113" i="23"/>
  <c r="AA77" i="23"/>
  <c r="F124" i="23"/>
  <c r="AK64" i="23"/>
  <c r="AF157" i="23"/>
  <c r="D211" i="23"/>
  <c r="Z99" i="23"/>
  <c r="Z128" i="23"/>
  <c r="AM153" i="23"/>
  <c r="S23" i="23"/>
  <c r="J23" i="23"/>
  <c r="D215" i="23"/>
  <c r="AB297" i="23"/>
  <c r="AB295" i="23" s="1"/>
  <c r="AF145" i="23"/>
  <c r="D145" i="23" s="1"/>
  <c r="Z63" i="23"/>
  <c r="AK236" i="23"/>
  <c r="AM234" i="23"/>
  <c r="K92" i="42"/>
  <c r="K84" i="42" s="1"/>
  <c r="E56" i="23"/>
  <c r="AK176" i="23"/>
  <c r="AK170" i="23" s="1"/>
  <c r="G23" i="23"/>
  <c r="G9" i="23" s="1"/>
  <c r="E109" i="42"/>
  <c r="H80" i="43"/>
  <c r="H79" i="43" s="1"/>
  <c r="E272" i="23"/>
  <c r="Q269" i="23"/>
  <c r="F179" i="23"/>
  <c r="H76" i="43"/>
  <c r="I87" i="42"/>
  <c r="AM271" i="23"/>
  <c r="H168" i="23"/>
  <c r="D151" i="23"/>
  <c r="AM128" i="23"/>
  <c r="F275" i="23"/>
  <c r="AO269" i="23"/>
  <c r="D163" i="23"/>
  <c r="D159" i="23"/>
  <c r="F63" i="23"/>
  <c r="Z234" i="23"/>
  <c r="AK299" i="23"/>
  <c r="AF304" i="23" s="1"/>
  <c r="AK271" i="23"/>
  <c r="Q133" i="23"/>
  <c r="J246" i="23"/>
  <c r="AM17" i="23"/>
  <c r="AG246" i="23"/>
  <c r="X246" i="23"/>
  <c r="V246" i="23"/>
  <c r="U246" i="23"/>
  <c r="F70" i="23"/>
  <c r="D162" i="23"/>
  <c r="AF113" i="23"/>
  <c r="AK28" i="23"/>
  <c r="M318" i="23"/>
  <c r="M311" i="23"/>
  <c r="AF253" i="23"/>
  <c r="J118" i="42"/>
  <c r="E118" i="42" s="1"/>
  <c r="H133" i="23"/>
  <c r="AK139" i="23"/>
  <c r="AM70" i="23"/>
  <c r="F184" i="23"/>
  <c r="G133" i="23"/>
  <c r="AK66" i="23"/>
  <c r="AM63" i="23"/>
  <c r="AM124" i="23"/>
  <c r="AK125" i="23"/>
  <c r="AM113" i="23"/>
  <c r="AF144" i="23"/>
  <c r="AM144" i="23"/>
  <c r="Y168" i="23"/>
  <c r="U61" i="23"/>
  <c r="AM253" i="23"/>
  <c r="AK255" i="23"/>
  <c r="AM258" i="23"/>
  <c r="AM24" i="23"/>
  <c r="G246" i="23"/>
  <c r="F234" i="23"/>
  <c r="E38" i="23"/>
  <c r="D139" i="23"/>
  <c r="E171" i="23"/>
  <c r="H246" i="23"/>
  <c r="F248" i="23"/>
  <c r="AF70" i="23"/>
  <c r="AF100" i="23"/>
  <c r="AK213" i="23"/>
  <c r="AM209" i="23"/>
  <c r="J23" i="42"/>
  <c r="E23" i="42" s="1"/>
  <c r="F116" i="43"/>
  <c r="AK199" i="23"/>
  <c r="AF153" i="23"/>
  <c r="AF141" i="23"/>
  <c r="AG23" i="23"/>
  <c r="AG9" i="23" s="1"/>
  <c r="AG269" i="23"/>
  <c r="AB269" i="23"/>
  <c r="S133" i="23"/>
  <c r="AN246" i="23"/>
  <c r="AK267" i="23"/>
  <c r="AK266" i="23" s="1"/>
  <c r="AM266" i="23"/>
  <c r="F105" i="23"/>
  <c r="V133" i="23"/>
  <c r="X133" i="23"/>
  <c r="AF240" i="23"/>
  <c r="D237" i="23"/>
  <c r="D236" i="23"/>
  <c r="D235" i="23"/>
  <c r="I106" i="42"/>
  <c r="AG168" i="23"/>
  <c r="AB133" i="23"/>
  <c r="AP133" i="23"/>
  <c r="AP246" i="23"/>
  <c r="AB23" i="23"/>
  <c r="AO246" i="23"/>
  <c r="X23" i="23"/>
  <c r="AK263" i="23"/>
  <c r="AK262" i="23" s="1"/>
  <c r="D220" i="23"/>
  <c r="H75" i="43"/>
  <c r="W269" i="23"/>
  <c r="Z269" i="23"/>
  <c r="D216" i="23"/>
  <c r="AL269" i="23"/>
  <c r="Z144" i="23"/>
  <c r="Z113" i="23"/>
  <c r="D190" i="23"/>
  <c r="D155" i="23"/>
  <c r="D222" i="23"/>
  <c r="F182" i="23"/>
  <c r="AK124" i="23"/>
  <c r="AK24" i="23"/>
  <c r="AF11" i="23"/>
  <c r="Z50" i="23"/>
  <c r="W23" i="23"/>
  <c r="W9" i="23" s="1"/>
  <c r="V23" i="23"/>
  <c r="U23" i="23"/>
  <c r="U9" i="23" s="1"/>
  <c r="D223" i="23"/>
  <c r="E298" i="23"/>
  <c r="D214" i="23"/>
  <c r="AK242" i="23"/>
  <c r="AK240" i="23" s="1"/>
  <c r="E287" i="23"/>
  <c r="D301" i="23"/>
  <c r="D302" i="23" s="1"/>
  <c r="AM248" i="23" l="1"/>
  <c r="D41" i="23"/>
  <c r="D298" i="23"/>
  <c r="Q61" i="23"/>
  <c r="D40" i="23"/>
  <c r="D38" i="23"/>
  <c r="E108" i="23"/>
  <c r="D175" i="23"/>
  <c r="E174" i="23"/>
  <c r="E173" i="23"/>
  <c r="D172" i="23"/>
  <c r="D171" i="23"/>
  <c r="AG133" i="23"/>
  <c r="F153" i="23"/>
  <c r="T269" i="23"/>
  <c r="Z206" i="23"/>
  <c r="Z258" i="23"/>
  <c r="D280" i="23"/>
  <c r="D226" i="23"/>
  <c r="D221" i="23"/>
  <c r="AK248" i="23"/>
  <c r="Z248" i="23"/>
  <c r="F209" i="23"/>
  <c r="Z11" i="23"/>
  <c r="D39" i="23"/>
  <c r="M61" i="23"/>
  <c r="K61" i="23"/>
  <c r="AF179" i="23"/>
  <c r="E179" i="23" s="1"/>
  <c r="E40" i="23"/>
  <c r="D108" i="23"/>
  <c r="F269" i="23"/>
  <c r="D57" i="23"/>
  <c r="D56" i="23" s="1"/>
  <c r="AM297" i="23"/>
  <c r="AM295" i="23" s="1"/>
  <c r="E236" i="23"/>
  <c r="AM275" i="23"/>
  <c r="AQ177" i="23"/>
  <c r="E180" i="23"/>
  <c r="E291" i="23"/>
  <c r="AH168" i="23"/>
  <c r="AI61" i="23"/>
  <c r="H23" i="23"/>
  <c r="H9" i="23" s="1"/>
  <c r="V194" i="23"/>
  <c r="AK209" i="23"/>
  <c r="F170" i="23"/>
  <c r="F168" i="23" s="1"/>
  <c r="D180" i="23"/>
  <c r="D179" i="23" s="1"/>
  <c r="O61" i="23"/>
  <c r="E175" i="23"/>
  <c r="E172" i="23"/>
  <c r="AA246" i="23"/>
  <c r="AC246" i="23"/>
  <c r="AC269" i="23"/>
  <c r="H188" i="43"/>
  <c r="F93" i="43"/>
  <c r="K93" i="43"/>
  <c r="K92" i="43" s="1"/>
  <c r="C151" i="43"/>
  <c r="C149" i="43"/>
  <c r="D123" i="43"/>
  <c r="D80" i="43"/>
  <c r="D79" i="43" s="1"/>
  <c r="D188" i="23"/>
  <c r="AA269" i="23"/>
  <c r="AK70" i="23"/>
  <c r="D234" i="23"/>
  <c r="AK234" i="23"/>
  <c r="E60" i="42"/>
  <c r="G14" i="42"/>
  <c r="E106" i="42"/>
  <c r="J70" i="42"/>
  <c r="E114" i="42"/>
  <c r="J60" i="42"/>
  <c r="C74" i="42"/>
  <c r="C123" i="43"/>
  <c r="C41" i="42"/>
  <c r="C40" i="42" s="1"/>
  <c r="C88" i="42"/>
  <c r="C87" i="42" s="1"/>
  <c r="C85" i="42" s="1"/>
  <c r="C158" i="42"/>
  <c r="C149" i="42"/>
  <c r="C147" i="42"/>
  <c r="C139" i="42"/>
  <c r="C143" i="43"/>
  <c r="C99" i="42"/>
  <c r="C34" i="42"/>
  <c r="C13" i="24"/>
  <c r="C78" i="42"/>
  <c r="I35" i="43"/>
  <c r="C153" i="42"/>
  <c r="C57" i="42"/>
  <c r="C33" i="42"/>
  <c r="C32" i="42" s="1"/>
  <c r="C18" i="43"/>
  <c r="G84" i="42"/>
  <c r="C143" i="42"/>
  <c r="AK289" i="23"/>
  <c r="AK287" i="23" s="1"/>
  <c r="D293" i="23"/>
  <c r="D289" i="23" s="1"/>
  <c r="D287" i="23" s="1"/>
  <c r="D278" i="23"/>
  <c r="D213" i="23"/>
  <c r="AK297" i="23"/>
  <c r="AK295" i="23" s="1"/>
  <c r="Q246" i="23"/>
  <c r="Y269" i="23"/>
  <c r="R269" i="23"/>
  <c r="AH194" i="23"/>
  <c r="AD133" i="23"/>
  <c r="AD246" i="23"/>
  <c r="AD269" i="23"/>
  <c r="AJ177" i="23"/>
  <c r="AJ170" i="23" s="1"/>
  <c r="AJ168" i="23" s="1"/>
  <c r="AO177" i="23"/>
  <c r="AO170" i="23" s="1"/>
  <c r="AO168" i="23" s="1"/>
  <c r="AO23" i="23"/>
  <c r="AO9" i="23" s="1"/>
  <c r="AP177" i="23"/>
  <c r="AP170" i="23" s="1"/>
  <c r="AP168" i="23" s="1"/>
  <c r="AN269" i="23"/>
  <c r="AE269" i="23"/>
  <c r="L269" i="23"/>
  <c r="V269" i="23"/>
  <c r="W168" i="23"/>
  <c r="W194" i="23"/>
  <c r="W246" i="23"/>
  <c r="X194" i="23"/>
  <c r="E97" i="23"/>
  <c r="Z124" i="23"/>
  <c r="Z135" i="23"/>
  <c r="L194" i="23"/>
  <c r="AK63" i="23"/>
  <c r="D173" i="23"/>
  <c r="Y133" i="23"/>
  <c r="P23" i="23"/>
  <c r="P9" i="23" s="1"/>
  <c r="AH246" i="23"/>
  <c r="M246" i="23"/>
  <c r="AC133" i="23"/>
  <c r="AF196" i="23"/>
  <c r="AI144" i="23"/>
  <c r="E145" i="23"/>
  <c r="E144" i="23" s="1"/>
  <c r="E133" i="23" s="1"/>
  <c r="AN177" i="23"/>
  <c r="AN170" i="23" s="1"/>
  <c r="AN168" i="23" s="1"/>
  <c r="AK253" i="23"/>
  <c r="Y194" i="23"/>
  <c r="T194" i="23"/>
  <c r="R194" i="23"/>
  <c r="P194" i="23"/>
  <c r="N194" i="23"/>
  <c r="J194" i="23"/>
  <c r="H194" i="23"/>
  <c r="V168" i="23"/>
  <c r="U269" i="23"/>
  <c r="AI194" i="23"/>
  <c r="AG194" i="23"/>
  <c r="T23" i="23"/>
  <c r="T9" i="23" s="1"/>
  <c r="T61" i="23"/>
  <c r="Z71" i="23"/>
  <c r="E71" i="23"/>
  <c r="E70" i="23" s="1"/>
  <c r="AA194" i="23"/>
  <c r="AB194" i="23"/>
  <c r="AC23" i="23"/>
  <c r="AC9" i="23" s="1"/>
  <c r="AC194" i="23"/>
  <c r="AD194" i="23"/>
  <c r="AJ194" i="23"/>
  <c r="AO194" i="23"/>
  <c r="AP194" i="23"/>
  <c r="AQ246" i="23"/>
  <c r="AQ194" i="23"/>
  <c r="AQ133" i="23"/>
  <c r="S269" i="23"/>
  <c r="AN194" i="23"/>
  <c r="AE194" i="23"/>
  <c r="L23" i="23"/>
  <c r="AH23" i="23"/>
  <c r="AH9" i="23" s="1"/>
  <c r="D150" i="23"/>
  <c r="AK153" i="23"/>
  <c r="N23" i="23"/>
  <c r="AQ168" i="23"/>
  <c r="U194" i="23"/>
  <c r="S194" i="23"/>
  <c r="Q194" i="23"/>
  <c r="O194" i="23"/>
  <c r="M194" i="23"/>
  <c r="K194" i="23"/>
  <c r="I194" i="23"/>
  <c r="D272" i="23"/>
  <c r="D241" i="23"/>
  <c r="AL194" i="23"/>
  <c r="AF28" i="23"/>
  <c r="D15" i="23"/>
  <c r="Z17" i="23"/>
  <c r="H14" i="42"/>
  <c r="H12" i="42" s="1"/>
  <c r="G12" i="42"/>
  <c r="J116" i="42"/>
  <c r="E84" i="42"/>
  <c r="F206" i="23"/>
  <c r="AK206" i="23"/>
  <c r="AM206" i="23"/>
  <c r="D207" i="23"/>
  <c r="Z196" i="23"/>
  <c r="F196" i="23"/>
  <c r="AK202" i="23"/>
  <c r="AM196" i="23"/>
  <c r="AF297" i="23"/>
  <c r="AF295" i="23" s="1"/>
  <c r="C156" i="42"/>
  <c r="J115" i="42"/>
  <c r="J113" i="42" s="1"/>
  <c r="J16" i="42"/>
  <c r="K113" i="42"/>
  <c r="J92" i="42"/>
  <c r="J114" i="42"/>
  <c r="H84" i="42"/>
  <c r="E57" i="42"/>
  <c r="E53" i="42" s="1"/>
  <c r="J53" i="42"/>
  <c r="H122" i="42"/>
  <c r="H113" i="42" s="1"/>
  <c r="H44" i="42"/>
  <c r="I44" i="42"/>
  <c r="E160" i="42"/>
  <c r="K44" i="42"/>
  <c r="K14" i="42" s="1"/>
  <c r="K12" i="42" s="1"/>
  <c r="K10" i="42" s="1"/>
  <c r="K8" i="42" s="1"/>
  <c r="G44" i="42"/>
  <c r="E36" i="42"/>
  <c r="E32" i="42" s="1"/>
  <c r="J32" i="42"/>
  <c r="E70" i="42"/>
  <c r="E76" i="42"/>
  <c r="E163" i="42"/>
  <c r="J46" i="42"/>
  <c r="J44" i="42" s="1"/>
  <c r="G16" i="42"/>
  <c r="D299" i="23"/>
  <c r="D297" i="23" s="1"/>
  <c r="D295" i="23" s="1"/>
  <c r="H74" i="43"/>
  <c r="H73" i="43" s="1"/>
  <c r="E46" i="42"/>
  <c r="I16" i="42"/>
  <c r="H16" i="42"/>
  <c r="AF275" i="23"/>
  <c r="D149" i="23"/>
  <c r="AK144" i="23"/>
  <c r="D224" i="23"/>
  <c r="E37" i="23"/>
  <c r="D37" i="23"/>
  <c r="D281" i="23"/>
  <c r="D212" i="23"/>
  <c r="D197" i="23"/>
  <c r="AK100" i="23"/>
  <c r="AF133" i="23"/>
  <c r="O133" i="23"/>
  <c r="J133" i="23"/>
  <c r="AG61" i="23"/>
  <c r="R61" i="23"/>
  <c r="P61" i="23"/>
  <c r="F266" i="23"/>
  <c r="AB61" i="23"/>
  <c r="AC61" i="23"/>
  <c r="AJ246" i="23"/>
  <c r="AP269" i="23"/>
  <c r="AN61" i="23"/>
  <c r="Y23" i="23"/>
  <c r="Y9" i="23" s="1"/>
  <c r="AB9" i="23"/>
  <c r="F17" i="23"/>
  <c r="V61" i="23"/>
  <c r="W133" i="23"/>
  <c r="D189" i="23"/>
  <c r="D187" i="23"/>
  <c r="N246" i="23"/>
  <c r="AB246" i="23"/>
  <c r="J18" i="42"/>
  <c r="AL246" i="23"/>
  <c r="F142" i="43"/>
  <c r="F122" i="43" s="1"/>
  <c r="F121" i="43" s="1"/>
  <c r="D137" i="23"/>
  <c r="D86" i="23"/>
  <c r="D20" i="23"/>
  <c r="I10" i="43"/>
  <c r="I8" i="43" s="1"/>
  <c r="D259" i="23"/>
  <c r="D204" i="23"/>
  <c r="D202" i="23"/>
  <c r="AK258" i="23"/>
  <c r="D256" i="23"/>
  <c r="D130" i="23"/>
  <c r="F100" i="23"/>
  <c r="D102" i="23"/>
  <c r="D101" i="23"/>
  <c r="D115" i="23"/>
  <c r="D107" i="23"/>
  <c r="D105" i="23" s="1"/>
  <c r="D95" i="23"/>
  <c r="D96" i="23"/>
  <c r="D67" i="23"/>
  <c r="D64" i="23"/>
  <c r="D92" i="23"/>
  <c r="D88" i="23"/>
  <c r="D87" i="23"/>
  <c r="D90" i="23"/>
  <c r="D74" i="23"/>
  <c r="D72" i="23"/>
  <c r="D81" i="23"/>
  <c r="D78" i="23"/>
  <c r="D80" i="23"/>
  <c r="AK35" i="23"/>
  <c r="AK23" i="23" s="1"/>
  <c r="D30" i="23"/>
  <c r="D26" i="23"/>
  <c r="D14" i="23"/>
  <c r="D13" i="23"/>
  <c r="D225" i="23"/>
  <c r="D218" i="23"/>
  <c r="J21" i="42"/>
  <c r="N313" i="23"/>
  <c r="D174" i="23"/>
  <c r="F141" i="23"/>
  <c r="N133" i="23"/>
  <c r="G61" i="23"/>
  <c r="AI23" i="23"/>
  <c r="AI9" i="23" s="1"/>
  <c r="Q23" i="23"/>
  <c r="Q9" i="23" s="1"/>
  <c r="K246" i="23"/>
  <c r="R246" i="23"/>
  <c r="F253" i="23"/>
  <c r="F240" i="23"/>
  <c r="T246" i="23"/>
  <c r="AA70" i="23"/>
  <c r="AA61" i="23" s="1"/>
  <c r="AA133" i="23"/>
  <c r="AN133" i="23"/>
  <c r="AE246" i="23"/>
  <c r="L246" i="23"/>
  <c r="O23" i="23"/>
  <c r="S61" i="23"/>
  <c r="X61" i="23"/>
  <c r="X269" i="23"/>
  <c r="D232" i="23"/>
  <c r="D217" i="23"/>
  <c r="AI246" i="23"/>
  <c r="I246" i="23"/>
  <c r="Z35" i="23"/>
  <c r="D97" i="23"/>
  <c r="J35" i="43"/>
  <c r="J12" i="43"/>
  <c r="AF209" i="23"/>
  <c r="AF206" i="23" s="1"/>
  <c r="AK135" i="23"/>
  <c r="D19" i="23"/>
  <c r="D21" i="23"/>
  <c r="D203" i="23"/>
  <c r="D198" i="23"/>
  <c r="R23" i="23"/>
  <c r="R9" i="23" s="1"/>
  <c r="AF258" i="23"/>
  <c r="AF246" i="23" s="1"/>
  <c r="D255" i="23"/>
  <c r="D131" i="23"/>
  <c r="D103" i="23"/>
  <c r="D118" i="23"/>
  <c r="D106" i="23"/>
  <c r="D68" i="23"/>
  <c r="D66" i="23"/>
  <c r="D65" i="23"/>
  <c r="D91" i="23"/>
  <c r="AF85" i="23"/>
  <c r="D75" i="23"/>
  <c r="D73" i="23"/>
  <c r="D83" i="23"/>
  <c r="D79" i="23"/>
  <c r="D82" i="23"/>
  <c r="D54" i="23"/>
  <c r="D53" i="23"/>
  <c r="D52" i="23"/>
  <c r="D51" i="23"/>
  <c r="D48" i="23"/>
  <c r="D47" i="23"/>
  <c r="D46" i="23"/>
  <c r="D45" i="23"/>
  <c r="D44" i="23"/>
  <c r="D36" i="23"/>
  <c r="D33" i="23"/>
  <c r="D32" i="23"/>
  <c r="D29" i="23"/>
  <c r="D28" i="23" s="1"/>
  <c r="D25" i="23"/>
  <c r="AK17" i="23"/>
  <c r="J106" i="42"/>
  <c r="M44" i="42"/>
  <c r="M12" i="42" s="1"/>
  <c r="M10" i="42" s="1"/>
  <c r="C102" i="43"/>
  <c r="C155" i="42"/>
  <c r="C12" i="24"/>
  <c r="D102" i="43"/>
  <c r="D101" i="43" s="1"/>
  <c r="D100" i="43" s="1"/>
  <c r="C94" i="42" s="1"/>
  <c r="C58" i="43"/>
  <c r="C47" i="43"/>
  <c r="D46" i="43"/>
  <c r="C55" i="42" s="1"/>
  <c r="C38" i="43"/>
  <c r="D37" i="43"/>
  <c r="AL177" i="23"/>
  <c r="S246" i="23"/>
  <c r="D89" i="23"/>
  <c r="AM11" i="23"/>
  <c r="AK11" i="23"/>
  <c r="C161" i="43"/>
  <c r="D148" i="43"/>
  <c r="E142" i="43"/>
  <c r="E122" i="43" s="1"/>
  <c r="E121" i="43" s="1"/>
  <c r="AQ23" i="23"/>
  <c r="AQ9" i="23" s="1"/>
  <c r="AP23" i="23"/>
  <c r="AP9" i="23" s="1"/>
  <c r="D165" i="23"/>
  <c r="AO133" i="23"/>
  <c r="AM135" i="23"/>
  <c r="AM105" i="23"/>
  <c r="AM94" i="23"/>
  <c r="AM77" i="23"/>
  <c r="AO61" i="23"/>
  <c r="AK50" i="23"/>
  <c r="AM50" i="23"/>
  <c r="AN9" i="23"/>
  <c r="AM43" i="23"/>
  <c r="AM35" i="23"/>
  <c r="AM28" i="23"/>
  <c r="AK43" i="23"/>
  <c r="AL23" i="23"/>
  <c r="AL9" i="23" s="1"/>
  <c r="AJ23" i="23"/>
  <c r="AJ9" i="23" s="1"/>
  <c r="AF43" i="23"/>
  <c r="AF50" i="23"/>
  <c r="AE23" i="23"/>
  <c r="AE9" i="23" s="1"/>
  <c r="D18" i="23"/>
  <c r="AD23" i="23"/>
  <c r="AD9" i="23" s="1"/>
  <c r="Z43" i="23"/>
  <c r="Z24" i="23"/>
  <c r="AA23" i="23"/>
  <c r="AA9" i="23" s="1"/>
  <c r="X9" i="23"/>
  <c r="V9" i="23"/>
  <c r="F24" i="23"/>
  <c r="S9" i="23"/>
  <c r="P246" i="23"/>
  <c r="O9" i="23"/>
  <c r="F258" i="23"/>
  <c r="N9" i="23"/>
  <c r="M9" i="23"/>
  <c r="L9" i="23"/>
  <c r="K9" i="23"/>
  <c r="F35" i="23"/>
  <c r="J61" i="23"/>
  <c r="J9" i="23"/>
  <c r="F28" i="23"/>
  <c r="I23" i="23"/>
  <c r="I9" i="23" s="1"/>
  <c r="F11" i="23"/>
  <c r="D12" i="23"/>
  <c r="F50" i="23"/>
  <c r="F43" i="23"/>
  <c r="E21" i="42"/>
  <c r="D277" i="23"/>
  <c r="AM269" i="23"/>
  <c r="AQ269" i="23"/>
  <c r="AM262" i="23"/>
  <c r="AM246" i="23" s="1"/>
  <c r="AP61" i="23"/>
  <c r="AK113" i="23"/>
  <c r="D276" i="23"/>
  <c r="AK275" i="23"/>
  <c r="D148" i="23"/>
  <c r="D147" i="23"/>
  <c r="D146" i="23"/>
  <c r="AL133" i="23"/>
  <c r="AK105" i="23"/>
  <c r="AL61" i="23"/>
  <c r="AK77" i="23"/>
  <c r="AE133" i="23"/>
  <c r="D98" i="23"/>
  <c r="AK94" i="23"/>
  <c r="L61" i="23"/>
  <c r="Y61" i="23"/>
  <c r="Z94" i="23"/>
  <c r="AE61" i="23"/>
  <c r="Z77" i="23"/>
  <c r="AF269" i="23"/>
  <c r="D242" i="23"/>
  <c r="AJ133" i="23"/>
  <c r="D119" i="23"/>
  <c r="AJ61" i="23"/>
  <c r="AF94" i="23"/>
  <c r="D282" i="23"/>
  <c r="AH133" i="23"/>
  <c r="AH61" i="23"/>
  <c r="D200" i="23"/>
  <c r="E96" i="23"/>
  <c r="Z85" i="23"/>
  <c r="D122" i="23"/>
  <c r="E95" i="23"/>
  <c r="F144" i="23"/>
  <c r="W61" i="23"/>
  <c r="F85" i="23"/>
  <c r="F77" i="23"/>
  <c r="T133" i="23"/>
  <c r="U133" i="23"/>
  <c r="D260" i="23"/>
  <c r="D258" i="23" s="1"/>
  <c r="D161" i="23"/>
  <c r="R133" i="23"/>
  <c r="D154" i="23"/>
  <c r="D136" i="23"/>
  <c r="F135" i="23"/>
  <c r="F128" i="23"/>
  <c r="J93" i="43"/>
  <c r="D113" i="43"/>
  <c r="D112" i="43" s="1"/>
  <c r="C112" i="43" s="1"/>
  <c r="C109" i="42"/>
  <c r="C107" i="42" s="1"/>
  <c r="C106" i="42" s="1"/>
  <c r="C113" i="43"/>
  <c r="AK157" i="23"/>
  <c r="D158" i="23"/>
  <c r="AM157" i="23"/>
  <c r="AK142" i="23"/>
  <c r="AK141" i="23" s="1"/>
  <c r="D138" i="23"/>
  <c r="D120" i="23"/>
  <c r="Z253" i="23"/>
  <c r="Z194" i="23"/>
  <c r="D201" i="23"/>
  <c r="Z153" i="23"/>
  <c r="AD61" i="23"/>
  <c r="D121" i="23"/>
  <c r="Z105" i="23"/>
  <c r="F262" i="23"/>
  <c r="P133" i="23"/>
  <c r="D160" i="23"/>
  <c r="F157" i="23"/>
  <c r="F94" i="23"/>
  <c r="D153" i="23"/>
  <c r="F113" i="23"/>
  <c r="K133" i="23"/>
  <c r="I133" i="23"/>
  <c r="I61" i="23"/>
  <c r="G194" i="23"/>
  <c r="D164" i="23"/>
  <c r="Z157" i="23"/>
  <c r="C21" i="43"/>
  <c r="C30" i="42"/>
  <c r="C29" i="42" s="1"/>
  <c r="H148" i="43"/>
  <c r="H142" i="43" s="1"/>
  <c r="H122" i="43" s="1"/>
  <c r="H121" i="43" s="1"/>
  <c r="D14" i="43"/>
  <c r="C14" i="43" s="1"/>
  <c r="C152" i="43"/>
  <c r="C22" i="42"/>
  <c r="C21" i="42" s="1"/>
  <c r="D21" i="43"/>
  <c r="H93" i="43"/>
  <c r="K12" i="43"/>
  <c r="K10" i="43" s="1"/>
  <c r="K8" i="43" s="1"/>
  <c r="K6" i="43" s="1"/>
  <c r="C114" i="43"/>
  <c r="C81" i="43"/>
  <c r="H12" i="43"/>
  <c r="AM185" i="23"/>
  <c r="AM184" i="23" s="1"/>
  <c r="AM182" i="23" s="1"/>
  <c r="AM177" i="23" s="1"/>
  <c r="D191" i="23"/>
  <c r="J122" i="43"/>
  <c r="J121" i="43" s="1"/>
  <c r="C151" i="42"/>
  <c r="H35" i="43"/>
  <c r="D30" i="43"/>
  <c r="C30" i="43" s="1"/>
  <c r="E12" i="43"/>
  <c r="C76" i="42"/>
  <c r="C125" i="43"/>
  <c r="G142" i="43"/>
  <c r="G122" i="43" s="1"/>
  <c r="G121" i="43" s="1"/>
  <c r="D143" i="43"/>
  <c r="G12" i="43"/>
  <c r="G10" i="43" s="1"/>
  <c r="F35" i="43"/>
  <c r="E35" i="43"/>
  <c r="E10" i="43" s="1"/>
  <c r="AM85" i="23"/>
  <c r="AK85" i="23"/>
  <c r="AQ61" i="23"/>
  <c r="F12" i="43"/>
  <c r="AF182" i="23"/>
  <c r="AK168" i="23"/>
  <c r="AI133" i="23"/>
  <c r="F92" i="43"/>
  <c r="E92" i="42"/>
  <c r="AI170" i="23"/>
  <c r="AI168" i="23" s="1"/>
  <c r="AF177" i="23"/>
  <c r="D254" i="23"/>
  <c r="D126" i="23"/>
  <c r="D249" i="23"/>
  <c r="E249" i="23"/>
  <c r="D129" i="23"/>
  <c r="D116" i="23"/>
  <c r="D199" i="23"/>
  <c r="D176" i="23"/>
  <c r="E93" i="43"/>
  <c r="D250" i="23"/>
  <c r="D267" i="23"/>
  <c r="D266" i="23" s="1"/>
  <c r="D263" i="23"/>
  <c r="D262" i="23" s="1"/>
  <c r="D125" i="23"/>
  <c r="D117" i="23"/>
  <c r="E87" i="42"/>
  <c r="D192" i="23"/>
  <c r="D273" i="23"/>
  <c r="AF35" i="23"/>
  <c r="D29" i="43"/>
  <c r="C29" i="43" s="1"/>
  <c r="C40" i="43"/>
  <c r="D36" i="43"/>
  <c r="C117" i="42"/>
  <c r="AK186" i="23"/>
  <c r="D186" i="23" s="1"/>
  <c r="G93" i="43"/>
  <c r="G35" i="43"/>
  <c r="C80" i="43"/>
  <c r="C60" i="43"/>
  <c r="J87" i="42"/>
  <c r="J159" i="42"/>
  <c r="E159" i="42" s="1"/>
  <c r="I122" i="43"/>
  <c r="I121" i="43" s="1"/>
  <c r="D96" i="43"/>
  <c r="C75" i="43"/>
  <c r="D74" i="43"/>
  <c r="D73" i="43" s="1"/>
  <c r="C24" i="43"/>
  <c r="D271" i="23" l="1"/>
  <c r="D128" i="23"/>
  <c r="AM133" i="23"/>
  <c r="E94" i="23"/>
  <c r="AF61" i="23"/>
  <c r="N7" i="23"/>
  <c r="O7" i="23"/>
  <c r="D35" i="23"/>
  <c r="D209" i="23"/>
  <c r="D206" i="23" s="1"/>
  <c r="AG7" i="23"/>
  <c r="H7" i="23"/>
  <c r="C11" i="24"/>
  <c r="C17" i="24" s="1"/>
  <c r="W7" i="23"/>
  <c r="AP7" i="23"/>
  <c r="X7" i="23"/>
  <c r="Q7" i="23"/>
  <c r="S7" i="23"/>
  <c r="D135" i="23"/>
  <c r="C93" i="42"/>
  <c r="C92" i="42" s="1"/>
  <c r="C74" i="43"/>
  <c r="C46" i="43"/>
  <c r="C122" i="43"/>
  <c r="C57" i="43"/>
  <c r="C148" i="43"/>
  <c r="C137" i="42"/>
  <c r="C131" i="42" s="1"/>
  <c r="C54" i="42"/>
  <c r="C53" i="42" s="1"/>
  <c r="J10" i="43"/>
  <c r="J8" i="43" s="1"/>
  <c r="J6" i="43" s="1"/>
  <c r="C125" i="42"/>
  <c r="H10" i="42"/>
  <c r="H8" i="42" s="1"/>
  <c r="D35" i="43"/>
  <c r="D144" i="23"/>
  <c r="AO7" i="23"/>
  <c r="Y7" i="23"/>
  <c r="M7" i="23"/>
  <c r="AC7" i="23"/>
  <c r="V7" i="23"/>
  <c r="AK246" i="23"/>
  <c r="AA7" i="23"/>
  <c r="Z70" i="23"/>
  <c r="Z61" i="23" s="1"/>
  <c r="AM61" i="23"/>
  <c r="G7" i="23"/>
  <c r="U7" i="23"/>
  <c r="AH7" i="23"/>
  <c r="AH306" i="23" s="1"/>
  <c r="D275" i="23"/>
  <c r="D269" i="23" s="1"/>
  <c r="D240" i="23"/>
  <c r="D11" i="23"/>
  <c r="Z23" i="23"/>
  <c r="D17" i="23"/>
  <c r="AN7" i="23"/>
  <c r="D71" i="23"/>
  <c r="D70" i="23" s="1"/>
  <c r="D100" i="23"/>
  <c r="E61" i="23"/>
  <c r="AF194" i="23"/>
  <c r="AB7" i="23"/>
  <c r="G10" i="42"/>
  <c r="G8" i="42" s="1"/>
  <c r="E16" i="42"/>
  <c r="E131" i="42"/>
  <c r="E14" i="42"/>
  <c r="E12" i="42" s="1"/>
  <c r="P7" i="23"/>
  <c r="AM194" i="23"/>
  <c r="AK196" i="23"/>
  <c r="AK194" i="23" s="1"/>
  <c r="J14" i="42"/>
  <c r="J12" i="42" s="1"/>
  <c r="E44" i="42"/>
  <c r="J84" i="42"/>
  <c r="C16" i="42"/>
  <c r="AD7" i="23"/>
  <c r="AJ7" i="23"/>
  <c r="AJ307" i="23" s="1"/>
  <c r="D142" i="43"/>
  <c r="D122" i="43" s="1"/>
  <c r="D121" i="43" s="1"/>
  <c r="I120" i="43" s="1"/>
  <c r="C37" i="43"/>
  <c r="C36" i="43" s="1"/>
  <c r="G8" i="43"/>
  <c r="G6" i="43" s="1"/>
  <c r="E92" i="43"/>
  <c r="F10" i="43"/>
  <c r="F8" i="43" s="1"/>
  <c r="J120" i="43"/>
  <c r="D12" i="43"/>
  <c r="J7" i="23"/>
  <c r="K7" i="23"/>
  <c r="J131" i="42"/>
  <c r="F246" i="23"/>
  <c r="AQ7" i="23"/>
  <c r="L7" i="23"/>
  <c r="AM23" i="23"/>
  <c r="AM9" i="23" s="1"/>
  <c r="AK9" i="23"/>
  <c r="D24" i="23"/>
  <c r="Z9" i="23"/>
  <c r="AE7" i="23"/>
  <c r="D43" i="23"/>
  <c r="D50" i="23"/>
  <c r="F23" i="23"/>
  <c r="H10" i="43"/>
  <c r="H8" i="43" s="1"/>
  <c r="H6" i="43" s="1"/>
  <c r="H173" i="43" s="1"/>
  <c r="AK269" i="23"/>
  <c r="D196" i="23"/>
  <c r="AK133" i="23"/>
  <c r="AL7" i="23"/>
  <c r="AK61" i="23"/>
  <c r="E194" i="23"/>
  <c r="T7" i="23"/>
  <c r="D157" i="23"/>
  <c r="F133" i="23"/>
  <c r="R7" i="23"/>
  <c r="D124" i="23"/>
  <c r="D94" i="23"/>
  <c r="D77" i="23"/>
  <c r="D142" i="23"/>
  <c r="D141" i="23" s="1"/>
  <c r="Z246" i="23"/>
  <c r="D113" i="23"/>
  <c r="F194" i="23"/>
  <c r="F61" i="23"/>
  <c r="I7" i="23"/>
  <c r="Z133" i="23"/>
  <c r="D85" i="23"/>
  <c r="G175" i="43"/>
  <c r="G177" i="43"/>
  <c r="J92" i="43"/>
  <c r="D185" i="23"/>
  <c r="D184" i="23" s="1"/>
  <c r="D182" i="23" s="1"/>
  <c r="E8" i="43"/>
  <c r="D94" i="43"/>
  <c r="C96" i="43"/>
  <c r="I92" i="43"/>
  <c r="I6" i="43"/>
  <c r="C50" i="42"/>
  <c r="AF23" i="23"/>
  <c r="AF9" i="23" s="1"/>
  <c r="C84" i="42"/>
  <c r="D63" i="23"/>
  <c r="C12" i="43"/>
  <c r="C72" i="42"/>
  <c r="C71" i="42" s="1"/>
  <c r="C70" i="42" s="1"/>
  <c r="C101" i="43"/>
  <c r="C79" i="43"/>
  <c r="G206" i="43"/>
  <c r="G92" i="43"/>
  <c r="C116" i="42"/>
  <c r="C115" i="42" s="1"/>
  <c r="C114" i="42" s="1"/>
  <c r="C48" i="42"/>
  <c r="C62" i="42"/>
  <c r="AK185" i="23"/>
  <c r="AK184" i="23" s="1"/>
  <c r="D248" i="23"/>
  <c r="D253" i="23"/>
  <c r="E177" i="23"/>
  <c r="D177" i="23"/>
  <c r="D170" i="23" s="1"/>
  <c r="D168" i="23" s="1"/>
  <c r="H92" i="43"/>
  <c r="K120" i="43"/>
  <c r="AI7" i="23"/>
  <c r="AI307" i="23" s="1"/>
  <c r="D23" i="23" l="1"/>
  <c r="D194" i="23"/>
  <c r="AF7" i="23"/>
  <c r="C122" i="42"/>
  <c r="C113" i="42" s="1"/>
  <c r="F12" i="50"/>
  <c r="H12" i="50"/>
  <c r="C142" i="43"/>
  <c r="E6" i="43"/>
  <c r="D10" i="43"/>
  <c r="D8" i="43" s="1"/>
  <c r="X15" i="43" s="1"/>
  <c r="D133" i="23"/>
  <c r="E122" i="42"/>
  <c r="E113" i="42" s="1"/>
  <c r="E10" i="42" s="1"/>
  <c r="E8" i="42" s="1"/>
  <c r="J122" i="42"/>
  <c r="AM7" i="23"/>
  <c r="E9" i="23"/>
  <c r="D9" i="23"/>
  <c r="F9" i="23"/>
  <c r="F6" i="43"/>
  <c r="J173" i="43"/>
  <c r="Z7" i="23"/>
  <c r="C47" i="42"/>
  <c r="C46" i="42" s="1"/>
  <c r="AK8" i="43"/>
  <c r="C61" i="42"/>
  <c r="C60" i="42" s="1"/>
  <c r="C35" i="43"/>
  <c r="D61" i="23"/>
  <c r="D246" i="23"/>
  <c r="AK182" i="23"/>
  <c r="AK7" i="23" s="1"/>
  <c r="C100" i="43"/>
  <c r="I173" i="43"/>
  <c r="C94" i="43"/>
  <c r="D93" i="43"/>
  <c r="I12" i="50" l="1"/>
  <c r="G12" i="50" s="1"/>
  <c r="D178" i="43"/>
  <c r="E14" i="50"/>
  <c r="C14" i="50" s="1"/>
  <c r="C12" i="50"/>
  <c r="C121" i="43"/>
  <c r="G178" i="43"/>
  <c r="G179" i="43" s="1"/>
  <c r="D6" i="43"/>
  <c r="X13" i="43" s="1"/>
  <c r="AK302" i="23"/>
  <c r="M8" i="42"/>
  <c r="J10" i="42"/>
  <c r="J8" i="42" s="1"/>
  <c r="C230" i="43"/>
  <c r="F7" i="23"/>
  <c r="E7" i="23"/>
  <c r="D7" i="23"/>
  <c r="C44" i="42"/>
  <c r="C14" i="42" s="1"/>
  <c r="C12" i="42" s="1"/>
  <c r="C10" i="42" s="1"/>
  <c r="C8" i="42" s="1"/>
  <c r="D92" i="43"/>
  <c r="C93" i="43"/>
  <c r="E433" i="23"/>
  <c r="E436" i="23" s="1"/>
  <c r="D16" i="50" l="1"/>
  <c r="C16" i="50" s="1"/>
  <c r="C8" i="50" s="1"/>
  <c r="E120" i="43"/>
  <c r="H120" i="43"/>
  <c r="C92" i="43"/>
  <c r="C73" i="43"/>
  <c r="C10" i="43" l="1"/>
  <c r="C8" i="43"/>
  <c r="C6" i="43" l="1"/>
  <c r="M8" i="43" s="1"/>
  <c r="M17" i="43" l="1"/>
  <c r="M69" i="43"/>
  <c r="M117" i="43"/>
  <c r="M119" i="43"/>
  <c r="M135" i="43"/>
  <c r="M137" i="43"/>
  <c r="M139" i="43"/>
  <c r="M54" i="43"/>
  <c r="M70" i="43"/>
  <c r="M120" i="43"/>
  <c r="M128" i="43"/>
  <c r="M132" i="43"/>
  <c r="M136" i="43"/>
  <c r="M68" i="43"/>
  <c r="M98" i="43"/>
  <c r="M118" i="43"/>
  <c r="M126" i="43"/>
  <c r="M138" i="43"/>
  <c r="M6" i="43"/>
  <c r="M27" i="43"/>
  <c r="M106" i="43"/>
  <c r="M108" i="43"/>
  <c r="M107" i="43"/>
  <c r="M50" i="43"/>
  <c r="M32" i="43"/>
  <c r="M131" i="43"/>
  <c r="M144" i="43"/>
  <c r="M64" i="43"/>
  <c r="M53" i="43"/>
  <c r="M41" i="43"/>
  <c r="M76" i="43"/>
  <c r="M140" i="43"/>
  <c r="M105" i="43"/>
  <c r="M110" i="43"/>
  <c r="M59" i="43"/>
  <c r="M43" i="43"/>
  <c r="M26" i="43"/>
  <c r="M15" i="43"/>
  <c r="M77" i="43"/>
  <c r="M130" i="43"/>
  <c r="M145" i="43"/>
  <c r="M149" i="43"/>
  <c r="M124" i="43"/>
  <c r="M61" i="43"/>
  <c r="M104" i="43"/>
  <c r="M163" i="43"/>
  <c r="M157" i="43"/>
  <c r="M115" i="43"/>
  <c r="M66" i="43"/>
  <c r="M55" i="43"/>
  <c r="M39" i="43"/>
  <c r="M25" i="43"/>
  <c r="M19" i="43"/>
  <c r="M16" i="43"/>
  <c r="M129" i="43"/>
  <c r="M134" i="43"/>
  <c r="M150" i="43"/>
  <c r="M62" i="43"/>
  <c r="M48" i="43"/>
  <c r="M155" i="43"/>
  <c r="M31" i="43"/>
  <c r="M97" i="43"/>
  <c r="M164" i="43"/>
  <c r="M162" i="43"/>
  <c r="M159" i="43"/>
  <c r="M156" i="43"/>
  <c r="M146" i="43"/>
  <c r="M83" i="43"/>
  <c r="M49" i="43"/>
  <c r="M22" i="43"/>
  <c r="M158" i="43"/>
  <c r="M33" i="43"/>
  <c r="M127" i="43"/>
  <c r="M133" i="43"/>
  <c r="M151" i="43"/>
  <c r="M52" i="43"/>
  <c r="M63" i="43"/>
  <c r="M42" i="43"/>
  <c r="M154" i="43"/>
  <c r="M82" i="43"/>
  <c r="M165" i="43"/>
  <c r="M166" i="43"/>
  <c r="M160" i="43"/>
  <c r="M153" i="43"/>
  <c r="M103" i="43"/>
  <c r="M44" i="43"/>
  <c r="M75" i="43"/>
  <c r="M29" i="43"/>
  <c r="M81" i="43"/>
  <c r="M21" i="43"/>
  <c r="M102" i="43"/>
  <c r="M40" i="43"/>
  <c r="M125" i="43"/>
  <c r="M14" i="43"/>
  <c r="M112" i="43"/>
  <c r="M161" i="43"/>
  <c r="M58" i="43"/>
  <c r="M24" i="43"/>
  <c r="M80" i="43"/>
  <c r="M30" i="43"/>
  <c r="M152" i="43"/>
  <c r="M38" i="43"/>
  <c r="M47" i="43"/>
  <c r="M18" i="43"/>
  <c r="M123" i="43"/>
  <c r="M60" i="43"/>
  <c r="M114" i="43"/>
  <c r="M113" i="43"/>
  <c r="M143" i="43"/>
  <c r="M101" i="43"/>
  <c r="M96" i="43"/>
  <c r="M148" i="43"/>
  <c r="M12" i="43"/>
  <c r="M122" i="43"/>
  <c r="M79" i="43"/>
  <c r="M36" i="43"/>
  <c r="M37" i="43"/>
  <c r="M74" i="43"/>
  <c r="M57" i="43"/>
  <c r="M46" i="43"/>
  <c r="M100" i="43"/>
  <c r="M94" i="43"/>
  <c r="M35" i="43"/>
  <c r="M142" i="43"/>
  <c r="M121" i="43"/>
  <c r="M93" i="43"/>
  <c r="M73" i="43"/>
  <c r="M92" i="43"/>
  <c r="M10" i="43"/>
  <c r="C8" i="24"/>
  <c r="L8" i="43"/>
  <c r="L106" i="43"/>
  <c r="L144" i="43"/>
  <c r="L124" i="43"/>
  <c r="L64" i="43"/>
  <c r="L25" i="43"/>
  <c r="L80" i="43"/>
  <c r="L63" i="43"/>
  <c r="L151" i="43"/>
  <c r="L66" i="43"/>
  <c r="L160" i="43"/>
  <c r="L93" i="43"/>
  <c r="L97" i="43"/>
  <c r="L100" i="43"/>
  <c r="L18" i="43"/>
  <c r="L112" i="43"/>
  <c r="L35" i="43"/>
  <c r="L132" i="43"/>
  <c r="L103" i="43"/>
  <c r="L102" i="43"/>
  <c r="L41" i="43"/>
  <c r="L120" i="43"/>
  <c r="L16" i="43"/>
  <c r="L46" i="43"/>
  <c r="L154" i="43"/>
  <c r="L121" i="43"/>
  <c r="L113" i="43"/>
  <c r="L39" i="43"/>
  <c r="L29" i="43"/>
  <c r="L59" i="43"/>
  <c r="L150" i="43"/>
  <c r="L48" i="43"/>
  <c r="L6" i="43"/>
  <c r="L127" i="43"/>
  <c r="L123" i="43"/>
  <c r="L161" i="43"/>
  <c r="L79" i="43"/>
  <c r="L98" i="43"/>
  <c r="L104" i="43"/>
  <c r="D183" i="43"/>
  <c r="L15" i="43"/>
  <c r="L157" i="43"/>
  <c r="L126" i="43"/>
  <c r="L115" i="43"/>
  <c r="L31" i="43"/>
  <c r="L37" i="43"/>
  <c r="L21" i="43"/>
  <c r="L156" i="43"/>
  <c r="L60" i="43"/>
  <c r="L114" i="43"/>
  <c r="C174" i="43"/>
  <c r="C180" i="43" s="1"/>
  <c r="L58" i="43"/>
  <c r="L57" i="43" s="1"/>
  <c r="C229" i="43"/>
  <c r="C231" i="43" s="1"/>
  <c r="L74" i="43"/>
  <c r="L155" i="43"/>
  <c r="L163" i="43"/>
  <c r="L101" i="43"/>
  <c r="L107" i="43"/>
  <c r="L133" i="43"/>
  <c r="L40" i="43"/>
  <c r="L128" i="43"/>
  <c r="L158" i="43"/>
  <c r="L24" i="43"/>
  <c r="L145" i="43"/>
  <c r="L159" i="43"/>
  <c r="L122" i="43"/>
  <c r="L153" i="43"/>
  <c r="L49" i="43"/>
  <c r="L30" i="43"/>
  <c r="L76" i="43"/>
  <c r="L131" i="43"/>
  <c r="L94" i="43"/>
  <c r="L162" i="43"/>
  <c r="L105" i="43"/>
  <c r="L148" i="43"/>
  <c r="L165" i="43"/>
  <c r="L164" i="43"/>
  <c r="L146" i="43"/>
  <c r="L22" i="43"/>
  <c r="L61" i="43"/>
  <c r="L77" i="43"/>
  <c r="L130" i="43"/>
  <c r="L143" i="43"/>
  <c r="L83" i="43"/>
  <c r="L96" i="43"/>
  <c r="L42" i="43"/>
  <c r="L134" i="43"/>
  <c r="L12" i="43"/>
  <c r="L19" i="43"/>
  <c r="L129" i="43"/>
  <c r="L38" i="43"/>
  <c r="L81" i="43"/>
  <c r="L125" i="43"/>
  <c r="L142" i="43"/>
  <c r="L69" i="43"/>
  <c r="L47" i="43"/>
  <c r="L149" i="43"/>
  <c r="L14" i="43"/>
  <c r="L82" i="43"/>
  <c r="L110" i="43"/>
  <c r="L140" i="43"/>
  <c r="L36" i="43"/>
  <c r="L10" i="43"/>
  <c r="L73" i="43"/>
  <c r="C19" i="24" l="1"/>
  <c r="C21" i="24" s="1"/>
</calcChain>
</file>

<file path=xl/comments1.xml><?xml version="1.0" encoding="utf-8"?>
<comments xmlns="http://schemas.openxmlformats.org/spreadsheetml/2006/main">
  <authors>
    <author>mnavarro</author>
    <author>Instituto Nacional de Vivienda y Urbanismo</author>
    <author>xbrenes</author>
    <author>jarias</author>
  </authors>
  <commentList>
    <comment ref="G15" authorId="0" shapeId="0">
      <text>
        <r>
          <rPr>
            <b/>
            <sz val="8"/>
            <color indexed="81"/>
            <rFont val="Tahoma"/>
            <family val="2"/>
          </rPr>
          <t>mnavarro:</t>
        </r>
        <r>
          <rPr>
            <sz val="8"/>
            <color indexed="81"/>
            <rFont val="Tahoma"/>
            <family val="2"/>
          </rPr>
          <t xml:space="preserve">
Recolección de café</t>
        </r>
      </text>
    </comment>
    <comment ref="I19" authorId="1" shapeId="0">
      <text>
        <r>
          <rPr>
            <b/>
            <sz val="9"/>
            <color indexed="81"/>
            <rFont val="Tahoma"/>
            <family val="2"/>
          </rPr>
          <t>definir si calculo de cobros o de sap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2" authorId="0" shapeId="0">
      <text>
        <r>
          <rPr>
            <b/>
            <sz val="8"/>
            <color indexed="81"/>
            <rFont val="Tahoma"/>
            <family val="2"/>
          </rPr>
          <t>mnavarro:</t>
        </r>
        <r>
          <rPr>
            <sz val="8"/>
            <color indexed="81"/>
            <rFont val="Tahoma"/>
            <family val="2"/>
          </rPr>
          <t xml:space="preserve">
arriendos</t>
        </r>
      </text>
    </comment>
    <comment ref="H24" authorId="2" shapeId="0">
      <text>
        <r>
          <rPr>
            <b/>
            <sz val="11"/>
            <color indexed="81"/>
            <rFont val="Tahoma"/>
            <family val="2"/>
          </rPr>
          <t xml:space="preserve">incluye gastos de cierre, legales y las ventas que reporta AVIS( gastos adm.planos,certif.)
planos de const.fiscalización, avalúos y dirección técnica., servicios AYP
</t>
        </r>
      </text>
    </comment>
    <comment ref="I24" authorId="2" shapeId="0">
      <text>
        <r>
          <rPr>
            <b/>
            <sz val="11"/>
            <color indexed="81"/>
            <rFont val="Tahoma"/>
            <family val="2"/>
          </rPr>
          <t xml:space="preserve">incluye gastos de cierre, legales y las ventas que reporta AVIS( gastos adm.planos,certif.)
planos de const.fiscalización, avalúos y dirección técnica., servicios AYP
</t>
        </r>
      </text>
    </comment>
    <comment ref="J24" authorId="2" shapeId="0">
      <text>
        <r>
          <rPr>
            <b/>
            <sz val="11"/>
            <color indexed="81"/>
            <rFont val="Tahoma"/>
            <family val="2"/>
          </rPr>
          <t xml:space="preserve">incluye gastos de cierre, legales y las ventas que reporta AVIS( gastos adm.planos,certif.)
planos de const.fiscalización, avalúos y dirección técnica., servicios AYP
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mnavarro:</t>
        </r>
        <r>
          <rPr>
            <sz val="8"/>
            <color indexed="81"/>
            <rFont val="Tahoma"/>
            <family val="2"/>
          </rPr>
          <t xml:space="preserve">
Incluye planos de costrucción, fiscalizacion, avaluos, venta de planos de catastro y gastos administrativos
</t>
        </r>
      </text>
    </comment>
    <comment ref="D74" authorId="2" shapeId="0">
      <text>
        <r>
          <rPr>
            <sz val="8"/>
            <color indexed="81"/>
            <rFont val="Tahoma"/>
            <family val="2"/>
          </rPr>
          <t xml:space="preserve">POLIZAS
POLIZAS
Multas 5,07%  ¢40264,25 Milles
Ingresos varios no especif 44,9% ¢354483,3 miles
Venta de otros servicios 50% ¢394747,6 miles
</t>
        </r>
      </text>
    </comment>
    <comment ref="E74" authorId="2" shapeId="0">
      <text>
        <r>
          <rPr>
            <sz val="8"/>
            <color indexed="81"/>
            <rFont val="Tahoma"/>
            <family val="2"/>
          </rPr>
          <t xml:space="preserve">POLIZAS
Multas 5,07%  ¢40264,25 Milles
Ingresos varios no especif 44,9% ¢354483,3 miles
Venta de otros servicios 50% ¢394747,6 miles
</t>
        </r>
      </text>
    </comment>
    <comment ref="F74" authorId="2" shapeId="0">
      <text>
        <r>
          <rPr>
            <sz val="8"/>
            <color indexed="81"/>
            <rFont val="Tahoma"/>
            <family val="2"/>
          </rPr>
          <t xml:space="preserve">POLIZAS
Multas 5,07%  ¢40264,25 Milles
Ingresos varios no especif 44,9% ¢354483,3 miles
Venta de otros servicios 50% ¢394747,6 miles
</t>
        </r>
      </text>
    </comment>
    <comment ref="G74" authorId="2" shapeId="0">
      <text>
        <r>
          <rPr>
            <sz val="8"/>
            <color indexed="81"/>
            <rFont val="Tahoma"/>
            <family val="2"/>
          </rPr>
          <t xml:space="preserve">POLIZAS
</t>
        </r>
      </text>
    </comment>
    <comment ref="C75" authorId="1" shapeId="0">
      <text>
        <r>
          <rPr>
            <b/>
            <sz val="9"/>
            <color indexed="81"/>
            <rFont val="Tahoma"/>
            <family val="2"/>
          </rPr>
          <t xml:space="preserve">polizas y gastos de formalización
</t>
        </r>
      </text>
    </comment>
    <comment ref="G97" authorId="0" shapeId="0">
      <text>
        <r>
          <rPr>
            <b/>
            <sz val="8"/>
            <color indexed="81"/>
            <rFont val="Tahoma"/>
            <family val="2"/>
          </rPr>
          <t>mnavarro: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146" authorId="1" shapeId="0">
      <text>
        <r>
          <rPr>
            <b/>
            <sz val="9"/>
            <color indexed="81"/>
            <rFont val="Tahoma"/>
            <family val="2"/>
          </rPr>
          <t xml:space="preserve">Superávit Libre
PARA CUBRIR CREDITOS DEL 2015 A PRINCIPIOS DE AÑO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2" authorId="3" shapeId="0">
      <text>
        <r>
          <rPr>
            <sz val="8"/>
            <color indexed="81"/>
            <rFont val="Tahoma"/>
            <family val="2"/>
          </rPr>
          <t xml:space="preserve">A que obedece incoporar superavit
</t>
        </r>
      </text>
    </comment>
    <comment ref="C174" authorId="0" shapeId="0">
      <text>
        <r>
          <rPr>
            <b/>
            <sz val="8"/>
            <color indexed="81"/>
            <rFont val="Tahoma"/>
            <family val="2"/>
          </rPr>
          <t>mnavarro:</t>
        </r>
        <r>
          <rPr>
            <sz val="8"/>
            <color indexed="81"/>
            <rFont val="Tahoma"/>
            <family val="2"/>
          </rPr>
          <t xml:space="preserve">
ingresos para urbanismo 2% del total de ingresos
</t>
        </r>
      </text>
    </comment>
  </commentList>
</comments>
</file>

<file path=xl/comments2.xml><?xml version="1.0" encoding="utf-8"?>
<comments xmlns="http://schemas.openxmlformats.org/spreadsheetml/2006/main">
  <authors>
    <author>Instituto Nacional de Vivienda y Urbanismo</author>
  </authors>
  <commentList>
    <comment ref="K56" authorId="0" shapeId="0">
      <text>
        <r>
          <rPr>
            <b/>
            <sz val="9"/>
            <color indexed="81"/>
            <rFont val="Tahoma"/>
            <charset val="1"/>
          </rPr>
          <t xml:space="preserve">Egresos: pago LTI por la suma de ¢196 millones
Publicidad: ¢250 millones
</t>
        </r>
        <r>
          <rPr>
            <sz val="9"/>
            <color indexed="81"/>
            <rFont val="Tahoma"/>
            <charset val="1"/>
          </rPr>
          <t xml:space="preserve">
Cobro judicial: 157,5 millones</t>
        </r>
      </text>
    </comment>
  </commentList>
</comments>
</file>

<file path=xl/comments3.xml><?xml version="1.0" encoding="utf-8"?>
<comments xmlns="http://schemas.openxmlformats.org/spreadsheetml/2006/main">
  <authors>
    <author>Instituto Nacional de Vivienda y Urbanismo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Instituto Nacional de Vivienda y Urbanismo: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Instituto Nacional de Vivienda y Urbanismo</author>
    <author>Constructora CMSA</author>
  </authors>
  <commentList>
    <comment ref="X82" authorId="0" shapeId="0">
      <text>
        <r>
          <rPr>
            <b/>
            <sz val="9"/>
            <color indexed="81"/>
            <rFont val="Tahoma"/>
            <family val="2"/>
          </rPr>
          <t>falta el SAP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82" authorId="0" shapeId="0">
      <text>
        <r>
          <rPr>
            <b/>
            <sz val="9"/>
            <color indexed="81"/>
            <rFont val="Tahoma"/>
            <family val="2"/>
          </rPr>
          <t>Comisiones de comisionistas y comomisiones bancos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87" authorId="0" shapeId="0">
      <text>
        <r>
          <rPr>
            <sz val="9"/>
            <color indexed="81"/>
            <rFont val="Tahoma"/>
            <family val="2"/>
          </rPr>
          <t xml:space="preserve">PND
</t>
        </r>
      </text>
    </comment>
    <comment ref="AD87" authorId="0" shapeId="0">
      <text>
        <r>
          <rPr>
            <sz val="9"/>
            <color indexed="81"/>
            <rFont val="Tahoma"/>
            <family val="2"/>
          </rPr>
          <t xml:space="preserve">
 PLANES REGULADORES
</t>
        </r>
      </text>
    </comment>
    <comment ref="AH87" authorId="0" shapeId="0">
      <text>
        <r>
          <rPr>
            <sz val="9"/>
            <color indexed="81"/>
            <rFont val="Tahoma"/>
            <family val="2"/>
          </rPr>
          <t xml:space="preserve">financiado con tranferencia BANHVI
</t>
        </r>
      </text>
    </comment>
    <comment ref="AK87" authorId="0" shapeId="0">
      <text>
        <r>
          <rPr>
            <sz val="9"/>
            <color indexed="81"/>
            <rFont val="Tahoma"/>
            <family val="2"/>
          </rPr>
          <t xml:space="preserve">380078163 de sap y 51,317,768 del GS
</t>
        </r>
      </text>
    </comment>
    <comment ref="AL87" authorId="1" shapeId="0">
      <text>
        <r>
          <rPr>
            <sz val="9"/>
            <color indexed="81"/>
            <rFont val="Tahoma"/>
            <family val="2"/>
          </rPr>
          <t xml:space="preserve">
157,500 millones
 cobro judicial
resto de honorRIOS</t>
        </r>
      </text>
    </comment>
    <comment ref="AQ87" authorId="1" shapeId="0">
      <text>
        <r>
          <rPr>
            <sz val="9"/>
            <color indexed="81"/>
            <rFont val="Tahoma"/>
            <family val="2"/>
          </rPr>
          <t xml:space="preserve">
GASTOS FORMALIZACION</t>
        </r>
      </text>
    </comment>
    <comment ref="AB88" authorId="0" shapeId="0">
      <text>
        <r>
          <rPr>
            <b/>
            <sz val="9"/>
            <color indexed="81"/>
            <rFont val="Tahoma"/>
            <family val="2"/>
          </rPr>
          <t>proyectos gobierno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88" authorId="0" shapeId="0">
      <text>
        <r>
          <rPr>
            <b/>
            <sz val="9"/>
            <color indexed="81"/>
            <rFont val="Tahoma"/>
            <family val="2"/>
          </rPr>
          <t>gstos de formalizacion</t>
        </r>
      </text>
    </comment>
    <comment ref="AM88" authorId="0" shapeId="0">
      <text>
        <r>
          <rPr>
            <b/>
            <sz val="9"/>
            <color indexed="81"/>
            <rFont val="Tahoma"/>
            <family val="2"/>
          </rPr>
          <t xml:space="preserve">gstos de formalización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9" authorId="1" shapeId="0">
      <text>
        <r>
          <rPr>
            <b/>
            <sz val="9"/>
            <color indexed="81"/>
            <rFont val="Tahoma"/>
            <family val="2"/>
          </rPr>
          <t>Constructora CMSA:</t>
        </r>
        <r>
          <rPr>
            <sz val="9"/>
            <color indexed="81"/>
            <rFont val="Tahoma"/>
            <family val="2"/>
          </rPr>
          <t xml:space="preserve">
21000000 CON RECURSOS LEY 9103
</t>
        </r>
      </text>
    </comment>
    <comment ref="O89" authorId="0" shapeId="0">
      <text>
        <r>
          <rPr>
            <b/>
            <sz val="9"/>
            <color indexed="81"/>
            <rFont val="Tahoma"/>
            <family val="2"/>
          </rPr>
          <t>Contratación Plan Estratégico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89" authorId="0" shapeId="0">
      <text>
        <r>
          <rPr>
            <b/>
            <sz val="9"/>
            <color indexed="81"/>
            <rFont val="Tahoma"/>
            <family val="2"/>
          </rPr>
          <t xml:space="preserve">ley 8448 y contador
</t>
        </r>
      </text>
    </comment>
    <comment ref="V89" authorId="0" shapeId="0">
      <text>
        <r>
          <rPr>
            <sz val="9"/>
            <color indexed="81"/>
            <rFont val="Tahoma"/>
            <family val="2"/>
          </rPr>
          <t xml:space="preserve">
10 millones son para la auditoria externa 2017, cumplimiento de la norma tec presupuesto 3,5 millones y certificación CPA ley 8448 1,5 millones</t>
        </r>
      </text>
    </comment>
    <comment ref="W89" authorId="0" shapeId="0">
      <text>
        <r>
          <rPr>
            <b/>
            <sz val="9"/>
            <color indexed="81"/>
            <rFont val="Tahoma"/>
            <family val="2"/>
          </rPr>
          <t>revisar en comisión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89" authorId="0" shapeId="0">
      <text>
        <r>
          <rPr>
            <sz val="9"/>
            <color indexed="81"/>
            <rFont val="Tahoma"/>
            <family val="2"/>
          </rPr>
          <t xml:space="preserve">7,950,000,00 financiado recursos bANHVI
</t>
        </r>
      </text>
    </comment>
    <comment ref="AM89" authorId="0" shapeId="0">
      <text>
        <r>
          <rPr>
            <b/>
            <sz val="9"/>
            <color indexed="81"/>
            <rFont val="Tahoma"/>
            <family val="2"/>
          </rPr>
          <t xml:space="preserve">gastos de formalización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92" authorId="0" shapeId="0">
      <text>
        <r>
          <rPr>
            <b/>
            <sz val="9"/>
            <color indexed="81"/>
            <rFont val="Tahoma"/>
            <family val="2"/>
          </rPr>
          <t xml:space="preserve">Guarda Documentos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01" authorId="0" shapeId="0">
      <text>
        <r>
          <rPr>
            <b/>
            <sz val="9"/>
            <color indexed="81"/>
            <rFont val="Tahoma"/>
            <family val="2"/>
          </rPr>
          <t>financiado con ingreso de seguros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101" authorId="0" shapeId="0">
      <text>
        <r>
          <rPr>
            <b/>
            <sz val="9"/>
            <color indexed="81"/>
            <rFont val="Tahoma"/>
            <family val="2"/>
          </rPr>
          <t>financiado recursos BANHVI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101" authorId="0" shapeId="0">
      <text>
        <r>
          <rPr>
            <b/>
            <sz val="9"/>
            <color indexed="81"/>
            <rFont val="Tahoma"/>
            <family val="2"/>
          </rPr>
          <t xml:space="preserve">seguros sap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M101" authorId="0" shapeId="0">
      <text>
        <r>
          <rPr>
            <b/>
            <sz val="9"/>
            <color indexed="81"/>
            <rFont val="Tahoma"/>
            <family val="2"/>
          </rPr>
          <t>seguros gs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101" authorId="1" shapeId="0">
      <text>
        <r>
          <rPr>
            <b/>
            <sz val="9"/>
            <color indexed="81"/>
            <rFont val="Tahoma"/>
            <family val="2"/>
          </rPr>
          <t>Constructora CMSA:</t>
        </r>
        <r>
          <rPr>
            <sz val="9"/>
            <color indexed="81"/>
            <rFont val="Tahoma"/>
            <family val="2"/>
          </rPr>
          <t xml:space="preserve">
FINNACIADO CON SEGUROS
</t>
        </r>
      </text>
    </comment>
    <comment ref="AB199" authorId="0" shapeId="0">
      <text>
        <r>
          <rPr>
            <b/>
            <sz val="9"/>
            <color indexed="81"/>
            <rFont val="Tahoma"/>
            <family val="2"/>
          </rPr>
          <t>compra de un fax</t>
        </r>
      </text>
    </comment>
    <comment ref="X204" authorId="0" shapeId="0">
      <text>
        <r>
          <rPr>
            <b/>
            <sz val="9"/>
            <color indexed="81"/>
            <rFont val="Tahoma"/>
            <family val="2"/>
          </rPr>
          <t>Se da en previsión de que deba adquirirse equipo básico para la prestación de servicios e implementación de seguridad en la Tesorería, entre ellos: máquinas, impresoras, equipo de aire acondicionado, calculadoras, firmadora de cheques, cajas fuertes; toda vez que, por las funciones inherentes del Proceso, no pueden verse interrumpidas por falta de equipo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7" authorId="0" shapeId="0">
      <text>
        <r>
          <rPr>
            <b/>
            <sz val="8"/>
            <color indexed="81"/>
            <rFont val="Tahoma"/>
            <family val="2"/>
          </rPr>
          <t xml:space="preserve">elevador para discp y mejoras al baño para discapacitados
</t>
        </r>
      </text>
    </comment>
    <comment ref="T242" authorId="0" shapeId="0">
      <text>
        <r>
          <rPr>
            <sz val="9"/>
            <color indexed="81"/>
            <rFont val="Tahoma"/>
            <family val="2"/>
          </rPr>
          <t xml:space="preserve">Compra de licencia espealizada en la materioa de contrataciones administrativa (BAKÚ)
</t>
        </r>
      </text>
    </comment>
    <comment ref="W242" authorId="0" shapeId="0">
      <text>
        <r>
          <rPr>
            <b/>
            <sz val="9"/>
            <color indexed="81"/>
            <rFont val="Tahoma"/>
            <family val="2"/>
          </rPr>
          <t>Ley cobro judicial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242" authorId="0" shapeId="0">
      <text>
        <r>
          <rPr>
            <b/>
            <sz val="9"/>
            <color indexed="81"/>
            <rFont val="Tahoma"/>
            <family val="2"/>
          </rPr>
          <t>licencias ARC dibujo planos
AUTOCAP
STP calculo topografía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L242" authorId="0" shapeId="0">
      <text>
        <r>
          <rPr>
            <b/>
            <sz val="9"/>
            <color indexed="81"/>
            <rFont val="Tahoma"/>
            <family val="2"/>
          </rPr>
          <t>Ley cobro judicail</t>
        </r>
      </text>
    </comment>
    <comment ref="R256" authorId="0" shapeId="0">
      <text>
        <r>
          <rPr>
            <b/>
            <sz val="9"/>
            <color indexed="81"/>
            <rFont val="Tahoma"/>
            <family val="2"/>
          </rPr>
          <t>pasantía estudiantes</t>
        </r>
      </text>
    </comment>
    <comment ref="AL256" authorId="0" shapeId="0">
      <text>
        <r>
          <rPr>
            <b/>
            <sz val="9"/>
            <color indexed="81"/>
            <rFont val="Tahoma"/>
            <family val="2"/>
          </rPr>
          <t xml:space="preserve">Comisiones Ex Agentes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59" authorId="0" shapeId="0">
      <text>
        <r>
          <rPr>
            <b/>
            <sz val="9"/>
            <color indexed="81"/>
            <rFont val="Tahoma"/>
            <family val="2"/>
          </rPr>
          <t xml:space="preserve">Se puede rebaajr a 135500000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59" authorId="0" shapeId="0">
      <text>
        <r>
          <rPr>
            <b/>
            <sz val="8"/>
            <color indexed="81"/>
            <rFont val="Tahoma"/>
            <family val="2"/>
          </rPr>
          <t xml:space="preserve">1500 millones para reestructuración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60" authorId="0" shapeId="0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S263" authorId="0" shapeId="0">
      <text>
        <r>
          <rPr>
            <b/>
            <sz val="9"/>
            <color indexed="81"/>
            <rFont val="Tahoma"/>
            <family val="2"/>
          </rPr>
          <t>Incluye monto de reestructuración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63" authorId="0" shapeId="0">
      <text>
        <r>
          <rPr>
            <b/>
            <sz val="8"/>
            <color indexed="81"/>
            <rFont val="Tahoma"/>
            <family val="2"/>
          </rPr>
          <t>Ipago reestructuración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Instituto Nacional de Vivienda y Urbanismo</author>
  </authors>
  <commentList>
    <comment ref="S90" authorId="0" shapeId="0">
      <text>
        <r>
          <rPr>
            <b/>
            <sz val="9"/>
            <color indexed="81"/>
            <rFont val="Tahoma"/>
            <family val="2"/>
          </rPr>
          <t>2,5 millones para estudio de cargas del edificio</t>
        </r>
      </text>
    </comment>
    <comment ref="W94" authorId="0" shapeId="0">
      <text>
        <r>
          <rPr>
            <b/>
            <sz val="9"/>
            <color indexed="81"/>
            <rFont val="Tahoma"/>
            <family val="2"/>
          </rPr>
          <t xml:space="preserve">Según conversación con Antonio Contreras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09" authorId="0" shapeId="0">
      <text>
        <r>
          <rPr>
            <b/>
            <sz val="8"/>
            <color indexed="81"/>
            <rFont val="Tahoma"/>
            <family val="2"/>
          </rPr>
          <t xml:space="preserve">elevador para discp y mejoras al baño para discapacitados
</t>
        </r>
      </text>
    </comment>
    <comment ref="T260" authorId="0" shapeId="0">
      <text>
        <r>
          <rPr>
            <b/>
            <sz val="8"/>
            <color indexed="81"/>
            <rFont val="Tahoma"/>
            <family val="2"/>
          </rPr>
          <t xml:space="preserve">1500 millones para reestructuración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60" authorId="0" shapeId="0">
      <text>
        <r>
          <rPr>
            <b/>
            <sz val="8"/>
            <color indexed="81"/>
            <rFont val="Tahoma"/>
            <family val="2"/>
          </rPr>
          <t xml:space="preserve">1500 millones para reestructuración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65" authorId="0" shapeId="0">
      <text>
        <r>
          <rPr>
            <b/>
            <sz val="8"/>
            <color indexed="81"/>
            <rFont val="Tahoma"/>
            <family val="2"/>
          </rPr>
          <t>Ipago reestructuración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65" authorId="0" shapeId="0">
      <text>
        <r>
          <rPr>
            <b/>
            <sz val="8"/>
            <color indexed="81"/>
            <rFont val="Tahoma"/>
            <family val="2"/>
          </rPr>
          <t>Ipago reestructuración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Instituto Nacional de Vivienda y Urbanismo</author>
  </authors>
  <commentList>
    <comment ref="S91" authorId="0" shapeId="0">
      <text>
        <r>
          <rPr>
            <b/>
            <sz val="9"/>
            <color indexed="81"/>
            <rFont val="Tahoma"/>
            <family val="2"/>
          </rPr>
          <t>2,5 millones para estudio de cargas del edificio</t>
        </r>
      </text>
    </comment>
    <comment ref="W95" authorId="0" shapeId="0">
      <text>
        <r>
          <rPr>
            <b/>
            <sz val="9"/>
            <color indexed="81"/>
            <rFont val="Tahoma"/>
            <family val="2"/>
          </rPr>
          <t xml:space="preserve">Según conversación con Antonio Contreras 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20" authorId="0" shapeId="0">
      <text>
        <r>
          <rPr>
            <b/>
            <sz val="8"/>
            <color indexed="81"/>
            <rFont val="Tahoma"/>
            <family val="2"/>
          </rPr>
          <t xml:space="preserve">elevador para discp y mejoras al baño para discapacitados
</t>
        </r>
      </text>
    </comment>
    <comment ref="T271" authorId="0" shapeId="0">
      <text>
        <r>
          <rPr>
            <b/>
            <sz val="8"/>
            <color indexed="81"/>
            <rFont val="Tahoma"/>
            <family val="2"/>
          </rPr>
          <t xml:space="preserve">1500 millones para reestructuración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71" authorId="0" shapeId="0">
      <text>
        <r>
          <rPr>
            <b/>
            <sz val="8"/>
            <color indexed="81"/>
            <rFont val="Tahoma"/>
            <family val="2"/>
          </rPr>
          <t xml:space="preserve">1500 millones para reestructuración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276" authorId="0" shapeId="0">
      <text>
        <r>
          <rPr>
            <b/>
            <sz val="8"/>
            <color indexed="81"/>
            <rFont val="Tahoma"/>
            <family val="2"/>
          </rPr>
          <t>Ipago reestructuración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276" authorId="0" shapeId="0">
      <text>
        <r>
          <rPr>
            <b/>
            <sz val="8"/>
            <color indexed="81"/>
            <rFont val="Tahoma"/>
            <family val="2"/>
          </rPr>
          <t>Ipago reestructuración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<sst xmlns="http://schemas.openxmlformats.org/spreadsheetml/2006/main" count="3131" uniqueCount="1047">
  <si>
    <t xml:space="preserve"> </t>
  </si>
  <si>
    <t>1.1.1</t>
  </si>
  <si>
    <t>1.2.1</t>
  </si>
  <si>
    <t>1.3.1</t>
  </si>
  <si>
    <t>1.4.1</t>
  </si>
  <si>
    <t>1.5.1</t>
  </si>
  <si>
    <t>1.6.1</t>
  </si>
  <si>
    <t xml:space="preserve">  1.7.1</t>
  </si>
  <si>
    <t xml:space="preserve">  1.8.1</t>
  </si>
  <si>
    <t>1.9.1</t>
  </si>
  <si>
    <t>1.9.4</t>
  </si>
  <si>
    <t>1.9.5</t>
  </si>
  <si>
    <t>1.9.6</t>
  </si>
  <si>
    <t>Código</t>
  </si>
  <si>
    <t>Descripción</t>
  </si>
  <si>
    <t>AUDITORIA</t>
  </si>
  <si>
    <t xml:space="preserve">
PRESIDENCIA
EJECUTIVA</t>
  </si>
  <si>
    <t>GERENCIA
GENERAL</t>
  </si>
  <si>
    <t>SUG GERENCIA GENERAL</t>
  </si>
  <si>
    <t>CONTRALORIA DE SERVICIOS</t>
  </si>
  <si>
    <t>ASESORÍA
   LEGAL</t>
  </si>
  <si>
    <t>TOTAL</t>
  </si>
  <si>
    <t>REMUNERACIONES</t>
  </si>
  <si>
    <t>0.01</t>
  </si>
  <si>
    <t>REMUNERACIONES BASICAS</t>
  </si>
  <si>
    <t>0.01.01</t>
  </si>
  <si>
    <t>Sueldos para cargos fijos</t>
  </si>
  <si>
    <t>0.01.02</t>
  </si>
  <si>
    <t>Jornales</t>
  </si>
  <si>
    <t>0.01.04</t>
  </si>
  <si>
    <t>Sueldos a base de comisión</t>
  </si>
  <si>
    <t>0.01.05</t>
  </si>
  <si>
    <t>Suplencias</t>
  </si>
  <si>
    <t>0.02</t>
  </si>
  <si>
    <t>REMUNERACIONES EVENTUALES</t>
  </si>
  <si>
    <t>0.02.01</t>
  </si>
  <si>
    <t>Tiempo extraordinario</t>
  </si>
  <si>
    <t>0.02.02</t>
  </si>
  <si>
    <t>Recargo de funciones</t>
  </si>
  <si>
    <t>0.02.04</t>
  </si>
  <si>
    <t>Compensación de vacaciones</t>
  </si>
  <si>
    <t>0.02.05</t>
  </si>
  <si>
    <t>Dietas</t>
  </si>
  <si>
    <t>0.03</t>
  </si>
  <si>
    <t>INCENTIVOS SALARIALES</t>
  </si>
  <si>
    <t>0.03.01</t>
  </si>
  <si>
    <t xml:space="preserve">Retribución por años servidos  </t>
  </si>
  <si>
    <t>0.03.01.01</t>
  </si>
  <si>
    <t>0.03.01.02</t>
  </si>
  <si>
    <t>Méritos</t>
  </si>
  <si>
    <t>0.03.02</t>
  </si>
  <si>
    <t xml:space="preserve">Retriicción al ejercicio liberal de la profesión  </t>
  </si>
  <si>
    <t>0.03.02.01</t>
  </si>
  <si>
    <t>Dedicación Exclusiva</t>
  </si>
  <si>
    <t>0.03.02.02</t>
  </si>
  <si>
    <t>Prohibición</t>
  </si>
  <si>
    <t>0.03.03</t>
  </si>
  <si>
    <t>Decimotercer mes</t>
  </si>
  <si>
    <t>0.03.04</t>
  </si>
  <si>
    <t>Salario escolar</t>
  </si>
  <si>
    <t>0.03.99</t>
  </si>
  <si>
    <t xml:space="preserve">Otros incentivos salariales </t>
  </si>
  <si>
    <t>0.03.99.02</t>
  </si>
  <si>
    <t>Carrera Profesional</t>
  </si>
  <si>
    <t>0.03.99.04</t>
  </si>
  <si>
    <t>Asignación faltantes de caja</t>
  </si>
  <si>
    <t>0.03.99.05</t>
  </si>
  <si>
    <t>Vacaciones Agentes</t>
  </si>
  <si>
    <t>0.03.99.06</t>
  </si>
  <si>
    <t>Cobros agentes</t>
  </si>
  <si>
    <t>0.03.99.07</t>
  </si>
  <si>
    <t>Feriados y asuetos agentes</t>
  </si>
  <si>
    <t>0.03.99.08</t>
  </si>
  <si>
    <t>Sobresueldos</t>
  </si>
  <si>
    <t>0.04</t>
  </si>
  <si>
    <t>CONTRIBUCIONES PATRONALES AL DESARROLLO Y LA</t>
  </si>
  <si>
    <t>0.04.01</t>
  </si>
  <si>
    <t>Contribución Patronal al Seguro de Salud de la CCSS</t>
  </si>
  <si>
    <t>0.04.02</t>
  </si>
  <si>
    <t xml:space="preserve">Contribución Patronal al IMAS </t>
  </si>
  <si>
    <t>0.04.03</t>
  </si>
  <si>
    <t xml:space="preserve">Contribución Patronal al INA </t>
  </si>
  <si>
    <t>0.04.04</t>
  </si>
  <si>
    <t>Contribución Patronal al FODESAF</t>
  </si>
  <si>
    <t>0.04.05</t>
  </si>
  <si>
    <t xml:space="preserve">Contribución Patronal al Banco Popular y de Desarrollo   </t>
  </si>
  <si>
    <t>0.05</t>
  </si>
  <si>
    <t>CONTRIBUCIONES PATRONALES A FONDOS DE PENSIONES Y OTROS FONDOS DE CAPITALIZACION</t>
  </si>
  <si>
    <t>0.05.01</t>
  </si>
  <si>
    <t>Contribución Patronal al Seguro de Pensiones  de la CCSS</t>
  </si>
  <si>
    <t>0.05.03</t>
  </si>
  <si>
    <t xml:space="preserve">Aporte Patronal al Fondo de Capitalización Laboral </t>
  </si>
  <si>
    <t>0.05.05</t>
  </si>
  <si>
    <t>Contribución Patronal a fondos administrados por entes privados</t>
  </si>
  <si>
    <t>REMUNERACIONES DIVERSAS</t>
  </si>
  <si>
    <t>0.99.99</t>
  </si>
  <si>
    <t>Otras remuneraciones</t>
  </si>
  <si>
    <t>SERVICIOS</t>
  </si>
  <si>
    <t>1.01</t>
  </si>
  <si>
    <t>ALQUILERES</t>
  </si>
  <si>
    <t>1.01.01</t>
  </si>
  <si>
    <t>Alquileres de edificios, locales y terrenos</t>
  </si>
  <si>
    <t>1.01.02</t>
  </si>
  <si>
    <t>Alquileres de maquinaria, equipo y mobiliario</t>
  </si>
  <si>
    <t>1.01.03</t>
  </si>
  <si>
    <t>Alquileres de equipo de cómputo</t>
  </si>
  <si>
    <t>1.01.99</t>
  </si>
  <si>
    <t>Otros alquileres</t>
  </si>
  <si>
    <t>1.02</t>
  </si>
  <si>
    <t>SERVICIOS BÁSICOS</t>
  </si>
  <si>
    <t>1.02.01</t>
  </si>
  <si>
    <t xml:space="preserve">Servicio de agua y alcantarillado </t>
  </si>
  <si>
    <t>1.02.02</t>
  </si>
  <si>
    <t>Servicio de energía eléctrica</t>
  </si>
  <si>
    <t>1.02.03</t>
  </si>
  <si>
    <t>Servicio de correo</t>
  </si>
  <si>
    <t>1.02.04</t>
  </si>
  <si>
    <t>Servicio de telecomunicaciones</t>
  </si>
  <si>
    <t>1.02.99</t>
  </si>
  <si>
    <t xml:space="preserve">Otros servicios básicos </t>
  </si>
  <si>
    <t>1.03</t>
  </si>
  <si>
    <t>SERVICIOS COMERCIALES Y FINANCIEROS</t>
  </si>
  <si>
    <t>1.03.01</t>
  </si>
  <si>
    <t xml:space="preserve">Información                            </t>
  </si>
  <si>
    <t>1.03.02</t>
  </si>
  <si>
    <t xml:space="preserve">Publicidad y propaganda         </t>
  </si>
  <si>
    <t>1.03.03</t>
  </si>
  <si>
    <t>Impresiones, encuadernación y otros</t>
  </si>
  <si>
    <t>1.03.04</t>
  </si>
  <si>
    <t>Transporte de bienes</t>
  </si>
  <si>
    <t>1.03.06</t>
  </si>
  <si>
    <t>Comisiones y gastos por servicios financieros y comerciales  (otros servic. básicos)</t>
  </si>
  <si>
    <t>1.03.07</t>
  </si>
  <si>
    <t>Servicios de transferencia electrónica de información</t>
  </si>
  <si>
    <t>1.04</t>
  </si>
  <si>
    <t xml:space="preserve">SERVICIOS DE GESTIÓN Y APOYO  </t>
  </si>
  <si>
    <t>1.04.01</t>
  </si>
  <si>
    <t>Servicios médicos y de laboratorio</t>
  </si>
  <si>
    <t>1.04.02</t>
  </si>
  <si>
    <t>Servicios jurídicos</t>
  </si>
  <si>
    <t>1.04.03</t>
  </si>
  <si>
    <t>Servicios de ingeniería</t>
  </si>
  <si>
    <t>1.04.04</t>
  </si>
  <si>
    <t>Servicios en ciencias económicas y sociales</t>
  </si>
  <si>
    <t>1.04.05</t>
  </si>
  <si>
    <t>Servicios de desarrollo de sistemas informáticos</t>
  </si>
  <si>
    <t>1.04.06</t>
  </si>
  <si>
    <t xml:space="preserve">Servicios generales </t>
  </si>
  <si>
    <t>1.04.99</t>
  </si>
  <si>
    <t>Otros servicios de gestión y apoyo</t>
  </si>
  <si>
    <t>1.05</t>
  </si>
  <si>
    <t>GASTOS DE VIAJE Y DE TRANSPORTE</t>
  </si>
  <si>
    <t>1.05.01</t>
  </si>
  <si>
    <t xml:space="preserve">Transporte dentro del país </t>
  </si>
  <si>
    <t>1.05.02</t>
  </si>
  <si>
    <t xml:space="preserve">Viáticos dentro del país </t>
  </si>
  <si>
    <t>1.05.03</t>
  </si>
  <si>
    <t xml:space="preserve">Transporte en el exterior </t>
  </si>
  <si>
    <t>1.05.04</t>
  </si>
  <si>
    <t xml:space="preserve">Viáticos en el exterior </t>
  </si>
  <si>
    <t>1.06</t>
  </si>
  <si>
    <t>SEGUROS, REASEGUROS Y OTRAS OBLIGACIONES</t>
  </si>
  <si>
    <t>1.06.01</t>
  </si>
  <si>
    <t>Seguros</t>
  </si>
  <si>
    <t>1.06.02</t>
  </si>
  <si>
    <t xml:space="preserve">Reaseguros </t>
  </si>
  <si>
    <t>1.06.03</t>
  </si>
  <si>
    <t>Obligaciones por contratos de seguros</t>
  </si>
  <si>
    <t>1.07</t>
  </si>
  <si>
    <t>CAPACITACION Y PROTOCOLO</t>
  </si>
  <si>
    <t>1.07.01</t>
  </si>
  <si>
    <t>Actividades de capacitación</t>
  </si>
  <si>
    <t>1.07.02</t>
  </si>
  <si>
    <t xml:space="preserve">Actividades protocolarias y sociales </t>
  </si>
  <si>
    <t>1.07.03</t>
  </si>
  <si>
    <t>Gastos de representación institucional</t>
  </si>
  <si>
    <t>1.08</t>
  </si>
  <si>
    <t>MANTENIMIENTO Y REPARACIÓN</t>
  </si>
  <si>
    <t>1.08.01</t>
  </si>
  <si>
    <t>Mantenimiento de edificios y locales</t>
  </si>
  <si>
    <t>1.08.03</t>
  </si>
  <si>
    <t>Mantenimiento de instalaciones y otras obras</t>
  </si>
  <si>
    <t>1.08.05</t>
  </si>
  <si>
    <t>Mantenimiento y reparación de equipo de transporte</t>
  </si>
  <si>
    <t>1.08.06</t>
  </si>
  <si>
    <t>Mantenimiento y reparación de equipo de comunicación</t>
  </si>
  <si>
    <t>1.08.07</t>
  </si>
  <si>
    <t>Mantenimiento y reparación de equipo y mobiliario de oficina</t>
  </si>
  <si>
    <t>1.08.08</t>
  </si>
  <si>
    <t>Mantenimiento y reparación de equipo de cómputo y  sistemas de información</t>
  </si>
  <si>
    <t>1.08.99</t>
  </si>
  <si>
    <t>Mantenimiento y reparación de otros equipos</t>
  </si>
  <si>
    <t>1.09</t>
  </si>
  <si>
    <t>IMPUESTOS</t>
  </si>
  <si>
    <t>1.09.02</t>
  </si>
  <si>
    <t xml:space="preserve">Impuestos sobre bienes inmuebles          </t>
  </si>
  <si>
    <t>1.09.99</t>
  </si>
  <si>
    <t>Otros impuestos</t>
  </si>
  <si>
    <t>1.99.02</t>
  </si>
  <si>
    <t>Intereses moratorios y multas</t>
  </si>
  <si>
    <t>1.99.05</t>
  </si>
  <si>
    <t>Deducibles</t>
  </si>
  <si>
    <t>1.99.99</t>
  </si>
  <si>
    <t>Otros servicios no especificados</t>
  </si>
  <si>
    <t>MATERIALES Y SUMINISTROS</t>
  </si>
  <si>
    <t>2.01</t>
  </si>
  <si>
    <t>PRODUCTOS QUIMICOS Y CONEXOS</t>
  </si>
  <si>
    <t>2.01.01</t>
  </si>
  <si>
    <t xml:space="preserve">Combustibles y lubricantes </t>
  </si>
  <si>
    <t>2.01.02</t>
  </si>
  <si>
    <t>Productos farmacéuticos y medicinales</t>
  </si>
  <si>
    <t>2.01.04</t>
  </si>
  <si>
    <t xml:space="preserve">Tintas, pinturas y diluyentes </t>
  </si>
  <si>
    <t>2.01.99</t>
  </si>
  <si>
    <t>Otros productos químicos</t>
  </si>
  <si>
    <t>2.02</t>
  </si>
  <si>
    <t>ALIMENTOS Y PRODUCTOS AGROPECUARIOS</t>
  </si>
  <si>
    <t>2.02.03</t>
  </si>
  <si>
    <t xml:space="preserve">Alimentos y bebidas </t>
  </si>
  <si>
    <t>2.03</t>
  </si>
  <si>
    <t>MATERIALES Y PRODUCTOS DE USO EN LA CONSTRUCCIÓN Y</t>
  </si>
  <si>
    <t>2.03.01</t>
  </si>
  <si>
    <t xml:space="preserve">Materiales y productos metálicos </t>
  </si>
  <si>
    <t>2.03.02</t>
  </si>
  <si>
    <t>Materiales y productos minerales y asfálticos</t>
  </si>
  <si>
    <t>2.03.03</t>
  </si>
  <si>
    <t>Madera y sus derivados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</si>
  <si>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</si>
  <si>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</si>
  <si>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</si>
  <si>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</si>
  <si>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</si>
  <si>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</si>
  <si>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</si>
  <si>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Otros materiales y productos de uso en la construcción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</si>
  <si>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</si>
  <si>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</si>
  <si>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</si>
  <si>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</si>
  <si>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</si>
  <si>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</si>
  <si>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2.99</t>
  </si>
  <si>
    <t>UTILES, MATERIALES Y SUMINISTROS DIVERSOS</t>
  </si>
  <si>
    <t>2.99.01</t>
  </si>
  <si>
    <t>Útiles y materiales de oficina y cómputo</t>
  </si>
  <si>
    <t>2.99.03</t>
  </si>
  <si>
    <t>Productos de papel, cartón e impresos</t>
  </si>
  <si>
    <t>2.99.04</t>
  </si>
  <si>
    <t>Textiles y vestuario</t>
  </si>
  <si>
    <t>2.99.05</t>
  </si>
  <si>
    <t>Útiles y materiales de limpieza</t>
  </si>
  <si>
    <t>2.99.06</t>
  </si>
  <si>
    <t>Útiles y materiales de resguardo y seguridad</t>
  </si>
  <si>
    <t>2.99.07</t>
  </si>
  <si>
    <t>Útiles y materiales de cocina y comedor</t>
  </si>
  <si>
    <t>2.99.99</t>
  </si>
  <si>
    <t>Otros útiles, materiales y suministros</t>
  </si>
  <si>
    <t>INTERESES Y COMISIONES</t>
  </si>
  <si>
    <t>3.02</t>
  </si>
  <si>
    <t xml:space="preserve">INTERESES SOBRE PRÉSTAMOS </t>
  </si>
  <si>
    <t>3.02.01</t>
  </si>
  <si>
    <t xml:space="preserve">Intereses sobre préstamos del Gobierno Central  </t>
  </si>
  <si>
    <t>3.02.02</t>
  </si>
  <si>
    <t>Intereses sobre préstamos de Órganos Desconcentrados</t>
  </si>
  <si>
    <t>3.02.03</t>
  </si>
  <si>
    <t>Intereses sobre préstamos de Instituciones Descentr. no empresariales</t>
  </si>
  <si>
    <t>3.02.05</t>
  </si>
  <si>
    <t xml:space="preserve">Intereses sobre préstamos de Empresas Públicas no Financieras </t>
  </si>
  <si>
    <t>3.02.06</t>
  </si>
  <si>
    <t>Intereses sobre préstamos de  Instituciones Públicas Financieras</t>
  </si>
  <si>
    <t>3.02.07</t>
  </si>
  <si>
    <t>Intereses sobre préstamos del Sector Privado</t>
  </si>
  <si>
    <t>3.02.08</t>
  </si>
  <si>
    <t>Intereses sobre préstamos del Sector Externo</t>
  </si>
  <si>
    <t>3.03</t>
  </si>
  <si>
    <t>INTERES SOBRE OTRAS OBLIGACIONES</t>
  </si>
  <si>
    <t>3.03.99</t>
  </si>
  <si>
    <t>ACTIVOS FINANCIEROS</t>
  </si>
  <si>
    <t>4.01</t>
  </si>
  <si>
    <t>PRÉSTAMOS</t>
  </si>
  <si>
    <t>4.01.07</t>
  </si>
  <si>
    <t>Préstamos al Sector Privado</t>
  </si>
  <si>
    <t>Crédito  base</t>
  </si>
  <si>
    <t xml:space="preserve">BIENES DURADEROS </t>
  </si>
  <si>
    <t>5.01</t>
  </si>
  <si>
    <t>MAQUINARIA, EQUIPO Y MOBILIARIO</t>
  </si>
  <si>
    <t>5.01.01</t>
  </si>
  <si>
    <t>Maquinaria y equipo para la producción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</si>
  <si>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</si>
  <si>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</si>
  <si>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</si>
  <si>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</si>
  <si>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</si>
  <si>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</si>
  <si>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</si>
  <si>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y programas de  cómputo</t>
  </si>
  <si>
    <t>5.01.06</t>
  </si>
  <si>
    <t>Equipo sanitario, de laboratorio e investigación</t>
  </si>
  <si>
    <t>5.01.99</t>
  </si>
  <si>
    <t>Maquinaria y equipo diverso</t>
  </si>
  <si>
    <t>5.02</t>
  </si>
  <si>
    <t>CONSTRUCCIONES, ADICIONES Y MEJORAS</t>
  </si>
  <si>
    <t>5.02.01</t>
  </si>
  <si>
    <t xml:space="preserve"> Edificios </t>
  </si>
  <si>
    <t>5.02.06</t>
  </si>
  <si>
    <t>Obras urbanísticas</t>
  </si>
  <si>
    <t>5.02.99</t>
  </si>
  <si>
    <t>Otras construcciones, adiciones y mejoras</t>
  </si>
  <si>
    <t>5.03</t>
  </si>
  <si>
    <t>BIENES PREEXISTENTES</t>
  </si>
  <si>
    <t>5.03.01</t>
  </si>
  <si>
    <t>Terrenos</t>
  </si>
  <si>
    <t>5.03.02</t>
  </si>
  <si>
    <t xml:space="preserve">Edificios preexistentes </t>
  </si>
  <si>
    <t>5.03.99</t>
  </si>
  <si>
    <t>Otras obras preexistentes</t>
  </si>
  <si>
    <t>5.99</t>
  </si>
  <si>
    <t>BIENES DURADEROS DIVERSOS</t>
  </si>
  <si>
    <t>Piezas de obras de colección</t>
  </si>
  <si>
    <t>TRANSFERENCIAS CORRIENTES AL SECTOR PUBLICO</t>
  </si>
  <si>
    <t>6.01</t>
  </si>
  <si>
    <t>TRANSFERENCIAS CORRIENTES AL SECTOR PÚBLICO</t>
  </si>
  <si>
    <t>6.01.01</t>
  </si>
  <si>
    <t xml:space="preserve">Transferencias corrientes al Gobierno Central </t>
  </si>
  <si>
    <t>6.01.02</t>
  </si>
  <si>
    <t xml:space="preserve">Transferencias corrientes a Órganos Desconcentrados </t>
  </si>
  <si>
    <t>6.02</t>
  </si>
  <si>
    <t>TRANSFERENCIAS CORRIENTES A PERSONAS</t>
  </si>
  <si>
    <t>6.02.01</t>
  </si>
  <si>
    <t xml:space="preserve">Becas a funcionarios </t>
  </si>
  <si>
    <t>6.02.03</t>
  </si>
  <si>
    <t>Ayudas a funcionarios (fondo enfermedad)</t>
  </si>
  <si>
    <t>6.02.99</t>
  </si>
  <si>
    <t>Otras transferencias a personas</t>
  </si>
  <si>
    <t>6.03</t>
  </si>
  <si>
    <t>PRESTACIONES</t>
  </si>
  <si>
    <t>6.03.01</t>
  </si>
  <si>
    <t xml:space="preserve">Prestaciones legales </t>
  </si>
  <si>
    <t>6.06</t>
  </si>
  <si>
    <t xml:space="preserve">OTRAS TRANSFERENCIAS CORRIENTES AL SECTOR PRIVADO </t>
  </si>
  <si>
    <t>6.06.01</t>
  </si>
  <si>
    <t>Indemnizaciones</t>
  </si>
  <si>
    <t>6.06.02</t>
  </si>
  <si>
    <t>Reintegros o devoluciones</t>
  </si>
  <si>
    <t>6.07</t>
  </si>
  <si>
    <t>TRANSFERENCIAS CORRIENTES AL SECTOR EXTERNO</t>
  </si>
  <si>
    <t>6.07.01</t>
  </si>
  <si>
    <t xml:space="preserve">Transferencias corrientes a organismos internacionales </t>
  </si>
  <si>
    <t>TRANSFERENCIAS DE CAPITAL</t>
  </si>
  <si>
    <t>7.02</t>
  </si>
  <si>
    <t>TRANSFERENCIAS DE CAPITAL A PERSONAS</t>
  </si>
  <si>
    <t>Transferencias de capital a personas</t>
  </si>
  <si>
    <t>AMORTIZACION</t>
  </si>
  <si>
    <t>8.02</t>
  </si>
  <si>
    <t>AMORTIZACIÓN DE PRÉSTAMOS</t>
  </si>
  <si>
    <t>8.02.01</t>
  </si>
  <si>
    <t xml:space="preserve">Amortización de préstamos del  Gobierno Central </t>
  </si>
  <si>
    <t>8.02.05</t>
  </si>
  <si>
    <t xml:space="preserve">Amortización de préstamos de Empresas Públicas no Financieras   </t>
  </si>
  <si>
    <t>8.02.06</t>
  </si>
  <si>
    <t>Amortización de préstamos de Instituciones Públicas Financieras</t>
  </si>
  <si>
    <t>8.02.07</t>
  </si>
  <si>
    <t>Amortización de préstamos del Sector Privado</t>
  </si>
  <si>
    <t xml:space="preserve">CUENTAS ESPECIALES  </t>
  </si>
  <si>
    <t>9.02</t>
  </si>
  <si>
    <t>SUMAS SIN ASIGNACIÓN PRESUPUESTARIA</t>
  </si>
  <si>
    <t>9.02.01</t>
  </si>
  <si>
    <t>Sumas libres sin asignación presupuestaria</t>
  </si>
  <si>
    <t>9.02.02</t>
  </si>
  <si>
    <t>Sumas con destino específico sin asignación presupuestaria</t>
  </si>
  <si>
    <t>BANHVI</t>
  </si>
  <si>
    <t xml:space="preserve">                    0.99</t>
  </si>
  <si>
    <t>1.99</t>
  </si>
  <si>
    <t>SERVICIOS DIVERSOS</t>
  </si>
  <si>
    <t>7.01.02</t>
  </si>
  <si>
    <t>7.01.06</t>
  </si>
  <si>
    <t>7.01</t>
  </si>
  <si>
    <t>TRANSFERENCIAS DE CAPITAL AL SECTOR PUBLICO</t>
  </si>
  <si>
    <t>Transferencias de Capital Organos Desconcentrados</t>
  </si>
  <si>
    <t xml:space="preserve">Intereses sobre otras obligaciones  </t>
  </si>
  <si>
    <t>TOTAL INGRESOS</t>
  </si>
  <si>
    <t>DESAF</t>
  </si>
  <si>
    <t>1.0.0.0.00.00.0.0.000</t>
  </si>
  <si>
    <t>INGRESOS    CORRIENTES</t>
  </si>
  <si>
    <t>1.3.0.0.00.00.0.0.000</t>
  </si>
  <si>
    <t>INGRESOS NO TRIBUTARIOS</t>
  </si>
  <si>
    <t>1.3.1.0.00.00.0.0.000</t>
  </si>
  <si>
    <t>VENTA DE BIENES Y SERVICIOS</t>
  </si>
  <si>
    <t>1.3.1.1.00.00.0.0.000</t>
  </si>
  <si>
    <t>VENTA DE BIENES</t>
  </si>
  <si>
    <t>1.3.1.1.01.00.0.0.000</t>
  </si>
  <si>
    <t>Venta de bienes agropecuarios y forestales</t>
  </si>
  <si>
    <t>1.3.1.1.09.00.0.0.000</t>
  </si>
  <si>
    <t>Venta de  otros bienes</t>
  </si>
  <si>
    <t>1.3.1.2.00.00.0.0.000</t>
  </si>
  <si>
    <t>VENTA DE SERVICIOS</t>
  </si>
  <si>
    <t>1.3.1.2.03.01.0.0.000</t>
  </si>
  <si>
    <t xml:space="preserve">Servicios financieros </t>
  </si>
  <si>
    <t>1.3.1.2.04.00.0.0.000</t>
  </si>
  <si>
    <t>1.3.1.2.04.01.0.0.000</t>
  </si>
  <si>
    <t>1.3.1.2.09.09.0.0.000</t>
  </si>
  <si>
    <t>Venta de otros servicios</t>
  </si>
  <si>
    <t>INGRESOS DE LA PROPIEDAD</t>
  </si>
  <si>
    <t>RENTA DE PROPIEDADES</t>
  </si>
  <si>
    <t>1.3.2.3.00.00.0.0.000</t>
  </si>
  <si>
    <t>RENTA DE ACTIVOS FINANCIEROS</t>
  </si>
  <si>
    <t>1.3.2.3.01.00.0.0.000</t>
  </si>
  <si>
    <t>INTERESES SOBRE TITUTLOS VALORES</t>
  </si>
  <si>
    <t>Ahorro y Préstamo</t>
  </si>
  <si>
    <t>BID</t>
  </si>
  <si>
    <t>DESAF Créditos</t>
  </si>
  <si>
    <t>1.3.2.3.02.07.0.0.000</t>
  </si>
  <si>
    <t>Intereses y comisiones sobre préstamos al Sector Privado</t>
  </si>
  <si>
    <t xml:space="preserve">   Prestatarios AHORRO Y PRESTAMO</t>
  </si>
  <si>
    <t>1.3.2.3.03.00.0.0.000</t>
  </si>
  <si>
    <t>OTRAS RENTAS DE ACTIVOS FINANCIEROS</t>
  </si>
  <si>
    <t>1.3.2.3.03.01.0.0.000</t>
  </si>
  <si>
    <t>Intereses sobre cuentas corrientes y otros dep. en Bcos Estatales</t>
  </si>
  <si>
    <t xml:space="preserve">  Invu Central</t>
  </si>
  <si>
    <t xml:space="preserve">  Ahorro y Préstamo</t>
  </si>
  <si>
    <t xml:space="preserve">  BID</t>
  </si>
  <si>
    <t xml:space="preserve">  DESAF Compensación Social</t>
  </si>
  <si>
    <t xml:space="preserve">  DESAF Créditos</t>
  </si>
  <si>
    <t>1.3.9.0.00.00.0.0.000</t>
  </si>
  <si>
    <t>OTROS INGRESOS NO TRIBUTARIOS</t>
  </si>
  <si>
    <t xml:space="preserve">1.3.9.9.00.00.0.0.000 </t>
  </si>
  <si>
    <t>2.0.0.0.00.00.0.0.000</t>
  </si>
  <si>
    <t>INGRESOS DE CAPITAL</t>
  </si>
  <si>
    <t>2.1.0.0.00.00.0.0.000</t>
  </si>
  <si>
    <t>VENTA DE ACTIVOS</t>
  </si>
  <si>
    <t>2.1.1.0.00.00.0.0.000</t>
  </si>
  <si>
    <t>VENTA DE ACTIVOS FIJOS</t>
  </si>
  <si>
    <t xml:space="preserve">2.1.1.1.00.00.0.0.000 </t>
  </si>
  <si>
    <t>2.3.0.0.00.00.0.0.000</t>
  </si>
  <si>
    <t>RECUPERACION DE PRESTAMOS</t>
  </si>
  <si>
    <t>2.3.2.0.00.00.0.0.000</t>
  </si>
  <si>
    <t>RECUPERACION DE PRESTAMOS AL SECTOR PRIVADO</t>
  </si>
  <si>
    <t xml:space="preserve">     Prestatarios INVU</t>
  </si>
  <si>
    <t xml:space="preserve">     Prestatarios AHORRO Y PRESTAMO</t>
  </si>
  <si>
    <t>3.0.0.0.00.00.0.0.000</t>
  </si>
  <si>
    <t>FINANCIAMIENTO</t>
  </si>
  <si>
    <t>3.1.0.0.00.00.0.0.000</t>
  </si>
  <si>
    <t>FINANCIAMIENTO INTERNO</t>
  </si>
  <si>
    <t>3.1.1.0.00.00.0.0.000</t>
  </si>
  <si>
    <t>PRESTAMOS DIRECTOS</t>
  </si>
  <si>
    <t>3.1.1.5.00.00.0.0.000</t>
  </si>
  <si>
    <t>Préstamos directos Instituciones Públicas no Financieras</t>
  </si>
  <si>
    <t>3.1.1.7.00.00.0.0.000</t>
  </si>
  <si>
    <t>Préstamos directos del Sector Privado</t>
  </si>
  <si>
    <t>2.4.0.0.00.00.0.0.000</t>
  </si>
  <si>
    <t>2.4.1.0.00.00.0.0.000</t>
  </si>
  <si>
    <t>TRANSFERENCIAS DE CAPITAL DEL SECTOR PÚBLICO</t>
  </si>
  <si>
    <t>Partida Específica Compra de Terrenos</t>
  </si>
  <si>
    <t>Fondos DESAF</t>
  </si>
  <si>
    <t>Compensación Social</t>
  </si>
  <si>
    <t>2.5.0.0.00.00.0.0.000</t>
  </si>
  <si>
    <t>OTROS INGRESOS DE CAPITAL</t>
  </si>
  <si>
    <t>3.3.0.0.00.00.0.0.000</t>
  </si>
  <si>
    <t>RECURSOS DE VIGENCIAS ANTERIORES</t>
  </si>
  <si>
    <t>3.3.1.0.00.00.0.0.000</t>
  </si>
  <si>
    <t>SUPERAVIT LIBRE</t>
  </si>
  <si>
    <t>3.3.2.0.00.00.0.0.000</t>
  </si>
  <si>
    <t>SUPERAVIT ESPECIFICO</t>
  </si>
  <si>
    <t>Ministerio de Hacienda</t>
  </si>
  <si>
    <t>MIVAH</t>
  </si>
  <si>
    <t>Bienes intangibles</t>
  </si>
  <si>
    <t>5.99..02</t>
  </si>
  <si>
    <t>5.99.03</t>
  </si>
  <si>
    <t>1.9.3</t>
  </si>
  <si>
    <t>2.99.02</t>
  </si>
  <si>
    <t>Útiles y materiales médicos, hospitalario y de investigación</t>
  </si>
  <si>
    <t>Ley 8448</t>
  </si>
  <si>
    <t>1.01.04</t>
  </si>
  <si>
    <t>Alquileres y derechos para telecomunicaciones</t>
  </si>
  <si>
    <t>0.05.02</t>
  </si>
  <si>
    <t xml:space="preserve">Aporte Patronal al Régimen Obligatorio de Pensiones Complementarias </t>
  </si>
  <si>
    <t>TOTAL 
GENERAL</t>
  </si>
  <si>
    <t>1.4.2</t>
  </si>
  <si>
    <t>SALUD OCUPACIONAL</t>
  </si>
  <si>
    <t>1.4.3</t>
  </si>
  <si>
    <t>4.01.07.01</t>
  </si>
  <si>
    <t>4.01.07.02</t>
  </si>
  <si>
    <t>4.01.07.03</t>
  </si>
  <si>
    <t>Crédito individual INVU BID</t>
  </si>
  <si>
    <t>4.01.07.04</t>
  </si>
  <si>
    <t>Transferencias de Capital a Instituciones Públicas Financieras</t>
  </si>
  <si>
    <t>%</t>
  </si>
  <si>
    <t>1.3.2.3.01.06.0.0.000</t>
  </si>
  <si>
    <t>Intereses sobre títulos valores de Inst.Pub.Financieras</t>
  </si>
  <si>
    <t xml:space="preserve">   Ley 8448 </t>
  </si>
  <si>
    <t>1.3.2.3.02.08.0.0.000</t>
  </si>
  <si>
    <t>Intereses y comisiones sobre préstamos al Sector Privado AyP</t>
  </si>
  <si>
    <t xml:space="preserve">DESAF Compensación </t>
  </si>
  <si>
    <t>Intereses sobre cuentas corr y otros dep. en Bcos Estatales A y P</t>
  </si>
  <si>
    <t xml:space="preserve">1.3.9.9.01.00.0.0.000 </t>
  </si>
  <si>
    <t xml:space="preserve">1.3.9.9.02.00.0.0.000 </t>
  </si>
  <si>
    <t>1.4.1.0.00.00.0.0.000</t>
  </si>
  <si>
    <t>Trasferencias Corrientes del Sector Público</t>
  </si>
  <si>
    <t>Transferencias corrientes del Gobierno Central</t>
  </si>
  <si>
    <t xml:space="preserve"> 1.4.1.1.01.00.0.0.000</t>
  </si>
  <si>
    <t xml:space="preserve"> 1.4.1.6.00.00.0.0.000</t>
  </si>
  <si>
    <t>Tranferencias corrientes de Instituciones públicas Financieras</t>
  </si>
  <si>
    <t>Venta de terrenos  (y lotes)</t>
  </si>
  <si>
    <t>2.1..1..2.00.00.0.0.000</t>
  </si>
  <si>
    <t>Venta de edificios e instalaciones</t>
  </si>
  <si>
    <t>2.3.2.1.00.00.0.0.000</t>
  </si>
  <si>
    <t>RECUP. DE PRESTAMOS AL SECTOR PRIVADO INVU</t>
  </si>
  <si>
    <t xml:space="preserve">     Prestatarios Ley 8448</t>
  </si>
  <si>
    <t>2.3.2.2.00.00.0.0.000</t>
  </si>
  <si>
    <t>2.4.1.6.00.00.0.0.000</t>
  </si>
  <si>
    <t>Transf. De Capital del Gobierno Central</t>
  </si>
  <si>
    <t>TRANSFERENCIAS DE CAPITAL INSTITUCIONES PUBLICAS FINANCIERAS</t>
  </si>
  <si>
    <t xml:space="preserve">INVU Central </t>
  </si>
  <si>
    <t>3.3.2.0.00.00.0.0.002</t>
  </si>
  <si>
    <t>m,j</t>
  </si>
  <si>
    <t>3.3.2.0.00.00.0.0.003</t>
  </si>
  <si>
    <t>Urbanismo</t>
  </si>
  <si>
    <t>3.3.2.4.00.00.0.0.000</t>
  </si>
  <si>
    <t>INSTITUTO NACIONAL DE VIVIENDA Y URBANISMO</t>
  </si>
  <si>
    <t>INVU Central</t>
  </si>
  <si>
    <t>5.02.06.10</t>
  </si>
  <si>
    <t>Juan Rafael Mora</t>
  </si>
  <si>
    <t>5.02.06.31</t>
  </si>
  <si>
    <t>Nueva Jerusalén</t>
  </si>
  <si>
    <t>5.02.06.59</t>
  </si>
  <si>
    <t>Bono Colectivo Finca San Juan</t>
  </si>
  <si>
    <t>Ingresos Urbanismo</t>
  </si>
  <si>
    <t>Venta de Terrenos</t>
  </si>
  <si>
    <t>5.02.06.01</t>
  </si>
  <si>
    <t>5.02.06.16</t>
  </si>
  <si>
    <t>La Regional</t>
  </si>
  <si>
    <t>5.02.06.17</t>
  </si>
  <si>
    <t>5.02.06.21</t>
  </si>
  <si>
    <t>5.02.06.22</t>
  </si>
  <si>
    <t>Vistas del Monte</t>
  </si>
  <si>
    <t>5.02.06.25</t>
  </si>
  <si>
    <t>Villa Paola</t>
  </si>
  <si>
    <t>TOTAL INGRESOS DE CAPITAL Y FINANCIAMIENTO</t>
  </si>
  <si>
    <t>4.01.07.05</t>
  </si>
  <si>
    <t>Cred. Indiv. Fca. San Juan II</t>
  </si>
  <si>
    <t>5.02.06.34</t>
  </si>
  <si>
    <t>Reserva el Roble</t>
  </si>
  <si>
    <t>5.02.06.35</t>
  </si>
  <si>
    <t>André Challe</t>
  </si>
  <si>
    <t>5.02.06.36</t>
  </si>
  <si>
    <t>Bosque Urbano</t>
  </si>
  <si>
    <t>7.02.01.01</t>
  </si>
  <si>
    <t>7.02.01.03</t>
  </si>
  <si>
    <t>Casos Individuales Art.59</t>
  </si>
  <si>
    <t>Prueba</t>
  </si>
  <si>
    <t>PRUEBA</t>
  </si>
  <si>
    <t xml:space="preserve"> 1.4.1.2.00.00.0.0.000</t>
  </si>
  <si>
    <t>1.4.0.0.00.00.0.0.000</t>
  </si>
  <si>
    <t xml:space="preserve">Transferencias Corrientes </t>
  </si>
  <si>
    <t>5.02.06.32</t>
  </si>
  <si>
    <t>El Nazareno (Hojancha)</t>
  </si>
  <si>
    <t>3.3.2.1.00.00.0.0.000</t>
  </si>
  <si>
    <t>3.3.2.6.00.00.0.0.000</t>
  </si>
  <si>
    <t>Verolís</t>
  </si>
  <si>
    <t>5.02.06.37</t>
  </si>
  <si>
    <t>El Faro</t>
  </si>
  <si>
    <t>7.02.01.08</t>
  </si>
  <si>
    <t>7.02.01.09</t>
  </si>
  <si>
    <t>Casos Individuales Art.59 Proyecto Nuevo Milenio</t>
  </si>
  <si>
    <t>Casos Individuales Art.59 Proyecto BRI-BRI</t>
  </si>
  <si>
    <t>Transferencias corrientes de Organos Desconcentrados</t>
  </si>
  <si>
    <t>3.3.2.5.00.00.0.0.000</t>
  </si>
  <si>
    <t>1.08.04</t>
  </si>
  <si>
    <t>Mantenimiento y Repar. De Maq. Y Equipo de Producción</t>
  </si>
  <si>
    <t>5.02.06.39</t>
  </si>
  <si>
    <t>Bono Colectivo el Guarari</t>
  </si>
  <si>
    <t>1.3.1.2.09.09.1.0.000</t>
  </si>
  <si>
    <t>1.3.1.2.09.09.3.0.000</t>
  </si>
  <si>
    <t>1.3.1.2.09.09.3.0.002</t>
  </si>
  <si>
    <t>1.3.1.2.09.09.3.0.003</t>
  </si>
  <si>
    <t>1.3.1.2.09.09.3.0.004</t>
  </si>
  <si>
    <t>1.3.1.2.09.09.3.0.005</t>
  </si>
  <si>
    <t>1.3.1.2.09.09.5.0.000</t>
  </si>
  <si>
    <t>Recursos Ley 8448</t>
  </si>
  <si>
    <t>DETALLE</t>
  </si>
  <si>
    <t>A.</t>
  </si>
  <si>
    <t>B.</t>
  </si>
  <si>
    <t>Presupuesto Total</t>
  </si>
  <si>
    <t>Menos:</t>
  </si>
  <si>
    <t>C</t>
  </si>
  <si>
    <t>D</t>
  </si>
  <si>
    <t>E</t>
  </si>
  <si>
    <t>F</t>
  </si>
  <si>
    <t>6.01.08</t>
  </si>
  <si>
    <t>Fondos en Fideicomiso para Gasto Corriente</t>
  </si>
  <si>
    <t>MIVAH Partida Específica  Área Metropolitana</t>
  </si>
  <si>
    <t>MIVAH Partidas Específicas  Compra terreno Alajuelita y Garabito</t>
  </si>
  <si>
    <t>La Cumbre</t>
  </si>
  <si>
    <t>7.02.01.10</t>
  </si>
  <si>
    <t>Casos Individuales Art.59 Finca San Juan II Etapa</t>
  </si>
  <si>
    <t>7.02.01.11</t>
  </si>
  <si>
    <t>Casos Individuales Art.59 Los Lirios</t>
  </si>
  <si>
    <t>Egresos urbanismo</t>
  </si>
  <si>
    <t>TECNOLOGÍAS DE INFORMACIÓN</t>
  </si>
  <si>
    <t xml:space="preserve">PLANIFICACIÓN
</t>
  </si>
  <si>
    <t>JEFATURA DAF</t>
  </si>
  <si>
    <t>TALENTO HUMANO</t>
  </si>
  <si>
    <t>ADQUISICIONES Y CONTRATACIONES</t>
  </si>
  <si>
    <t>ARCHIVO CENTRAL</t>
  </si>
  <si>
    <t>JEFATURA URBANISMO Y VIVIENDA</t>
  </si>
  <si>
    <t>JEFATURA URBANISMO</t>
  </si>
  <si>
    <t>FISCALIZACIÓN</t>
  </si>
  <si>
    <t>CRIETERIOS TÉCNICOS Y OPERATIVOS DE ORDENAMIENTO TERRITORIAL</t>
  </si>
  <si>
    <t>ASESORÍA Y CAPACITACIÓN</t>
  </si>
  <si>
    <t>PROGRAMA N°3
PROGRAMAS HABITACIONALES</t>
  </si>
  <si>
    <t>PROGRAMA N°2
URBANISMO</t>
  </si>
  <si>
    <t>JEFATURA PROGRAMAS HABITACIONALES</t>
  </si>
  <si>
    <t>PROYECTOS HABITACIONALES</t>
  </si>
  <si>
    <t>MECANISMOS DE FINANCIAMIENTO</t>
  </si>
  <si>
    <t>FONDO DE INVERSIÓN EN BIENES INMUEBLES</t>
  </si>
  <si>
    <t>COMUNICACIÓN Y PROMOCIÓN</t>
  </si>
  <si>
    <t>ADMINISTRACIÓN DE CANALES DE SERVICIO</t>
  </si>
  <si>
    <t>GESTION DE SERVICIOS</t>
  </si>
  <si>
    <t>SECRETARIA DE JUNTA
DIRECTIVA</t>
  </si>
  <si>
    <t>ADMINISTRACIÓN</t>
  </si>
  <si>
    <t>FINANZAS</t>
  </si>
  <si>
    <t>1.3.9.9.03.00.0.0.000</t>
  </si>
  <si>
    <t>SUBPROGRAMA NO.2  GESTIÓN DE PRODUCTOS CON DIVERSAS FUENTES DE FINANCIAMIENTO</t>
  </si>
  <si>
    <t>JEFATURA GESTION DE PRODUCTOS FINANCIEROS</t>
  </si>
  <si>
    <t xml:space="preserve">Ingresos varios no especificados  </t>
  </si>
  <si>
    <t>Ingresos varios no especificados   (PlANOS CATASTRADOS)</t>
  </si>
  <si>
    <t>Superávit Específico FODESAF (Compra terreno El Erizo)</t>
  </si>
  <si>
    <t>5.02.06.40</t>
  </si>
  <si>
    <t>Mollejones</t>
  </si>
  <si>
    <t>Superávit libre</t>
  </si>
  <si>
    <t>Superávit Especifico Ley 9103</t>
  </si>
  <si>
    <t>Egreso Urbanismo</t>
  </si>
  <si>
    <t>CIFRAS EN COLONES</t>
  </si>
  <si>
    <t>PROGRAMA No.1 ADMINISTRACIÓN Y APOYO</t>
  </si>
  <si>
    <t>PROGRAMA No.2 URBANISMO</t>
  </si>
  <si>
    <t>PROGRAMA No.3          PROGRAMAS HABITACIONALES</t>
  </si>
  <si>
    <t>PROGRAMA No.4    GESTION DE PROGRAMAS DE FINANCIAMIENTO</t>
  </si>
  <si>
    <t>Ley 9016</t>
  </si>
  <si>
    <t>Crédito-Bono ( ley 9016)</t>
  </si>
  <si>
    <t>Superávit Ley 8448</t>
  </si>
  <si>
    <t>Terrenos (Recursos FODESAF)</t>
  </si>
  <si>
    <t>Ley  9016 (Recursos FODESAF)</t>
  </si>
  <si>
    <t>PROGRAMA N°1
ADMINISTRACIÓN Y
APOYO</t>
  </si>
  <si>
    <t>PROGRAMA Nª 4
GESTIÓN DE PROGRAMAS DE FINANCIAMIENTO</t>
  </si>
  <si>
    <t>Superávit Específico BID</t>
  </si>
  <si>
    <t xml:space="preserve"> Superávit Ley 8785 y Ley 8790 </t>
  </si>
  <si>
    <t>Partidas Específicas</t>
  </si>
  <si>
    <t>CONTABILIDAD</t>
  </si>
  <si>
    <t>COBROS</t>
  </si>
  <si>
    <t>TESORERIA</t>
  </si>
  <si>
    <t>5.02.06.60</t>
  </si>
  <si>
    <t>Finca Boschini Obras de Estabilización</t>
  </si>
  <si>
    <t>5.02.06.61</t>
  </si>
  <si>
    <t>Finca Boschini Etapa 1-BANHVI</t>
  </si>
  <si>
    <t>El Estero</t>
  </si>
  <si>
    <t>Duarco-Cocorí</t>
  </si>
  <si>
    <t>7.02.01.12</t>
  </si>
  <si>
    <t>Casos Individuales Art.59 Juan Rafael Mora</t>
  </si>
  <si>
    <t>6.03.99</t>
  </si>
  <si>
    <t>Otras Prestaciones (Incapacidades)</t>
  </si>
  <si>
    <t>INVU</t>
  </si>
  <si>
    <t>Superávit Específico  Ley Talúd Alajuelita</t>
  </si>
  <si>
    <t xml:space="preserve">Premio Nobel </t>
  </si>
  <si>
    <t>DETALLE DE ORIGEN Y APLICACION DE RECURSOS</t>
  </si>
  <si>
    <t xml:space="preserve"> T O T A L</t>
  </si>
  <si>
    <t>PROGRAMA NO.1 ADMINISTRACIÓN Y APOYO</t>
  </si>
  <si>
    <t>PROGRAMA NO.2 URBANISMO</t>
  </si>
  <si>
    <t>RPOGRAMA NO.3 PROGRAMAS HABITACIONALES</t>
  </si>
  <si>
    <t>PROGRAMA NO.4  GESTIÓN DE PROGRAMAS DE FINANCIAMIENTO</t>
  </si>
  <si>
    <t>PROGRAMA NO.4  SUBPROGRAMA N.1  GESTIÓN DE PRODUCTOS SISTEMA DE AHORRO Y PRÉSTAMO</t>
  </si>
  <si>
    <t>PROGRAMA NO.4  SUBPROGRAMA NO.2 GESTIÓN DE PRODUCTOS CON DIVERSAS FUENTES DE INGRESOS</t>
  </si>
  <si>
    <t>F U E N T E S   (ORIGEN)</t>
  </si>
  <si>
    <t>APLICACIONES</t>
  </si>
  <si>
    <t>TOTAL  DE  RECURSOS</t>
  </si>
  <si>
    <t>TOTAL  GASTOS</t>
  </si>
  <si>
    <t>GASTOS CORRIENTES</t>
  </si>
  <si>
    <t xml:space="preserve"> VENTA DE BIENES</t>
  </si>
  <si>
    <t xml:space="preserve"> Venta de bienes agropecuarios y forestales</t>
  </si>
  <si>
    <t xml:space="preserve">Remuneraciones </t>
  </si>
  <si>
    <t>Servicios financieros</t>
  </si>
  <si>
    <t xml:space="preserve">0. Remuneraciones </t>
  </si>
  <si>
    <t>6.Tranferencias Corrientes</t>
  </si>
  <si>
    <t xml:space="preserve">INVU   </t>
  </si>
  <si>
    <t xml:space="preserve">Urbanismo </t>
  </si>
  <si>
    <t>0. Remuneraciones</t>
  </si>
  <si>
    <t>1. Servicios</t>
  </si>
  <si>
    <t>2. Materiales</t>
  </si>
  <si>
    <t>INTERESES SOBRE TITULOS VALORES</t>
  </si>
  <si>
    <t>Intereses sobre titulos valores de Inst. Púb. Financ.</t>
  </si>
  <si>
    <t>AHORRO Y PRESTAMO</t>
  </si>
  <si>
    <t xml:space="preserve">4. Activos Financieros </t>
  </si>
  <si>
    <t>1.3.2.3.02.00.0.0.000</t>
  </si>
  <si>
    <t xml:space="preserve">INTERESES Y COMISIONES S/PRESTAMOS </t>
  </si>
  <si>
    <t>Intereses y comisiones s/ préstamos al Sector Priv.</t>
  </si>
  <si>
    <t>INVU     Operaciones INVU</t>
  </si>
  <si>
    <t>AHORRO Y PRESTAMO        Operaciones AYP</t>
  </si>
  <si>
    <t>3. Intereses y Comisiones</t>
  </si>
  <si>
    <t>Intereses sobre ctas corrientes y otros dep. Bcos est.</t>
  </si>
  <si>
    <t xml:space="preserve">OTROS INGRESOS NO TRIBUTARIOS </t>
  </si>
  <si>
    <t>1.3.9.9.00.00.0.0.000</t>
  </si>
  <si>
    <t>Ingresos varios no específicados</t>
  </si>
  <si>
    <t xml:space="preserve">INVU </t>
  </si>
  <si>
    <t>TRANSFERENCIAS CORRIENTES</t>
  </si>
  <si>
    <t xml:space="preserve"> 1.4.1.1.00.00.0.0.000</t>
  </si>
  <si>
    <t>Transferencias Corrientes del Gobierno Central</t>
  </si>
  <si>
    <t>1.4.1.6.00.00.0.0.000</t>
  </si>
  <si>
    <t>Transferencias corrientes de Instit. Públicas Financieras</t>
  </si>
  <si>
    <t>GASTOS CAPITAL</t>
  </si>
  <si>
    <t>2.1.1.0.0,00.00.0.0.000</t>
  </si>
  <si>
    <t>2.1.1.1.0.00.00.0.0.000</t>
  </si>
  <si>
    <t>Venta  de terrenos</t>
  </si>
  <si>
    <t>5.Bienes Duraderos</t>
  </si>
  <si>
    <t>Recuperación de préstamos al sector privado</t>
  </si>
  <si>
    <t>Prestarios INVU</t>
  </si>
  <si>
    <t>4.Activos Financieros</t>
  </si>
  <si>
    <t>9. Cuentas Especiales</t>
  </si>
  <si>
    <t>Prestarios Ahorro y Préstamo</t>
  </si>
  <si>
    <t>8. Amortización</t>
  </si>
  <si>
    <t>Transferencias de Capital del Sector Público</t>
  </si>
  <si>
    <t>2.4.1.2.00.00.0.0.000</t>
  </si>
  <si>
    <t>Transferencias de capital de Organos Desconcentrados</t>
  </si>
  <si>
    <t>Bienes Duraderos</t>
  </si>
  <si>
    <t>7. Transf. de Capital</t>
  </si>
  <si>
    <t xml:space="preserve">Préstamos directos del Sector Privado </t>
  </si>
  <si>
    <t>3.1.1.7.01.00.0.0.000</t>
  </si>
  <si>
    <t>8. Amortizacion</t>
  </si>
  <si>
    <t xml:space="preserve">Superávit Libre </t>
  </si>
  <si>
    <t>4. Activos Financieros</t>
  </si>
  <si>
    <t>Superávit Especifico</t>
  </si>
  <si>
    <t>Ahorro y Préstamo ( traslado de recursos a INVU según Ley 8448 (Reforma del Inciso K) del Artículo 5° de la Ley  Órganica del Instituto Nacional de Vivienda y Urbanismo</t>
  </si>
  <si>
    <t>Ley 9103 (  Ley de Presupuesto Ordinario y Extraordinario de la República para el ejercicio Económico 2013, para el proceso de reestructuración del INVU,  según Ley 1788 del 24/08/1954 y sus reformas)</t>
  </si>
  <si>
    <t>5. Bienes Duraderos</t>
  </si>
  <si>
    <t xml:space="preserve"> Partidas Específicas  Compra terreno Alajuelita Según Ley 8790 del Presupuesto Nacional de la República 2010 y en Garabito, según Ley 8785, Tomo III del Presupuesto Ordinario y Extraordinario de la República de Costa Rica del 2009</t>
  </si>
  <si>
    <t>Superávit Específico FODESAF (Compra de Tererno el Erizo)</t>
  </si>
  <si>
    <t>Ley 8448 ( Reforma del Inciso K) del Articulo 5° de la Ley Orgánica del Instituto Nacional de Vivienda y Urbanismo No.1788)</t>
  </si>
  <si>
    <t>Superávit FODESAF (Proyecto Consolidación del Patrimonio Habitacional)</t>
  </si>
  <si>
    <t>Proyecto Consolidación del Patrimonio Habitacional (Recursos FODESAF)</t>
  </si>
  <si>
    <t>1.Servicios</t>
  </si>
  <si>
    <t>2.Materiales y Suminsitros</t>
  </si>
  <si>
    <t xml:space="preserve">BANHVI </t>
  </si>
  <si>
    <t>(En colones)</t>
  </si>
  <si>
    <t xml:space="preserve">Ingresos varios no especificados  INVU  </t>
  </si>
  <si>
    <t xml:space="preserve">Ingresos varios no especificados A Y P  </t>
  </si>
  <si>
    <t>Superávit Específico Ley 8785</t>
  </si>
  <si>
    <t>Superávit Específico  Ley 9344</t>
  </si>
  <si>
    <t>Antigüedad</t>
  </si>
  <si>
    <t>5.01.07</t>
  </si>
  <si>
    <t>Equipo y Mobiliario Eduacacional, Deportivo y  Recreativo</t>
  </si>
  <si>
    <t>Superávit Específico FODESAF (Convenio Cosolidación Patrimonial)</t>
  </si>
  <si>
    <t>Subsidios</t>
  </si>
  <si>
    <t>5.02.02</t>
  </si>
  <si>
    <t>Vías de Comunicación Terrestre</t>
  </si>
  <si>
    <t>Crédito clase media-Recursos Ley 8448</t>
  </si>
  <si>
    <t>4.01.07.06</t>
  </si>
  <si>
    <t>Crédito clase media-Superávit Libre</t>
  </si>
  <si>
    <t xml:space="preserve">Total deducciones </t>
  </si>
  <si>
    <t>Gasto presupuestario  (B-D)</t>
  </si>
  <si>
    <t>Disponible límite presupuestario (A-E)</t>
  </si>
  <si>
    <t>Superávit Específico 9016</t>
  </si>
  <si>
    <t>Superávit Específico Ley 9016</t>
  </si>
  <si>
    <t>(En Colones)</t>
  </si>
  <si>
    <t>7.Transferencias de Capital</t>
  </si>
  <si>
    <t xml:space="preserve">(Monto en  colones) </t>
  </si>
  <si>
    <t xml:space="preserve">Alquiler de terrenos  </t>
  </si>
  <si>
    <t>INVU                                (SIN INCLUIR EL SAP)</t>
  </si>
  <si>
    <t>SUBPROGRAMA NO.1 GESTIÓN DE PRODUCTOS DEL SISTEMA DE AHORRO Y PRÉSTAMO (SAP)</t>
  </si>
  <si>
    <r>
      <t xml:space="preserve">Alquiler de edificios e instalaciones  </t>
    </r>
    <r>
      <rPr>
        <b/>
        <sz val="10"/>
        <color indexed="10"/>
        <rFont val="Arial"/>
        <family val="2"/>
      </rPr>
      <t xml:space="preserve"> </t>
    </r>
  </si>
  <si>
    <t xml:space="preserve">Ingresos INVU </t>
  </si>
  <si>
    <t>RECUP. DE PRESTAMOS AL SECTOR PRIVADO (SAP)</t>
  </si>
  <si>
    <t>Préstamos directos del Sector Privado (SAP)</t>
  </si>
  <si>
    <t xml:space="preserve">Alquiler de edificios e instalaciones  </t>
  </si>
  <si>
    <t>4. Activos Financieros (créditos)</t>
  </si>
  <si>
    <t>5.02.06.64 Premio Nobel</t>
  </si>
  <si>
    <t>7.02.01.12 Casos Individuales Art.59 Juan Rafael Mora</t>
  </si>
  <si>
    <t>6. Tranferencias Corrientes                   ( Indemnizaciones)</t>
  </si>
  <si>
    <t>5.03.01 Terrenos</t>
  </si>
  <si>
    <t>5.02.06.60 Finca Boschini Obras de Estabilización</t>
  </si>
  <si>
    <t>1.04.03 Servicios de Ingeniería</t>
  </si>
  <si>
    <t>PRESUPUESTO DE EGRESOS 2018</t>
  </si>
  <si>
    <t>Presupuesto
Ordinario 2018</t>
  </si>
  <si>
    <t>LÍMITE GASTO PRESUPUESTARIO AÑO 2018</t>
  </si>
  <si>
    <t>Sistema de Ahorro Y Préstamo</t>
  </si>
  <si>
    <t>LEY 8448</t>
  </si>
  <si>
    <t>LEY 9016</t>
  </si>
  <si>
    <t xml:space="preserve">     Prestatarios Ley 8449</t>
  </si>
  <si>
    <t xml:space="preserve">     Prestatarios Ley 8450</t>
  </si>
  <si>
    <t xml:space="preserve">     Prestatarios Ley 9016</t>
  </si>
  <si>
    <t>Año-2018</t>
  </si>
  <si>
    <t>PRESUPUESTO DE INGRESOS 2018</t>
  </si>
  <si>
    <t>3.Intereses y Comisiones</t>
  </si>
  <si>
    <t>5.02.06 Obras Urbanisticas (Proyecto Premio Nobel)</t>
  </si>
  <si>
    <t>7.01.06 Tranferencias de Capital a Instituciones</t>
  </si>
  <si>
    <t>5.03.01 Terrenos (compra de Terreno  El Erizo)</t>
  </si>
  <si>
    <t>7. Transf. de Capital (subsidios)</t>
  </si>
  <si>
    <t>1. Servicios (Servicios de Gestión y apoyo, para titulación e inventario de terrenos y etapas previas de proyectos)</t>
  </si>
  <si>
    <t>1.Servivios (Gastos de formalización por servicios jurídicos, ingeniería y ciencias económicas de proyectos Art.59)</t>
  </si>
  <si>
    <t>4.01.07.05 Créditos Clase Interés Social</t>
  </si>
  <si>
    <t>Crédito-Recursos Ley 9016</t>
  </si>
  <si>
    <t>Egresos</t>
  </si>
  <si>
    <t>Recursos</t>
  </si>
  <si>
    <t>PROGRAMAS</t>
  </si>
  <si>
    <t>SUBPROGRAMA NO.1 GESTIÓN DE PRODUCTOS DEL SISTEMA DE AHORRO Y PRÉSTAMO</t>
  </si>
  <si>
    <t>SUBPROGRAMA NO.2 GESTIÓN DE PRODUCTOS CON DIVERSAS FUENTES DE INGRESOS</t>
  </si>
  <si>
    <t>CLASIFICADOR FUNCIONAL</t>
  </si>
  <si>
    <t>CÓDIGO</t>
  </si>
  <si>
    <t>DESCRIPCIÓN</t>
  </si>
  <si>
    <t>3.1.1</t>
  </si>
  <si>
    <t>Urbanización</t>
  </si>
  <si>
    <t>3.1.2</t>
  </si>
  <si>
    <t>Desarrollo Comunitario</t>
  </si>
  <si>
    <t>3.1.6</t>
  </si>
  <si>
    <t>Vivienda y Servicios Comunitarios no Específicos</t>
  </si>
  <si>
    <t>PRESUPUESTO INICIAL 2018</t>
  </si>
  <si>
    <t>Funciones y Servicios Sociales</t>
  </si>
  <si>
    <t>3.1</t>
  </si>
  <si>
    <t>Vivienda y Otros Servicios Comunitarios</t>
  </si>
  <si>
    <t>Instituto Nacional de Vivienda y Urbanismo</t>
  </si>
  <si>
    <t xml:space="preserve">Comparativo de Ingresos 2017 - 2018 </t>
  </si>
  <si>
    <t>Monto en miles de colones</t>
  </si>
  <si>
    <t xml:space="preserve">Presupuesto 2018                                  </t>
  </si>
  <si>
    <t>Presupuesto 2017</t>
  </si>
  <si>
    <t>Variacion %</t>
  </si>
  <si>
    <t xml:space="preserve">Justifición </t>
  </si>
  <si>
    <t>Ingresos</t>
  </si>
  <si>
    <t>Ingresos Corrientes</t>
  </si>
  <si>
    <t>Ingresos no Tributarios</t>
  </si>
  <si>
    <t>Venta de Bienes y Servicios</t>
  </si>
  <si>
    <t>Renta de Activos Financieros</t>
  </si>
  <si>
    <t>Intereses sobre Títulos Valores</t>
  </si>
  <si>
    <t>Intereses y Comisiones Sobre Prestamos Sec. Priv.</t>
  </si>
  <si>
    <t>Ints s/ Dep. a Plazo de Empresas Públ. Financ.</t>
  </si>
  <si>
    <t>Invu Central</t>
  </si>
  <si>
    <t>DESAF Compensación Social</t>
  </si>
  <si>
    <t>Intereses Adjudicatarios y Prestatarios</t>
  </si>
  <si>
    <t xml:space="preserve">   Intereses Adjudicatarios INVU</t>
  </si>
  <si>
    <t xml:space="preserve">   Adjudicatarios B.I.D 4 TF</t>
  </si>
  <si>
    <t xml:space="preserve">   Adjudicatarios B.I.D 97 TF</t>
  </si>
  <si>
    <t xml:space="preserve">   Préstatarios INVU</t>
  </si>
  <si>
    <t xml:space="preserve">   Prestatarios B.C.I.E 5-053</t>
  </si>
  <si>
    <t xml:space="preserve">   Prestatarios B.C.I.E 5-076</t>
  </si>
  <si>
    <t xml:space="preserve">   Prestatarios D.E.C.A.P</t>
  </si>
  <si>
    <t xml:space="preserve">   Prestatarios BID-762-SF/CR</t>
  </si>
  <si>
    <t xml:space="preserve">   Prestatarios A.I.D H.G 006</t>
  </si>
  <si>
    <t xml:space="preserve">   Prestatarios B.C.I.E 5-091</t>
  </si>
  <si>
    <t xml:space="preserve">   Prestatarios CUERPO DE PAZ INVU</t>
  </si>
  <si>
    <t xml:space="preserve">   Prestatarios A.I.D K-040</t>
  </si>
  <si>
    <t xml:space="preserve">   Prestatarios PLANAVIP</t>
  </si>
  <si>
    <t xml:space="preserve">   Prestatarios BANHVI</t>
  </si>
  <si>
    <t xml:space="preserve">   Prestatarios DESAF</t>
  </si>
  <si>
    <t xml:space="preserve">   Prestatarios Hacienda Vieja</t>
  </si>
  <si>
    <t>Otros Intereses (Otras Rentas Act. Financ)</t>
  </si>
  <si>
    <t>Intereses Sobre Cuentas corrientes en Bcos. Estatales</t>
  </si>
  <si>
    <t>Otros ingresos no tributarios</t>
  </si>
  <si>
    <t>Transferencias Corrientes</t>
  </si>
  <si>
    <t>Tranferencias Corrientes</t>
  </si>
  <si>
    <t>Transferencia Corrientes del Gobierno Central</t>
  </si>
  <si>
    <t>Transferencia Corrientes de Órganos Desconcentrados</t>
  </si>
  <si>
    <t>Transferencias corrientes de instituciones públicas financieras</t>
  </si>
  <si>
    <t>Ingresos de Capital</t>
  </si>
  <si>
    <t>Venta de Activ. Cap. Fijo  y Existencias</t>
  </si>
  <si>
    <t>VENTA DE ACTIVO DE CAPITAL FIJO</t>
  </si>
  <si>
    <t xml:space="preserve">    Venta de Condominios</t>
  </si>
  <si>
    <t>VENTA DE TIERRAS Y ACTIV. INTANGIBLES</t>
  </si>
  <si>
    <t xml:space="preserve">    Primas en venta de lotes</t>
  </si>
  <si>
    <t>Recuperación de  Préstamos</t>
  </si>
  <si>
    <t>Recuperación de Préstamos</t>
  </si>
  <si>
    <t xml:space="preserve">  Amortización adjudicatarios y prestatarios</t>
  </si>
  <si>
    <t xml:space="preserve">    Adjudicatarios INVU</t>
  </si>
  <si>
    <t xml:space="preserve">    Adjudicatarios B.I.D.  4 TF</t>
  </si>
  <si>
    <t xml:space="preserve">    Adjudicatarios B.I.D. 97 TF</t>
  </si>
  <si>
    <t xml:space="preserve">     Prestatarios B.C.I.E 5-053</t>
  </si>
  <si>
    <t xml:space="preserve">     Prestatarios B.C.I.E 5-076</t>
  </si>
  <si>
    <t xml:space="preserve">     Prestatarios D.E.C.A.P</t>
  </si>
  <si>
    <t xml:space="preserve">     Prestatarios BID-762-SF/CR</t>
  </si>
  <si>
    <t xml:space="preserve">     Prestatatarios A.I.D   HG 006</t>
  </si>
  <si>
    <t xml:space="preserve">     Prestatarios B.C.I.E 5-091</t>
  </si>
  <si>
    <t xml:space="preserve">     Prestatarios CUERPO DE PAZ</t>
  </si>
  <si>
    <t xml:space="preserve">     Prestatarios A.I.D K-040</t>
  </si>
  <si>
    <t xml:space="preserve">     Prestatarios PLANAVIP</t>
  </si>
  <si>
    <t xml:space="preserve">     BANHVI</t>
  </si>
  <si>
    <t xml:space="preserve">     Bono-Fosuvi</t>
  </si>
  <si>
    <t xml:space="preserve">     Prestatarios DESAF</t>
  </si>
  <si>
    <t xml:space="preserve">     Prestatarios Hacienda Vieja</t>
  </si>
  <si>
    <t xml:space="preserve">     Otros Prestatarios</t>
  </si>
  <si>
    <t>Endeudamiento</t>
  </si>
  <si>
    <t>Endeudamiento Interno</t>
  </si>
  <si>
    <t xml:space="preserve">     Préstamos Sector Privado</t>
  </si>
  <si>
    <t xml:space="preserve">       Ahorro y Préstamo</t>
  </si>
  <si>
    <t xml:space="preserve">Transferencias de Capital </t>
  </si>
  <si>
    <t xml:space="preserve">   Del Ejercicio</t>
  </si>
  <si>
    <t>Instituciones Públicas Financieras</t>
  </si>
  <si>
    <t>Empresas Públicas Financieras</t>
  </si>
  <si>
    <t>Transferencias de Instituciones Públicas Financieras</t>
  </si>
  <si>
    <t>Financiamiento</t>
  </si>
  <si>
    <t>Financiamiento interno Prést. Directos</t>
  </si>
  <si>
    <t>Total de Ingresos</t>
  </si>
  <si>
    <r>
      <t xml:space="preserve">Recursos Vigencias anteriores            </t>
    </r>
    <r>
      <rPr>
        <b/>
        <sz val="8"/>
        <rFont val="Arial"/>
        <family val="2"/>
      </rPr>
      <t>2/</t>
    </r>
  </si>
  <si>
    <r>
      <t>Recursos de Vigencias Anteriores</t>
    </r>
    <r>
      <rPr>
        <b/>
        <sz val="10"/>
        <rFont val="Arial"/>
        <family val="2"/>
      </rPr>
      <t xml:space="preserve"> * </t>
    </r>
    <r>
      <rPr>
        <sz val="10"/>
        <rFont val="Arial"/>
        <family val="2"/>
      </rPr>
      <t xml:space="preserve">  </t>
    </r>
    <r>
      <rPr>
        <sz val="8"/>
        <rFont val="Arial"/>
        <family val="2"/>
      </rPr>
      <t xml:space="preserve"> </t>
    </r>
  </si>
  <si>
    <t>* del 2014 al 2017 Incluye Superávit acumulado</t>
  </si>
  <si>
    <t>Transferencias del Gobierno Central</t>
  </si>
  <si>
    <t>Transferencias corrientes del sector publico</t>
  </si>
  <si>
    <t xml:space="preserve">    Ingresos Varios no especificados</t>
  </si>
  <si>
    <t>Intereses sobre Titulos Valores</t>
  </si>
  <si>
    <t xml:space="preserve">   Venta de Otros Servicios</t>
  </si>
  <si>
    <t xml:space="preserve">   Cobro Gastos Legales</t>
  </si>
  <si>
    <t>Venta de Servicios Varios</t>
  </si>
  <si>
    <t>Gastos de Cierre</t>
  </si>
  <si>
    <t>Cuotas de Ingreso Ahorro y Préstamo</t>
  </si>
  <si>
    <t>Venta Serv.por concesión de créditos</t>
  </si>
  <si>
    <t xml:space="preserve">   Oficinas</t>
  </si>
  <si>
    <t xml:space="preserve">   Multifamiliares</t>
  </si>
  <si>
    <t>Alquiler de Edificios</t>
  </si>
  <si>
    <t>Venta de Servicios</t>
  </si>
  <si>
    <t xml:space="preserve">   Productos Agropecuarios y Forestales</t>
  </si>
  <si>
    <t>Ejecución Presupuestaria 2016</t>
  </si>
  <si>
    <t>Presupuesto 2017 al 3 de junio 2017                               proyectado al 31/12/2017</t>
  </si>
  <si>
    <t>Presupuesto 2018</t>
  </si>
  <si>
    <t>( en miles de colones )</t>
  </si>
  <si>
    <t>Años 2016-2018</t>
  </si>
  <si>
    <t>Serie histórica de ingresos efectivos</t>
  </si>
  <si>
    <t xml:space="preserve"> Instituto Nacional de Vivienda y Urbanismo</t>
  </si>
  <si>
    <t xml:space="preserve">Subsidios </t>
  </si>
  <si>
    <t>Casos Individuales Art. 59</t>
  </si>
  <si>
    <t>Cuota patronal de pensiones y jubilaciones, contributivas y no contributivas</t>
  </si>
  <si>
    <t>6.03.05</t>
  </si>
  <si>
    <t>Decimotercer mes de pensiones y jubilaciones</t>
  </si>
  <si>
    <t>6.03.04</t>
  </si>
  <si>
    <t xml:space="preserve">Prestaciones Legales </t>
  </si>
  <si>
    <t>6..03.01</t>
  </si>
  <si>
    <t>Vías de comunicación Terrestre</t>
  </si>
  <si>
    <t>Equipo y mobiliario educacional, deportivo y recreativo</t>
  </si>
  <si>
    <t xml:space="preserve">Crédito clase media - Superávit Libre </t>
  </si>
  <si>
    <t>Crédito clase media - Recursos Ley 9016</t>
  </si>
  <si>
    <t>Crédito clase media - Recursos Ley 8448</t>
  </si>
  <si>
    <t xml:space="preserve">Servicios de desarrollo de sistemas </t>
  </si>
  <si>
    <t>Complemento salarial</t>
  </si>
  <si>
    <t>0.03.99.03</t>
  </si>
  <si>
    <t>Zonaje</t>
  </si>
  <si>
    <t>0.03.99.01</t>
  </si>
  <si>
    <t xml:space="preserve">Restricción al ejercicio liberal de la profesión  </t>
  </si>
  <si>
    <t>Antigüiedad</t>
  </si>
  <si>
    <t>Justuficación</t>
  </si>
  <si>
    <t>Variación %</t>
  </si>
  <si>
    <t>Comparativo de Egresos 2017 - 2018</t>
  </si>
  <si>
    <t xml:space="preserve">Instituto Nacional de Vivienda y Urbanismo </t>
  </si>
  <si>
    <t>Prestaciones Legales</t>
  </si>
  <si>
    <t xml:space="preserve">Transferencias corrientes al Gobierno Central Desconcentrados </t>
  </si>
  <si>
    <t xml:space="preserve">Vías de Comunicación Terrestre </t>
  </si>
  <si>
    <t>Crédito clase media - Superávit Libre</t>
  </si>
  <si>
    <t>Crédito clase media (Ley 8448)</t>
  </si>
  <si>
    <t xml:space="preserve">TOTAL </t>
  </si>
  <si>
    <t>VARAICIÓN %</t>
  </si>
  <si>
    <t>VARIACIÓN (B-C)</t>
  </si>
  <si>
    <t>EGRESOS REALES 2016 (C)</t>
  </si>
  <si>
    <t>VARIAC. %</t>
  </si>
  <si>
    <t>VARIAC. (A-B)</t>
  </si>
  <si>
    <t>EGRESOS REALES JUNIO 2017 PROYECTADO A DICIEMBRE 2017 (B)</t>
  </si>
  <si>
    <t>PRESUPUESTO ORDINARIO 2016 (A)</t>
  </si>
  <si>
    <t>PRESUPUESTO ORDINARIO 2018 (A)</t>
  </si>
  <si>
    <t>CIFRAS EN MILES DE COLONES</t>
  </si>
  <si>
    <t>EVOLUCIÓN DE EGRESOS 2017 - 2018</t>
  </si>
  <si>
    <t>5.02.06.64</t>
  </si>
  <si>
    <t>5.02.06.63</t>
  </si>
  <si>
    <t>5.02.06.62</t>
  </si>
  <si>
    <t>GESTIÓN DE PRODUCTOS CON DIVERSAS FUENTES DE INGRESOS</t>
  </si>
  <si>
    <t>GESTIÓN DE PRODUCTOS DEL SISTEMA DE AHORRO Y PRÉSTAMO</t>
  </si>
  <si>
    <t>TOTAL GENERAL</t>
  </si>
  <si>
    <t>ANÁLISIS VERTICAL PRESUPUESTO DE EGRESOS 2018</t>
  </si>
  <si>
    <t>* 2017 y 2018 Incluyen Superávits acumulados</t>
  </si>
  <si>
    <t>Variación %                                        (b-c)</t>
  </si>
  <si>
    <t>Ingresos Reales 2016                                        (c)</t>
  </si>
  <si>
    <t>Variación %                                        (a-b)</t>
  </si>
  <si>
    <t>Presupuesto 2017 al 30 de junio 2017                                proyectado al 31/12/2017                     (b)</t>
  </si>
  <si>
    <t>Presupuesto 2018                                       (a)</t>
  </si>
  <si>
    <t>Años 2017-2018</t>
  </si>
  <si>
    <t>Comparativo de Ingresos</t>
  </si>
  <si>
    <t>Nota: Se elabora considerando la tabla de equivalencia del Clasificador Económico del Gasto del Sector Público</t>
  </si>
  <si>
    <t xml:space="preserve">SUMAS SIN ASIGNACIÓN </t>
  </si>
  <si>
    <t xml:space="preserve">OTROS ACTIVOS FINANCIEROS </t>
  </si>
  <si>
    <t>3.4</t>
  </si>
  <si>
    <t xml:space="preserve">Amortización Externa </t>
  </si>
  <si>
    <t>3.3.2</t>
  </si>
  <si>
    <t xml:space="preserve">Amortización Interna </t>
  </si>
  <si>
    <t>3.3.1</t>
  </si>
  <si>
    <t>AMORTIZACIÓN</t>
  </si>
  <si>
    <t>3.3</t>
  </si>
  <si>
    <t xml:space="preserve">ADQUISICIÓN DE VALORES </t>
  </si>
  <si>
    <t xml:space="preserve">3.2 </t>
  </si>
  <si>
    <t xml:space="preserve">CONSECIÓN DE PRESTAMOS </t>
  </si>
  <si>
    <t xml:space="preserve">TRANSACCIONES FINANCIERAS </t>
  </si>
  <si>
    <t>Transferecnias de capital al Sector Externo</t>
  </si>
  <si>
    <t>2.3.3</t>
  </si>
  <si>
    <t>Transferecnias de capital al Sector Privado</t>
  </si>
  <si>
    <t>2.3.2</t>
  </si>
  <si>
    <t>Transferecnias de capital al Sector Público</t>
  </si>
  <si>
    <t>2.3.1</t>
  </si>
  <si>
    <t xml:space="preserve">TRANSFERENCIAS DE CAPITAL </t>
  </si>
  <si>
    <t xml:space="preserve">2.3 </t>
  </si>
  <si>
    <t>Activos de Valor</t>
  </si>
  <si>
    <t>2.1.5</t>
  </si>
  <si>
    <t xml:space="preserve">Intangibles </t>
  </si>
  <si>
    <t>2.1.4</t>
  </si>
  <si>
    <t>Edificios</t>
  </si>
  <si>
    <t>2.1.3</t>
  </si>
  <si>
    <t>2.1.2</t>
  </si>
  <si>
    <t>Maquinaria y equipo</t>
  </si>
  <si>
    <t>2.1.1</t>
  </si>
  <si>
    <t xml:space="preserve">ADQUISICIÓN DE ACTIVOS </t>
  </si>
  <si>
    <t>2.2</t>
  </si>
  <si>
    <t xml:space="preserve">Obras Otras </t>
  </si>
  <si>
    <t xml:space="preserve">Instalaciones </t>
  </si>
  <si>
    <t xml:space="preserve">Obras Urbanísticas </t>
  </si>
  <si>
    <t xml:space="preserve">Vías de Comunicación </t>
  </si>
  <si>
    <t>Edificaciones</t>
  </si>
  <si>
    <t xml:space="preserve">FORMACIÓN DE CAPITAL </t>
  </si>
  <si>
    <t>2.1</t>
  </si>
  <si>
    <t xml:space="preserve">GASTOS DE CAPITAL </t>
  </si>
  <si>
    <t>Transferencias corrientes al Sector Externo</t>
  </si>
  <si>
    <t>1.3.3</t>
  </si>
  <si>
    <t>Transferencias corrientes al Sector Privado</t>
  </si>
  <si>
    <t>1.3.2</t>
  </si>
  <si>
    <t>Transferencias corrientes al Sector Público</t>
  </si>
  <si>
    <t xml:space="preserve">TRANSFERENCIAS CORRIENTES </t>
  </si>
  <si>
    <t xml:space="preserve">1.3 </t>
  </si>
  <si>
    <t>Externos</t>
  </si>
  <si>
    <t>1.2.2</t>
  </si>
  <si>
    <t>Internos</t>
  </si>
  <si>
    <t>INTERESES</t>
  </si>
  <si>
    <t>1.2</t>
  </si>
  <si>
    <t>ADQUISICIÓN DE BIENES Y SERVICIOS</t>
  </si>
  <si>
    <t>1.1.2</t>
  </si>
  <si>
    <t xml:space="preserve">Contribuciones sociales </t>
  </si>
  <si>
    <t>1.1.1.2</t>
  </si>
  <si>
    <t xml:space="preserve">Sueldos y Salarios </t>
  </si>
  <si>
    <t>1.1.1.1</t>
  </si>
  <si>
    <t>GASTOS DE CONSUMO</t>
  </si>
  <si>
    <t>1.1</t>
  </si>
  <si>
    <t xml:space="preserve">Total General </t>
  </si>
  <si>
    <t xml:space="preserve">Código </t>
  </si>
  <si>
    <t>Clasificador Económico del Gasto del Sector Público</t>
  </si>
  <si>
    <t>Presupuesto de Egresos 2018</t>
  </si>
  <si>
    <t>Límite gasto presupuestario 
Decreto N°40281-H, Oficio STAP-0656 de fecha 28-04-2017 y STAP1705-2017 de fecha 06 de noviembre del 2017</t>
  </si>
  <si>
    <t>7.02.01.01 Transferencias de capital a personas, bonos ordinarios</t>
  </si>
  <si>
    <t>Egresos a pagar:  LTI:196 millones, Publicidad: 250 millones y Cobro Judicail 157,5 millones</t>
  </si>
  <si>
    <t>Créditos</t>
  </si>
  <si>
    <r>
      <t xml:space="preserve">Recursos Vigencias anteriores            </t>
    </r>
    <r>
      <rPr>
        <b/>
        <sz val="10"/>
        <rFont val="Arial"/>
        <family val="2"/>
      </rPr>
      <t>2/</t>
    </r>
  </si>
  <si>
    <r>
      <t>Recursos de Vigencias Anteriores</t>
    </r>
    <r>
      <rPr>
        <b/>
        <sz val="10"/>
        <rFont val="Arial"/>
        <family val="2"/>
      </rPr>
      <t xml:space="preserve"> * </t>
    </r>
    <r>
      <rPr>
        <sz val="10"/>
        <rFont val="Arial"/>
        <family val="2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</si>
</sst>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#,##0.0;[Red]\-#,##0.0"/>
    <numFmt numFmtId="167" formatCode="_([$€]* #,##0.00_);_([$€]* \(#,##0.00\);_([$€]* &quot;-&quot;??_);_(@_)"/>
    <numFmt numFmtId="168" formatCode="#,##0.0000_);\(#,##0.0000\)"/>
    <numFmt numFmtId="169" formatCode="#,##0.0"/>
    <numFmt numFmtId="170" formatCode="0.0%"/>
    <numFmt numFmtId="171" formatCode="#,##0.000_);\(#,##0.000\)"/>
    <numFmt numFmtId="172" formatCode="_-* #,##0.000\ _€_-;\-* #,##0.000\ _€_-;_-* &quot;-&quot;??\ _€_-;_-@_-"/>
    <numFmt numFmtId="173" formatCode="0.0000%"/>
    <numFmt numFmtId="174" formatCode="#,##0.000000_);\(#,##0.000000\)"/>
    <numFmt numFmtId="175" formatCode="_-* #,##0.0_-;\-* #,##0.0_-;_-* &quot;-&quot;??_-;_-@_-"/>
    <numFmt numFmtId="176" formatCode="#,##0.0_);\(#,##0.0\)"/>
    <numFmt numFmtId="177" formatCode="0_);\(0\)"/>
  </numFmts>
  <fonts count="72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8"/>
      <name val="Arial"/>
      <family val="2"/>
    </font>
    <font>
      <sz val="12"/>
      <color indexed="8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 val="singleAccounting"/>
      <sz val="12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1"/>
      <name val="Tahoma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Times New Roman"/>
      <family val="1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sz val="10"/>
      <color indexed="48"/>
      <name val="Arial"/>
      <family val="2"/>
    </font>
    <font>
      <b/>
      <sz val="10"/>
      <color indexed="48"/>
      <name val="Arial"/>
      <family val="2"/>
    </font>
    <font>
      <u/>
      <sz val="12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Arial"/>
      <family val="2"/>
    </font>
    <font>
      <b/>
      <u/>
      <sz val="12"/>
      <name val="Arial"/>
      <family val="2"/>
    </font>
    <font>
      <sz val="12"/>
      <color indexed="8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8"/>
      <color indexed="8"/>
      <name val="Arial"/>
      <family val="2"/>
    </font>
    <font>
      <b/>
      <i/>
      <sz val="10"/>
      <name val="Arial"/>
      <family val="2"/>
    </font>
    <font>
      <sz val="12"/>
      <color indexed="10"/>
      <name val="Arial"/>
      <family val="2"/>
    </font>
    <font>
      <sz val="11"/>
      <color indexed="8"/>
      <name val="Arial"/>
      <family val="2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sz val="12"/>
      <color indexed="10"/>
      <name val="Arial"/>
      <family val="2"/>
    </font>
    <font>
      <b/>
      <sz val="12"/>
      <color indexed="21"/>
      <name val="Arial"/>
      <family val="2"/>
    </font>
    <font>
      <sz val="12"/>
      <color indexed="12"/>
      <name val="Arial"/>
      <family val="2"/>
    </font>
    <font>
      <b/>
      <u/>
      <sz val="12"/>
      <color indexed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0"/>
      <name val="Times New Roman"/>
      <family val="1"/>
    </font>
    <font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u/>
      <sz val="10"/>
      <name val="Arial"/>
      <family val="2"/>
    </font>
    <font>
      <b/>
      <u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indexed="8"/>
      <name val="Times New Roman"/>
      <family val="1"/>
    </font>
    <font>
      <b/>
      <u val="singleAccounting"/>
      <sz val="10"/>
      <color indexed="8"/>
      <name val="Arial"/>
      <family val="2"/>
    </font>
    <font>
      <b/>
      <sz val="10"/>
      <color indexed="21"/>
      <name val="Arial"/>
      <family val="2"/>
    </font>
    <font>
      <u/>
      <sz val="10"/>
      <color indexed="8"/>
      <name val="Arial"/>
      <family val="2"/>
    </font>
    <font>
      <b/>
      <sz val="10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  <xf numFmtId="37" fontId="2" fillId="0" borderId="0"/>
    <xf numFmtId="37" fontId="2" fillId="0" borderId="0" applyBorder="0"/>
    <xf numFmtId="9" fontId="1" fillId="0" borderId="0" applyFont="0" applyFill="0" applyBorder="0" applyAlignment="0" applyProtection="0"/>
    <xf numFmtId="0" fontId="1" fillId="0" borderId="0"/>
  </cellStyleXfs>
  <cellXfs count="2034">
    <xf numFmtId="0" fontId="0" fillId="0" borderId="0" xfId="0"/>
    <xf numFmtId="4" fontId="9" fillId="0" borderId="1" xfId="6" applyNumberFormat="1" applyFont="1" applyFill="1" applyBorder="1"/>
    <xf numFmtId="164" fontId="8" fillId="0" borderId="1" xfId="2" applyNumberFormat="1" applyFont="1" applyFill="1" applyBorder="1" applyAlignment="1" applyProtection="1">
      <alignment horizontal="left"/>
      <protection locked="0"/>
    </xf>
    <xf numFmtId="39" fontId="8" fillId="0" borderId="1" xfId="6" applyNumberFormat="1" applyFont="1" applyFill="1" applyBorder="1" applyAlignment="1" applyProtection="1">
      <alignment horizontal="center"/>
      <protection locked="0"/>
    </xf>
    <xf numFmtId="164" fontId="6" fillId="0" borderId="1" xfId="2" applyNumberFormat="1" applyFont="1" applyFill="1" applyBorder="1" applyAlignment="1" applyProtection="1">
      <alignment horizontal="left"/>
      <protection locked="0"/>
    </xf>
    <xf numFmtId="37" fontId="9" fillId="0" borderId="1" xfId="6" applyFont="1" applyFill="1" applyBorder="1"/>
    <xf numFmtId="164" fontId="8" fillId="0" borderId="1" xfId="2" applyNumberFormat="1" applyFont="1" applyFill="1" applyBorder="1" applyAlignment="1" applyProtection="1">
      <alignment horizontal="right"/>
      <protection locked="0"/>
    </xf>
    <xf numFmtId="164" fontId="9" fillId="0" borderId="1" xfId="2" applyNumberFormat="1" applyFont="1" applyFill="1" applyBorder="1" applyAlignment="1" applyProtection="1">
      <alignment horizontal="right"/>
      <protection locked="0"/>
    </xf>
    <xf numFmtId="39" fontId="9" fillId="0" borderId="1" xfId="6" applyNumberFormat="1" applyFont="1" applyFill="1" applyBorder="1" applyAlignment="1" applyProtection="1">
      <alignment horizontal="right"/>
      <protection locked="0"/>
    </xf>
    <xf numFmtId="164" fontId="8" fillId="0" borderId="1" xfId="2" applyNumberFormat="1" applyFont="1" applyFill="1" applyBorder="1"/>
    <xf numFmtId="39" fontId="8" fillId="0" borderId="1" xfId="6" applyNumberFormat="1" applyFont="1" applyFill="1" applyBorder="1" applyAlignment="1" applyProtection="1">
      <alignment horizontal="right"/>
      <protection locked="0"/>
    </xf>
    <xf numFmtId="164" fontId="9" fillId="0" borderId="1" xfId="2" applyNumberFormat="1" applyFont="1" applyFill="1" applyBorder="1" applyAlignment="1" applyProtection="1">
      <alignment horizontal="left"/>
      <protection locked="0"/>
    </xf>
    <xf numFmtId="164" fontId="9" fillId="0" borderId="1" xfId="2" applyNumberFormat="1" applyFont="1" applyFill="1" applyBorder="1"/>
    <xf numFmtId="39" fontId="9" fillId="0" borderId="1" xfId="6" applyNumberFormat="1" applyFont="1" applyFill="1" applyBorder="1"/>
    <xf numFmtId="39" fontId="8" fillId="0" borderId="1" xfId="6" applyNumberFormat="1" applyFont="1" applyFill="1" applyBorder="1"/>
    <xf numFmtId="4" fontId="9" fillId="0" borderId="1" xfId="0" applyNumberFormat="1" applyFont="1" applyFill="1" applyBorder="1" applyAlignment="1">
      <alignment horizontal="right" wrapText="1"/>
    </xf>
    <xf numFmtId="164" fontId="9" fillId="0" borderId="1" xfId="2" applyNumberFormat="1" applyFont="1" applyFill="1" applyBorder="1" applyAlignment="1">
      <alignment horizontal="right" wrapText="1"/>
    </xf>
    <xf numFmtId="39" fontId="9" fillId="0" borderId="1" xfId="6" applyNumberFormat="1" applyFont="1" applyFill="1" applyBorder="1" applyAlignment="1">
      <alignment horizontal="right"/>
    </xf>
    <xf numFmtId="4" fontId="8" fillId="0" borderId="1" xfId="0" applyNumberFormat="1" applyFont="1" applyFill="1" applyBorder="1" applyAlignment="1">
      <alignment horizontal="right" wrapText="1"/>
    </xf>
    <xf numFmtId="165" fontId="6" fillId="0" borderId="1" xfId="2" applyFont="1" applyFill="1" applyBorder="1" applyAlignment="1" applyProtection="1">
      <alignment horizontal="left"/>
      <protection locked="0"/>
    </xf>
    <xf numFmtId="165" fontId="9" fillId="0" borderId="1" xfId="2" applyFont="1" applyFill="1" applyBorder="1" applyAlignment="1" applyProtection="1">
      <alignment horizontal="left"/>
      <protection locked="0"/>
    </xf>
    <xf numFmtId="165" fontId="8" fillId="0" borderId="1" xfId="2" applyFont="1" applyFill="1" applyBorder="1" applyAlignment="1" applyProtection="1">
      <alignment horizontal="left"/>
      <protection locked="0"/>
    </xf>
    <xf numFmtId="165" fontId="9" fillId="0" borderId="1" xfId="2" applyFont="1" applyFill="1" applyBorder="1" applyAlignment="1" applyProtection="1">
      <alignment horizontal="right"/>
      <protection locked="0"/>
    </xf>
    <xf numFmtId="165" fontId="8" fillId="0" borderId="1" xfId="2" applyFont="1" applyFill="1" applyBorder="1"/>
    <xf numFmtId="164" fontId="9" fillId="0" borderId="1" xfId="2" applyNumberFormat="1" applyFont="1" applyFill="1" applyBorder="1" applyAlignment="1" applyProtection="1">
      <alignment vertical="center"/>
      <protection locked="0"/>
    </xf>
    <xf numFmtId="165" fontId="8" fillId="0" borderId="1" xfId="2" applyFont="1" applyFill="1" applyBorder="1" applyAlignment="1" applyProtection="1">
      <alignment horizontal="right"/>
      <protection locked="0"/>
    </xf>
    <xf numFmtId="4" fontId="8" fillId="0" borderId="1" xfId="6" applyNumberFormat="1" applyFont="1" applyFill="1" applyBorder="1"/>
    <xf numFmtId="164" fontId="9" fillId="0" borderId="3" xfId="2" applyNumberFormat="1" applyFont="1" applyFill="1" applyBorder="1" applyAlignment="1">
      <alignment horizontal="left" wrapText="1"/>
    </xf>
    <xf numFmtId="39" fontId="9" fillId="0" borderId="0" xfId="6" applyNumberFormat="1" applyFont="1" applyFill="1" applyBorder="1"/>
    <xf numFmtId="164" fontId="8" fillId="0" borderId="7" xfId="2" applyNumberFormat="1" applyFont="1" applyFill="1" applyBorder="1" applyAlignment="1" applyProtection="1">
      <alignment horizontal="left"/>
      <protection locked="0"/>
    </xf>
    <xf numFmtId="4" fontId="9" fillId="0" borderId="7" xfId="2" applyNumberFormat="1" applyFont="1" applyFill="1" applyBorder="1" applyAlignment="1" applyProtection="1">
      <alignment horizontal="right"/>
      <protection locked="0"/>
    </xf>
    <xf numFmtId="37" fontId="6" fillId="0" borderId="8" xfId="6" applyNumberFormat="1" applyFont="1" applyFill="1" applyBorder="1" applyAlignment="1" applyProtection="1">
      <alignment horizontal="right"/>
      <protection locked="0"/>
    </xf>
    <xf numFmtId="39" fontId="8" fillId="0" borderId="8" xfId="6" applyNumberFormat="1" applyFont="1" applyFill="1" applyBorder="1" applyAlignment="1" applyProtection="1">
      <alignment horizontal="right"/>
      <protection locked="0"/>
    </xf>
    <xf numFmtId="4" fontId="8" fillId="0" borderId="1" xfId="2" applyNumberFormat="1" applyFont="1" applyFill="1" applyBorder="1" applyAlignment="1" applyProtection="1">
      <alignment horizontal="right"/>
      <protection locked="0"/>
    </xf>
    <xf numFmtId="4" fontId="8" fillId="0" borderId="7" xfId="2" applyNumberFormat="1" applyFont="1" applyFill="1" applyBorder="1" applyAlignment="1" applyProtection="1">
      <alignment horizontal="right"/>
      <protection locked="0"/>
    </xf>
    <xf numFmtId="4" fontId="9" fillId="0" borderId="1" xfId="2" applyNumberFormat="1" applyFont="1" applyFill="1" applyBorder="1" applyAlignment="1" applyProtection="1">
      <alignment horizontal="right"/>
      <protection locked="0"/>
    </xf>
    <xf numFmtId="165" fontId="9" fillId="0" borderId="8" xfId="2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9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 vertical="top"/>
    </xf>
    <xf numFmtId="2" fontId="8" fillId="0" borderId="8" xfId="0" applyNumberFormat="1" applyFont="1" applyFill="1" applyBorder="1" applyAlignment="1">
      <alignment horizontal="right"/>
    </xf>
    <xf numFmtId="165" fontId="8" fillId="0" borderId="8" xfId="2" applyFont="1" applyFill="1" applyBorder="1" applyAlignment="1">
      <alignment horizontal="right"/>
    </xf>
    <xf numFmtId="165" fontId="9" fillId="0" borderId="8" xfId="2" applyFont="1" applyFill="1" applyBorder="1" applyAlignment="1">
      <alignment horizontal="right" vertical="center"/>
    </xf>
    <xf numFmtId="39" fontId="6" fillId="0" borderId="3" xfId="6" applyNumberFormat="1" applyFont="1" applyFill="1" applyBorder="1" applyAlignment="1" applyProtection="1">
      <alignment horizontal="left" wrapText="1"/>
      <protection locked="0"/>
    </xf>
    <xf numFmtId="39" fontId="8" fillId="0" borderId="8" xfId="6" applyNumberFormat="1" applyFont="1" applyFill="1" applyBorder="1" applyAlignment="1">
      <alignment horizontal="right"/>
    </xf>
    <xf numFmtId="39" fontId="9" fillId="0" borderId="8" xfId="6" applyNumberFormat="1" applyFont="1" applyFill="1" applyBorder="1" applyAlignment="1" applyProtection="1">
      <alignment horizontal="right"/>
      <protection locked="0"/>
    </xf>
    <xf numFmtId="2" fontId="9" fillId="0" borderId="8" xfId="0" applyNumberFormat="1" applyFont="1" applyFill="1" applyBorder="1" applyAlignment="1">
      <alignment horizontal="right"/>
    </xf>
    <xf numFmtId="39" fontId="9" fillId="0" borderId="8" xfId="6" applyNumberFormat="1" applyFont="1" applyFill="1" applyBorder="1" applyAlignment="1">
      <alignment horizontal="right"/>
    </xf>
    <xf numFmtId="39" fontId="9" fillId="0" borderId="8" xfId="6" applyNumberFormat="1" applyFont="1" applyFill="1" applyBorder="1" applyAlignment="1">
      <alignment horizontal="right" vertical="top"/>
    </xf>
    <xf numFmtId="0" fontId="22" fillId="0" borderId="9" xfId="4" applyFont="1" applyFill="1" applyBorder="1" applyAlignment="1">
      <alignment horizontal="center" vertical="center" wrapText="1"/>
    </xf>
    <xf numFmtId="4" fontId="22" fillId="0" borderId="1" xfId="4" applyNumberFormat="1" applyFont="1" applyFill="1" applyBorder="1"/>
    <xf numFmtId="9" fontId="22" fillId="0" borderId="13" xfId="7" applyFont="1" applyFill="1" applyBorder="1"/>
    <xf numFmtId="4" fontId="17" fillId="0" borderId="1" xfId="4" applyNumberFormat="1" applyFont="1" applyFill="1" applyBorder="1"/>
    <xf numFmtId="4" fontId="25" fillId="0" borderId="1" xfId="4" quotePrefix="1" applyNumberFormat="1" applyFont="1" applyFill="1" applyBorder="1" applyAlignment="1">
      <alignment horizontal="right"/>
    </xf>
    <xf numFmtId="4" fontId="22" fillId="0" borderId="1" xfId="4" quotePrefix="1" applyNumberFormat="1" applyFont="1" applyFill="1" applyBorder="1" applyAlignment="1">
      <alignment horizontal="right"/>
    </xf>
    <xf numFmtId="4" fontId="22" fillId="0" borderId="1" xfId="4" applyNumberFormat="1" applyFont="1" applyFill="1" applyBorder="1" applyAlignment="1">
      <alignment horizontal="right"/>
    </xf>
    <xf numFmtId="4" fontId="17" fillId="0" borderId="1" xfId="4" quotePrefix="1" applyNumberFormat="1" applyFont="1" applyFill="1" applyBorder="1" applyAlignment="1">
      <alignment horizontal="right"/>
    </xf>
    <xf numFmtId="4" fontId="15" fillId="0" borderId="1" xfId="4" applyNumberFormat="1" applyFont="1" applyFill="1" applyBorder="1" applyAlignment="1">
      <alignment horizontal="right"/>
    </xf>
    <xf numFmtId="4" fontId="29" fillId="0" borderId="1" xfId="4" applyNumberFormat="1" applyFont="1" applyFill="1" applyBorder="1"/>
    <xf numFmtId="4" fontId="15" fillId="0" borderId="1" xfId="4" quotePrefix="1" applyNumberFormat="1" applyFont="1" applyFill="1" applyBorder="1" applyAlignment="1">
      <alignment horizontal="right"/>
    </xf>
    <xf numFmtId="4" fontId="17" fillId="0" borderId="1" xfId="4" applyNumberFormat="1" applyFont="1" applyFill="1" applyBorder="1" applyAlignment="1">
      <alignment horizontal="right"/>
    </xf>
    <xf numFmtId="9" fontId="22" fillId="0" borderId="1" xfId="7" applyFont="1" applyFill="1" applyBorder="1" applyAlignment="1">
      <alignment horizontal="center"/>
    </xf>
    <xf numFmtId="4" fontId="25" fillId="0" borderId="1" xfId="4" applyNumberFormat="1" applyFont="1" applyFill="1" applyBorder="1"/>
    <xf numFmtId="4" fontId="22" fillId="0" borderId="1" xfId="2" applyNumberFormat="1" applyFont="1" applyFill="1" applyBorder="1"/>
    <xf numFmtId="4" fontId="15" fillId="0" borderId="1" xfId="2" applyNumberFormat="1" applyFont="1" applyFill="1" applyBorder="1"/>
    <xf numFmtId="4" fontId="17" fillId="0" borderId="1" xfId="2" applyNumberFormat="1" applyFont="1" applyFill="1" applyBorder="1"/>
    <xf numFmtId="4" fontId="31" fillId="0" borderId="1" xfId="4" quotePrefix="1" applyNumberFormat="1" applyFont="1" applyFill="1" applyBorder="1" applyAlignment="1">
      <alignment horizontal="right"/>
    </xf>
    <xf numFmtId="4" fontId="17" fillId="0" borderId="0" xfId="4" applyNumberFormat="1" applyFont="1" applyFill="1" applyBorder="1"/>
    <xf numFmtId="4" fontId="17" fillId="0" borderId="5" xfId="4" applyNumberFormat="1" applyFont="1" applyFill="1" applyBorder="1"/>
    <xf numFmtId="1" fontId="8" fillId="0" borderId="8" xfId="0" applyNumberFormat="1" applyFont="1" applyFill="1" applyBorder="1" applyAlignment="1">
      <alignment horizontal="right"/>
    </xf>
    <xf numFmtId="4" fontId="8" fillId="0" borderId="7" xfId="6" applyNumberFormat="1" applyFont="1" applyFill="1" applyBorder="1"/>
    <xf numFmtId="4" fontId="8" fillId="0" borderId="1" xfId="6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14" fillId="0" borderId="0" xfId="0" applyFont="1"/>
    <xf numFmtId="0" fontId="12" fillId="0" borderId="0" xfId="0" applyFont="1" applyBorder="1" applyAlignment="1">
      <alignment horizontal="right" shrinkToFit="1"/>
    </xf>
    <xf numFmtId="37" fontId="9" fillId="0" borderId="1" xfId="6" applyFont="1" applyFill="1" applyBorder="1" applyAlignment="1">
      <alignment horizontal="center"/>
    </xf>
    <xf numFmtId="37" fontId="9" fillId="0" borderId="0" xfId="6" applyFont="1" applyFill="1"/>
    <xf numFmtId="164" fontId="6" fillId="0" borderId="7" xfId="2" applyNumberFormat="1" applyFont="1" applyFill="1" applyBorder="1" applyAlignment="1" applyProtection="1">
      <alignment horizontal="left"/>
      <protection locked="0"/>
    </xf>
    <xf numFmtId="165" fontId="17" fillId="0" borderId="1" xfId="2" applyFont="1" applyFill="1" applyBorder="1"/>
    <xf numFmtId="4" fontId="22" fillId="0" borderId="5" xfId="4" applyNumberFormat="1" applyFont="1" applyFill="1" applyBorder="1" applyAlignment="1">
      <alignment horizontal="right"/>
    </xf>
    <xf numFmtId="4" fontId="22" fillId="0" borderId="5" xfId="4" applyNumberFormat="1" applyFont="1" applyFill="1" applyBorder="1"/>
    <xf numFmtId="4" fontId="25" fillId="0" borderId="5" xfId="4" quotePrefix="1" applyNumberFormat="1" applyFont="1" applyFill="1" applyBorder="1" applyAlignment="1">
      <alignment horizontal="right"/>
    </xf>
    <xf numFmtId="4" fontId="22" fillId="0" borderId="5" xfId="4" quotePrefix="1" applyNumberFormat="1" applyFont="1" applyFill="1" applyBorder="1" applyAlignment="1">
      <alignment horizontal="right"/>
    </xf>
    <xf numFmtId="4" fontId="15" fillId="0" borderId="7" xfId="4" applyNumberFormat="1" applyFont="1" applyFill="1" applyBorder="1"/>
    <xf numFmtId="4" fontId="17" fillId="0" borderId="7" xfId="4" applyNumberFormat="1" applyFont="1" applyFill="1" applyBorder="1"/>
    <xf numFmtId="4" fontId="17" fillId="0" borderId="7" xfId="2" applyNumberFormat="1" applyFont="1" applyFill="1" applyBorder="1"/>
    <xf numFmtId="4" fontId="17" fillId="0" borderId="23" xfId="4" applyNumberFormat="1" applyFont="1" applyFill="1" applyBorder="1"/>
    <xf numFmtId="4" fontId="15" fillId="0" borderId="7" xfId="4" quotePrefix="1" applyNumberFormat="1" applyFont="1" applyFill="1" applyBorder="1" applyAlignment="1">
      <alignment horizontal="right"/>
    </xf>
    <xf numFmtId="4" fontId="17" fillId="0" borderId="19" xfId="4" applyNumberFormat="1" applyFont="1" applyFill="1" applyBorder="1"/>
    <xf numFmtId="4" fontId="22" fillId="0" borderId="0" xfId="4" quotePrefix="1" applyNumberFormat="1" applyFont="1" applyFill="1" applyBorder="1" applyAlignment="1">
      <alignment horizontal="right"/>
    </xf>
    <xf numFmtId="4" fontId="22" fillId="0" borderId="0" xfId="4" applyNumberFormat="1" applyFont="1" applyFill="1" applyBorder="1" applyAlignment="1">
      <alignment horizontal="right"/>
    </xf>
    <xf numFmtId="4" fontId="22" fillId="0" borderId="7" xfId="4" applyNumberFormat="1" applyFont="1" applyFill="1" applyBorder="1" applyAlignment="1">
      <alignment horizontal="right"/>
    </xf>
    <xf numFmtId="9" fontId="22" fillId="0" borderId="0" xfId="7" applyFont="1" applyFill="1" applyBorder="1" applyAlignment="1">
      <alignment horizontal="center"/>
    </xf>
    <xf numFmtId="4" fontId="9" fillId="0" borderId="7" xfId="0" applyNumberFormat="1" applyFont="1" applyFill="1" applyBorder="1" applyAlignment="1">
      <alignment horizontal="right" wrapText="1"/>
    </xf>
    <xf numFmtId="4" fontId="8" fillId="0" borderId="7" xfId="0" applyNumberFormat="1" applyFont="1" applyFill="1" applyBorder="1" applyAlignment="1">
      <alignment horizontal="right" wrapText="1"/>
    </xf>
    <xf numFmtId="39" fontId="8" fillId="0" borderId="7" xfId="6" applyNumberFormat="1" applyFont="1" applyFill="1" applyBorder="1" applyAlignment="1">
      <alignment horizontal="right"/>
    </xf>
    <xf numFmtId="166" fontId="9" fillId="0" borderId="0" xfId="6" applyNumberFormat="1" applyFont="1" applyFill="1" applyBorder="1" applyAlignment="1" applyProtection="1">
      <alignment horizontal="center" vertical="top" wrapText="1"/>
      <protection locked="0"/>
    </xf>
    <xf numFmtId="4" fontId="34" fillId="0" borderId="1" xfId="6" applyNumberFormat="1" applyFont="1" applyFill="1" applyBorder="1"/>
    <xf numFmtId="4" fontId="9" fillId="0" borderId="1" xfId="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wrapText="1"/>
    </xf>
    <xf numFmtId="0" fontId="22" fillId="0" borderId="10" xfId="4" applyFont="1" applyFill="1" applyBorder="1" applyAlignment="1">
      <alignment horizontal="center" vertical="center" wrapText="1"/>
    </xf>
    <xf numFmtId="4" fontId="22" fillId="0" borderId="7" xfId="4" applyNumberFormat="1" applyFont="1" applyFill="1" applyBorder="1"/>
    <xf numFmtId="4" fontId="17" fillId="0" borderId="7" xfId="4" quotePrefix="1" applyNumberFormat="1" applyFont="1" applyFill="1" applyBorder="1" applyAlignment="1">
      <alignment horizontal="right"/>
    </xf>
    <xf numFmtId="4" fontId="15" fillId="0" borderId="7" xfId="4" applyNumberFormat="1" applyFont="1" applyFill="1" applyBorder="1" applyAlignment="1">
      <alignment horizontal="right"/>
    </xf>
    <xf numFmtId="4" fontId="17" fillId="0" borderId="7" xfId="4" applyNumberFormat="1" applyFont="1" applyFill="1" applyBorder="1" applyAlignment="1">
      <alignment horizontal="right"/>
    </xf>
    <xf numFmtId="4" fontId="17" fillId="0" borderId="19" xfId="4" applyNumberFormat="1" applyFont="1" applyFill="1" applyBorder="1" applyAlignment="1">
      <alignment horizontal="right"/>
    </xf>
    <xf numFmtId="165" fontId="25" fillId="0" borderId="17" xfId="2" applyFont="1" applyFill="1" applyBorder="1"/>
    <xf numFmtId="165" fontId="22" fillId="0" borderId="17" xfId="2" applyFont="1" applyFill="1" applyBorder="1"/>
    <xf numFmtId="165" fontId="33" fillId="0" borderId="17" xfId="2" applyFont="1" applyFill="1" applyBorder="1"/>
    <xf numFmtId="4" fontId="25" fillId="0" borderId="0" xfId="4" quotePrefix="1" applyNumberFormat="1" applyFont="1" applyFill="1" applyBorder="1" applyAlignment="1">
      <alignment horizontal="right"/>
    </xf>
    <xf numFmtId="4" fontId="15" fillId="0" borderId="0" xfId="4" quotePrefix="1" applyNumberFormat="1" applyFont="1" applyFill="1" applyBorder="1" applyAlignment="1">
      <alignment horizontal="right"/>
    </xf>
    <xf numFmtId="4" fontId="17" fillId="0" borderId="0" xfId="4" quotePrefix="1" applyNumberFormat="1" applyFont="1" applyFill="1" applyBorder="1" applyAlignment="1">
      <alignment horizontal="right"/>
    </xf>
    <xf numFmtId="4" fontId="17" fillId="0" borderId="14" xfId="4" applyNumberFormat="1" applyFont="1" applyFill="1" applyBorder="1"/>
    <xf numFmtId="4" fontId="17" fillId="0" borderId="14" xfId="2" applyNumberFormat="1" applyFont="1" applyFill="1" applyBorder="1"/>
    <xf numFmtId="4" fontId="17" fillId="0" borderId="19" xfId="2" applyNumberFormat="1" applyFont="1" applyFill="1" applyBorder="1"/>
    <xf numFmtId="39" fontId="8" fillId="0" borderId="7" xfId="6" applyNumberFormat="1" applyFont="1" applyFill="1" applyBorder="1"/>
    <xf numFmtId="164" fontId="8" fillId="0" borderId="7" xfId="2" applyNumberFormat="1" applyFont="1" applyFill="1" applyBorder="1" applyAlignment="1" applyProtection="1">
      <alignment vertical="center"/>
      <protection locked="0"/>
    </xf>
    <xf numFmtId="39" fontId="8" fillId="0" borderId="7" xfId="6" applyNumberFormat="1" applyFont="1" applyFill="1" applyBorder="1" applyAlignment="1" applyProtection="1">
      <alignment horizontal="right"/>
      <protection locked="0"/>
    </xf>
    <xf numFmtId="164" fontId="8" fillId="0" borderId="7" xfId="2" applyNumberFormat="1" applyFont="1" applyFill="1" applyBorder="1"/>
    <xf numFmtId="164" fontId="8" fillId="0" borderId="7" xfId="2" applyNumberFormat="1" applyFont="1" applyFill="1" applyBorder="1" applyAlignment="1" applyProtection="1">
      <alignment horizontal="right"/>
      <protection locked="0"/>
    </xf>
    <xf numFmtId="4" fontId="6" fillId="0" borderId="7" xfId="6" applyNumberFormat="1" applyFont="1" applyFill="1" applyBorder="1"/>
    <xf numFmtId="4" fontId="9" fillId="0" borderId="19" xfId="0" applyNumberFormat="1" applyFont="1" applyFill="1" applyBorder="1" applyAlignment="1">
      <alignment horizontal="right" wrapText="1"/>
    </xf>
    <xf numFmtId="37" fontId="8" fillId="0" borderId="0" xfId="6" applyFont="1" applyFill="1" applyBorder="1"/>
    <xf numFmtId="4" fontId="8" fillId="0" borderId="1" xfId="6" applyNumberFormat="1" applyFont="1" applyFill="1" applyBorder="1" applyAlignment="1">
      <alignment horizontal="center"/>
    </xf>
    <xf numFmtId="37" fontId="8" fillId="0" borderId="7" xfId="6" applyFont="1" applyFill="1" applyBorder="1"/>
    <xf numFmtId="165" fontId="9" fillId="0" borderId="2" xfId="2" applyFont="1" applyFill="1" applyBorder="1" applyAlignment="1" applyProtection="1">
      <alignment horizontal="left"/>
      <protection locked="0"/>
    </xf>
    <xf numFmtId="4" fontId="8" fillId="0" borderId="23" xfId="2" applyNumberFormat="1" applyFont="1" applyFill="1" applyBorder="1" applyAlignment="1" applyProtection="1">
      <alignment horizontal="right"/>
      <protection locked="0"/>
    </xf>
    <xf numFmtId="165" fontId="9" fillId="0" borderId="1" xfId="2" applyFont="1" applyFill="1" applyBorder="1" applyAlignment="1" applyProtection="1">
      <protection locked="0"/>
    </xf>
    <xf numFmtId="172" fontId="9" fillId="0" borderId="1" xfId="2" applyNumberFormat="1" applyFont="1" applyFill="1" applyBorder="1" applyAlignment="1" applyProtection="1">
      <alignment horizontal="left"/>
      <protection locked="0"/>
    </xf>
    <xf numFmtId="4" fontId="9" fillId="0" borderId="1" xfId="2" applyNumberFormat="1" applyFont="1" applyFill="1" applyBorder="1" applyAlignment="1" applyProtection="1">
      <alignment horizontal="center"/>
      <protection locked="0"/>
    </xf>
    <xf numFmtId="37" fontId="8" fillId="0" borderId="0" xfId="6" applyFont="1" applyFill="1"/>
    <xf numFmtId="4" fontId="9" fillId="0" borderId="2" xfId="2" applyNumberFormat="1" applyFont="1" applyFill="1" applyBorder="1" applyAlignment="1" applyProtection="1">
      <alignment horizontal="right"/>
      <protection locked="0"/>
    </xf>
    <xf numFmtId="165" fontId="22" fillId="0" borderId="28" xfId="2" applyFont="1" applyFill="1" applyBorder="1" applyAlignment="1">
      <alignment vertical="center" wrapText="1"/>
    </xf>
    <xf numFmtId="4" fontId="30" fillId="0" borderId="5" xfId="4" quotePrefix="1" applyNumberFormat="1" applyFont="1" applyFill="1" applyBorder="1" applyAlignment="1">
      <alignment horizontal="right"/>
    </xf>
    <xf numFmtId="4" fontId="15" fillId="0" borderId="5" xfId="4" quotePrefix="1" applyNumberFormat="1" applyFont="1" applyFill="1" applyBorder="1" applyAlignment="1">
      <alignment horizontal="right"/>
    </xf>
    <xf numFmtId="4" fontId="17" fillId="0" borderId="5" xfId="4" quotePrefix="1" applyNumberFormat="1" applyFont="1" applyFill="1" applyBorder="1" applyAlignment="1">
      <alignment horizontal="right"/>
    </xf>
    <xf numFmtId="4" fontId="22" fillId="0" borderId="26" xfId="4" quotePrefix="1" applyNumberFormat="1" applyFont="1" applyFill="1" applyBorder="1" applyAlignment="1">
      <alignment horizontal="right"/>
    </xf>
    <xf numFmtId="4" fontId="22" fillId="0" borderId="31" xfId="4" applyNumberFormat="1" applyFont="1" applyFill="1" applyBorder="1" applyAlignment="1">
      <alignment horizontal="right"/>
    </xf>
    <xf numFmtId="165" fontId="22" fillId="0" borderId="9" xfId="2" applyFont="1" applyFill="1" applyBorder="1" applyAlignment="1">
      <alignment vertical="center" wrapText="1"/>
    </xf>
    <xf numFmtId="0" fontId="25" fillId="0" borderId="20" xfId="4" quotePrefix="1" applyFont="1" applyFill="1" applyBorder="1" applyAlignment="1">
      <alignment horizontal="left"/>
    </xf>
    <xf numFmtId="165" fontId="22" fillId="0" borderId="20" xfId="2" applyFont="1" applyFill="1" applyBorder="1"/>
    <xf numFmtId="0" fontId="29" fillId="0" borderId="20" xfId="4" applyFont="1" applyFill="1" applyBorder="1"/>
    <xf numFmtId="165" fontId="25" fillId="0" borderId="20" xfId="2" applyFont="1" applyFill="1" applyBorder="1"/>
    <xf numFmtId="0" fontId="32" fillId="0" borderId="20" xfId="4" applyFont="1" applyFill="1" applyBorder="1" applyAlignment="1">
      <alignment horizontal="left" indent="2"/>
    </xf>
    <xf numFmtId="165" fontId="33" fillId="0" borderId="20" xfId="2" applyFont="1" applyFill="1" applyBorder="1"/>
    <xf numFmtId="165" fontId="17" fillId="0" borderId="20" xfId="2" applyFont="1" applyFill="1" applyBorder="1"/>
    <xf numFmtId="165" fontId="17" fillId="0" borderId="34" xfId="2" applyFont="1" applyFill="1" applyBorder="1"/>
    <xf numFmtId="0" fontId="22" fillId="0" borderId="0" xfId="0" applyFont="1"/>
    <xf numFmtId="4" fontId="17" fillId="0" borderId="26" xfId="4" quotePrefix="1" applyNumberFormat="1" applyFont="1" applyFill="1" applyBorder="1" applyAlignment="1">
      <alignment horizontal="right"/>
    </xf>
    <xf numFmtId="4" fontId="22" fillId="0" borderId="14" xfId="4" applyNumberFormat="1" applyFont="1" applyFill="1" applyBorder="1" applyAlignment="1">
      <alignment horizontal="right"/>
    </xf>
    <xf numFmtId="165" fontId="8" fillId="0" borderId="1" xfId="0" applyNumberFormat="1" applyFont="1" applyFill="1" applyBorder="1"/>
    <xf numFmtId="37" fontId="37" fillId="0" borderId="0" xfId="6" applyFont="1" applyFill="1"/>
    <xf numFmtId="39" fontId="9" fillId="0" borderId="8" xfId="6" applyNumberFormat="1" applyFont="1" applyFill="1" applyBorder="1"/>
    <xf numFmtId="4" fontId="34" fillId="0" borderId="8" xfId="6" applyNumberFormat="1" applyFont="1" applyFill="1" applyBorder="1"/>
    <xf numFmtId="166" fontId="8" fillId="0" borderId="13" xfId="6" applyNumberFormat="1" applyFont="1" applyFill="1" applyBorder="1" applyAlignment="1" applyProtection="1">
      <alignment horizontal="center" vertical="top" wrapText="1"/>
      <protection locked="0"/>
    </xf>
    <xf numFmtId="0" fontId="15" fillId="0" borderId="9" xfId="4" applyFont="1" applyFill="1" applyBorder="1" applyAlignment="1">
      <alignment horizontal="center" vertical="center" wrapText="1"/>
    </xf>
    <xf numFmtId="4" fontId="22" fillId="0" borderId="31" xfId="4" quotePrefix="1" applyNumberFormat="1" applyFont="1" applyFill="1" applyBorder="1" applyAlignment="1">
      <alignment horizontal="right"/>
    </xf>
    <xf numFmtId="4" fontId="22" fillId="0" borderId="2" xfId="4" applyNumberFormat="1" applyFont="1" applyFill="1" applyBorder="1" applyAlignment="1">
      <alignment horizontal="right"/>
    </xf>
    <xf numFmtId="4" fontId="17" fillId="0" borderId="23" xfId="4" applyNumberFormat="1" applyFont="1" applyFill="1" applyBorder="1" applyAlignment="1">
      <alignment horizontal="right"/>
    </xf>
    <xf numFmtId="4" fontId="1" fillId="0" borderId="1" xfId="2" applyNumberFormat="1" applyFont="1" applyFill="1" applyBorder="1" applyAlignment="1"/>
    <xf numFmtId="2" fontId="9" fillId="0" borderId="40" xfId="0" applyNumberFormat="1" applyFont="1" applyFill="1" applyBorder="1" applyAlignment="1">
      <alignment horizontal="right"/>
    </xf>
    <xf numFmtId="4" fontId="22" fillId="0" borderId="35" xfId="4" quotePrefix="1" applyNumberFormat="1" applyFont="1" applyFill="1" applyBorder="1" applyAlignment="1">
      <alignment horizontal="right"/>
    </xf>
    <xf numFmtId="4" fontId="22" fillId="0" borderId="11" xfId="4" applyNumberFormat="1" applyFont="1" applyFill="1" applyBorder="1" applyAlignment="1">
      <alignment horizontal="right"/>
    </xf>
    <xf numFmtId="4" fontId="17" fillId="0" borderId="24" xfId="4" applyNumberFormat="1" applyFont="1" applyFill="1" applyBorder="1" applyAlignment="1">
      <alignment horizontal="right"/>
    </xf>
    <xf numFmtId="4" fontId="22" fillId="0" borderId="13" xfId="4" applyNumberFormat="1" applyFont="1" applyFill="1" applyBorder="1" applyAlignment="1">
      <alignment horizontal="right"/>
    </xf>
    <xf numFmtId="4" fontId="31" fillId="0" borderId="13" xfId="4" applyNumberFormat="1" applyFont="1" applyFill="1" applyBorder="1"/>
    <xf numFmtId="4" fontId="15" fillId="0" borderId="13" xfId="4" applyNumberFormat="1" applyFont="1" applyFill="1" applyBorder="1"/>
    <xf numFmtId="4" fontId="17" fillId="0" borderId="13" xfId="4" applyNumberFormat="1" applyFont="1" applyFill="1" applyBorder="1"/>
    <xf numFmtId="4" fontId="15" fillId="0" borderId="13" xfId="2" applyNumberFormat="1" applyFont="1" applyFill="1" applyBorder="1"/>
    <xf numFmtId="4" fontId="17" fillId="0" borderId="13" xfId="2" applyNumberFormat="1" applyFont="1" applyFill="1" applyBorder="1"/>
    <xf numFmtId="4" fontId="17" fillId="0" borderId="16" xfId="4" applyNumberFormat="1" applyFont="1" applyFill="1" applyBorder="1"/>
    <xf numFmtId="9" fontId="15" fillId="0" borderId="13" xfId="7" applyFont="1" applyFill="1" applyBorder="1" applyAlignment="1">
      <alignment horizontal="center"/>
    </xf>
    <xf numFmtId="4" fontId="31" fillId="0" borderId="13" xfId="4" quotePrefix="1" applyNumberFormat="1" applyFont="1" applyFill="1" applyBorder="1" applyAlignment="1">
      <alignment horizontal="right"/>
    </xf>
    <xf numFmtId="4" fontId="15" fillId="0" borderId="13" xfId="4" quotePrefix="1" applyNumberFormat="1" applyFont="1" applyFill="1" applyBorder="1" applyAlignment="1">
      <alignment horizontal="right"/>
    </xf>
    <xf numFmtId="4" fontId="17" fillId="0" borderId="15" xfId="2" applyNumberFormat="1" applyFont="1" applyFill="1" applyBorder="1"/>
    <xf numFmtId="37" fontId="8" fillId="0" borderId="1" xfId="6" applyFont="1" applyFill="1" applyBorder="1"/>
    <xf numFmtId="4" fontId="1" fillId="0" borderId="0" xfId="0" applyNumberFormat="1" applyFont="1"/>
    <xf numFmtId="0" fontId="1" fillId="0" borderId="0" xfId="0" applyFont="1"/>
    <xf numFmtId="4" fontId="1" fillId="0" borderId="0" xfId="0" applyNumberFormat="1" applyFont="1" applyBorder="1"/>
    <xf numFmtId="4" fontId="1" fillId="0" borderId="0" xfId="2" applyNumberFormat="1" applyFont="1" applyBorder="1"/>
    <xf numFmtId="0" fontId="1" fillId="0" borderId="0" xfId="0" applyFont="1" applyBorder="1"/>
    <xf numFmtId="0" fontId="1" fillId="0" borderId="0" xfId="0" applyFont="1" applyAlignment="1">
      <alignment vertical="distributed"/>
    </xf>
    <xf numFmtId="0" fontId="1" fillId="0" borderId="0" xfId="0" applyFont="1" applyAlignment="1">
      <alignment vertical="center"/>
    </xf>
    <xf numFmtId="0" fontId="1" fillId="0" borderId="0" xfId="0" applyFont="1" applyAlignment="1"/>
    <xf numFmtId="4" fontId="1" fillId="0" borderId="0" xfId="0" applyNumberFormat="1" applyFont="1" applyAlignment="1">
      <alignment horizontal="distributed"/>
    </xf>
    <xf numFmtId="4" fontId="1" fillId="0" borderId="1" xfId="0" applyNumberFormat="1" applyFont="1" applyBorder="1" applyAlignment="1">
      <alignment horizontal="distributed"/>
    </xf>
    <xf numFmtId="4" fontId="1" fillId="0" borderId="1" xfId="0" applyNumberFormat="1" applyFont="1" applyBorder="1"/>
    <xf numFmtId="4" fontId="1" fillId="0" borderId="1" xfId="2" applyNumberFormat="1" applyFont="1" applyBorder="1"/>
    <xf numFmtId="4" fontId="1" fillId="0" borderId="1" xfId="0" applyNumberFormat="1" applyFont="1" applyFill="1" applyBorder="1" applyAlignment="1">
      <alignment horizontal="distributed"/>
    </xf>
    <xf numFmtId="4" fontId="1" fillId="0" borderId="3" xfId="0" applyNumberFormat="1" applyFont="1" applyFill="1" applyBorder="1" applyAlignment="1"/>
    <xf numFmtId="4" fontId="1" fillId="0" borderId="3" xfId="0" applyNumberFormat="1" applyFont="1" applyBorder="1"/>
    <xf numFmtId="4" fontId="9" fillId="0" borderId="0" xfId="6" applyNumberFormat="1" applyFont="1" applyFill="1"/>
    <xf numFmtId="37" fontId="9" fillId="0" borderId="0" xfId="6" applyFont="1" applyFill="1" applyBorder="1" applyAlignment="1">
      <alignment horizontal="center"/>
    </xf>
    <xf numFmtId="37" fontId="9" fillId="0" borderId="17" xfId="6" applyFont="1" applyFill="1" applyBorder="1"/>
    <xf numFmtId="37" fontId="9" fillId="0" borderId="0" xfId="6" applyFont="1" applyFill="1" applyBorder="1"/>
    <xf numFmtId="37" fontId="8" fillId="0" borderId="13" xfId="6" applyFont="1" applyFill="1" applyBorder="1"/>
    <xf numFmtId="165" fontId="9" fillId="0" borderId="0" xfId="2" applyFont="1" applyFill="1"/>
    <xf numFmtId="0" fontId="9" fillId="0" borderId="17" xfId="0" applyFont="1" applyFill="1" applyBorder="1" applyAlignment="1">
      <alignment horizontal="center" vertical="center" wrapText="1"/>
    </xf>
    <xf numFmtId="37" fontId="9" fillId="0" borderId="3" xfId="6" applyFont="1" applyFill="1" applyBorder="1" applyAlignment="1">
      <alignment horizontal="right" vertical="center" wrapText="1"/>
    </xf>
    <xf numFmtId="37" fontId="9" fillId="0" borderId="0" xfId="6" applyFont="1" applyFill="1" applyBorder="1" applyAlignment="1">
      <alignment horizontal="center" vertical="center" wrapText="1"/>
    </xf>
    <xf numFmtId="165" fontId="8" fillId="0" borderId="0" xfId="2" applyFont="1" applyFill="1"/>
    <xf numFmtId="165" fontId="9" fillId="0" borderId="0" xfId="2" applyNumberFormat="1" applyFont="1" applyFill="1"/>
    <xf numFmtId="37" fontId="9" fillId="0" borderId="3" xfId="6" applyFont="1" applyFill="1" applyBorder="1"/>
    <xf numFmtId="165" fontId="9" fillId="0" borderId="0" xfId="6" applyNumberFormat="1" applyFont="1" applyFill="1"/>
    <xf numFmtId="173" fontId="9" fillId="0" borderId="0" xfId="7" applyNumberFormat="1" applyFont="1" applyFill="1"/>
    <xf numFmtId="174" fontId="9" fillId="0" borderId="0" xfId="6" applyNumberFormat="1" applyFont="1" applyFill="1"/>
    <xf numFmtId="165" fontId="9" fillId="0" borderId="17" xfId="2" applyFont="1" applyFill="1" applyBorder="1" applyAlignment="1">
      <alignment horizontal="right"/>
    </xf>
    <xf numFmtId="39" fontId="9" fillId="0" borderId="0" xfId="6" applyNumberFormat="1" applyFont="1" applyFill="1"/>
    <xf numFmtId="171" fontId="9" fillId="0" borderId="0" xfId="6" applyNumberFormat="1" applyFont="1" applyFill="1"/>
    <xf numFmtId="165" fontId="9" fillId="0" borderId="3" xfId="2" applyFont="1" applyFill="1" applyBorder="1" applyAlignment="1">
      <alignment horizontal="left" vertical="center" wrapText="1"/>
    </xf>
    <xf numFmtId="165" fontId="9" fillId="0" borderId="46" xfId="2" applyFont="1" applyFill="1" applyBorder="1" applyAlignment="1">
      <alignment horizontal="left" wrapText="1"/>
    </xf>
    <xf numFmtId="0" fontId="9" fillId="0" borderId="31" xfId="0" applyFont="1" applyFill="1" applyBorder="1" applyAlignment="1">
      <alignment horizontal="left" wrapText="1"/>
    </xf>
    <xf numFmtId="168" fontId="9" fillId="0" borderId="8" xfId="6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left" wrapText="1"/>
    </xf>
    <xf numFmtId="165" fontId="23" fillId="0" borderId="1" xfId="2" applyFont="1" applyFill="1" applyBorder="1" applyAlignment="1" applyProtection="1">
      <alignment horizontal="left"/>
      <protection locked="0"/>
    </xf>
    <xf numFmtId="4" fontId="23" fillId="0" borderId="1" xfId="6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37" fontId="9" fillId="0" borderId="8" xfId="6" applyFont="1" applyFill="1" applyBorder="1" applyAlignment="1">
      <alignment horizontal="right"/>
    </xf>
    <xf numFmtId="2" fontId="9" fillId="0" borderId="17" xfId="0" applyNumberFormat="1" applyFont="1" applyFill="1" applyBorder="1" applyAlignment="1">
      <alignment horizontal="right"/>
    </xf>
    <xf numFmtId="37" fontId="8" fillId="0" borderId="8" xfId="6" applyFont="1" applyFill="1" applyBorder="1" applyAlignment="1">
      <alignment horizontal="right"/>
    </xf>
    <xf numFmtId="2" fontId="37" fillId="0" borderId="8" xfId="0" applyNumberFormat="1" applyFont="1" applyFill="1" applyBorder="1" applyAlignment="1">
      <alignment horizontal="right"/>
    </xf>
    <xf numFmtId="165" fontId="37" fillId="0" borderId="3" xfId="2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left" wrapText="1"/>
    </xf>
    <xf numFmtId="165" fontId="37" fillId="0" borderId="1" xfId="2" applyFont="1" applyFill="1" applyBorder="1" applyAlignment="1" applyProtection="1">
      <alignment horizontal="left"/>
      <protection locked="0"/>
    </xf>
    <xf numFmtId="4" fontId="37" fillId="0" borderId="1" xfId="6" applyNumberFormat="1" applyFont="1" applyFill="1" applyBorder="1" applyAlignment="1">
      <alignment horizontal="center" vertical="center" wrapText="1"/>
    </xf>
    <xf numFmtId="165" fontId="8" fillId="0" borderId="0" xfId="2" applyFont="1" applyFill="1" applyBorder="1" applyAlignment="1">
      <alignment horizontal="left" wrapText="1"/>
    </xf>
    <xf numFmtId="165" fontId="9" fillId="0" borderId="3" xfId="2" applyFont="1" applyFill="1" applyBorder="1" applyAlignment="1">
      <alignment vertical="top" wrapText="1"/>
    </xf>
    <xf numFmtId="172" fontId="9" fillId="0" borderId="1" xfId="6" applyNumberFormat="1" applyFont="1" applyFill="1" applyBorder="1"/>
    <xf numFmtId="4" fontId="9" fillId="0" borderId="1" xfId="6" applyNumberFormat="1" applyFont="1" applyFill="1" applyBorder="1" applyAlignment="1">
      <alignment horizontal="center"/>
    </xf>
    <xf numFmtId="2" fontId="9" fillId="0" borderId="41" xfId="0" applyNumberFormat="1" applyFont="1" applyFill="1" applyBorder="1" applyAlignment="1">
      <alignment horizontal="right"/>
    </xf>
    <xf numFmtId="165" fontId="9" fillId="0" borderId="14" xfId="2" applyFont="1" applyFill="1" applyBorder="1"/>
    <xf numFmtId="165" fontId="9" fillId="0" borderId="26" xfId="2" applyFont="1" applyFill="1" applyBorder="1"/>
    <xf numFmtId="37" fontId="8" fillId="0" borderId="1" xfId="6" applyFont="1" applyFill="1" applyBorder="1" applyAlignment="1">
      <alignment horizontal="center"/>
    </xf>
    <xf numFmtId="39" fontId="8" fillId="0" borderId="0" xfId="6" applyNumberFormat="1" applyFont="1" applyFill="1"/>
    <xf numFmtId="165" fontId="8" fillId="0" borderId="2" xfId="2" applyFont="1" applyFill="1" applyBorder="1" applyAlignment="1" applyProtection="1">
      <alignment horizontal="left"/>
      <protection locked="0"/>
    </xf>
    <xf numFmtId="4" fontId="8" fillId="0" borderId="2" xfId="6" applyNumberFormat="1" applyFont="1" applyFill="1" applyBorder="1"/>
    <xf numFmtId="0" fontId="8" fillId="0" borderId="1" xfId="0" applyFont="1" applyFill="1" applyBorder="1"/>
    <xf numFmtId="39" fontId="8" fillId="0" borderId="14" xfId="6" applyNumberFormat="1" applyFont="1" applyFill="1" applyBorder="1" applyAlignment="1" applyProtection="1">
      <alignment horizontal="right"/>
      <protection locked="0"/>
    </xf>
    <xf numFmtId="4" fontId="8" fillId="0" borderId="19" xfId="2" applyNumberFormat="1" applyFont="1" applyFill="1" applyBorder="1" applyAlignment="1" applyProtection="1">
      <alignment horizontal="right"/>
      <protection locked="0"/>
    </xf>
    <xf numFmtId="165" fontId="9" fillId="0" borderId="8" xfId="2" applyFont="1" applyFill="1" applyBorder="1" applyAlignment="1" applyProtection="1">
      <alignment horizontal="right"/>
      <protection locked="0"/>
    </xf>
    <xf numFmtId="164" fontId="9" fillId="0" borderId="7" xfId="2" applyNumberFormat="1" applyFont="1" applyFill="1" applyBorder="1" applyAlignment="1" applyProtection="1">
      <alignment horizontal="left"/>
      <protection locked="0"/>
    </xf>
    <xf numFmtId="37" fontId="9" fillId="0" borderId="0" xfId="6" applyFont="1" applyFill="1" applyBorder="1" applyAlignment="1">
      <alignment horizontal="center" vertical="center"/>
    </xf>
    <xf numFmtId="39" fontId="9" fillId="0" borderId="1" xfId="6" applyNumberFormat="1" applyFont="1" applyFill="1" applyBorder="1" applyAlignment="1" applyProtection="1">
      <alignment horizontal="center"/>
      <protection locked="0"/>
    </xf>
    <xf numFmtId="39" fontId="8" fillId="0" borderId="7" xfId="6" applyNumberFormat="1" applyFont="1" applyFill="1" applyBorder="1" applyAlignment="1" applyProtection="1">
      <alignment horizontal="center"/>
      <protection locked="0"/>
    </xf>
    <xf numFmtId="37" fontId="39" fillId="0" borderId="0" xfId="6" applyFont="1" applyFill="1"/>
    <xf numFmtId="0" fontId="39" fillId="0" borderId="0" xfId="0" applyFont="1" applyFill="1" applyBorder="1" applyAlignment="1">
      <alignment horizontal="left" wrapText="1"/>
    </xf>
    <xf numFmtId="165" fontId="9" fillId="0" borderId="0" xfId="0" applyNumberFormat="1" applyFont="1" applyFill="1"/>
    <xf numFmtId="0" fontId="39" fillId="0" borderId="0" xfId="0" applyFont="1" applyFill="1"/>
    <xf numFmtId="4" fontId="27" fillId="0" borderId="0" xfId="4" applyNumberFormat="1" applyFont="1" applyFill="1" applyBorder="1"/>
    <xf numFmtId="9" fontId="22" fillId="0" borderId="5" xfId="7" applyFont="1" applyFill="1" applyBorder="1" applyAlignment="1">
      <alignment horizontal="center"/>
    </xf>
    <xf numFmtId="4" fontId="25" fillId="0" borderId="5" xfId="4" applyNumberFormat="1" applyFont="1" applyFill="1" applyBorder="1"/>
    <xf numFmtId="4" fontId="22" fillId="0" borderId="5" xfId="2" applyNumberFormat="1" applyFont="1" applyFill="1" applyBorder="1"/>
    <xf numFmtId="165" fontId="22" fillId="0" borderId="8" xfId="2" applyFont="1" applyFill="1" applyBorder="1"/>
    <xf numFmtId="165" fontId="1" fillId="0" borderId="8" xfId="2" applyFont="1" applyFill="1" applyBorder="1"/>
    <xf numFmtId="165" fontId="1" fillId="0" borderId="38" xfId="2" applyFont="1" applyFill="1" applyBorder="1"/>
    <xf numFmtId="165" fontId="1" fillId="0" borderId="40" xfId="2" applyFont="1" applyFill="1" applyBorder="1"/>
    <xf numFmtId="0" fontId="1" fillId="0" borderId="8" xfId="0" applyFont="1" applyBorder="1" applyAlignment="1"/>
    <xf numFmtId="0" fontId="1" fillId="0" borderId="41" xfId="0" applyFont="1" applyBorder="1" applyAlignment="1"/>
    <xf numFmtId="4" fontId="1" fillId="0" borderId="1" xfId="0" applyNumberFormat="1" applyFont="1" applyFill="1" applyBorder="1" applyAlignment="1"/>
    <xf numFmtId="4" fontId="1" fillId="0" borderId="13" xfId="0" applyNumberFormat="1" applyFont="1" applyBorder="1" applyAlignment="1">
      <alignment horizontal="distributed"/>
    </xf>
    <xf numFmtId="4" fontId="15" fillId="0" borderId="5" xfId="4" applyNumberFormat="1" applyFont="1" applyFill="1" applyBorder="1"/>
    <xf numFmtId="4" fontId="17" fillId="0" borderId="4" xfId="4" applyNumberFormat="1" applyFont="1" applyFill="1" applyBorder="1"/>
    <xf numFmtId="4" fontId="15" fillId="0" borderId="5" xfId="4" applyNumberFormat="1" applyFont="1" applyFill="1" applyBorder="1" applyAlignment="1">
      <alignment horizontal="right"/>
    </xf>
    <xf numFmtId="4" fontId="17" fillId="0" borderId="5" xfId="4" applyNumberFormat="1" applyFont="1" applyFill="1" applyBorder="1" applyAlignment="1">
      <alignment horizontal="right"/>
    </xf>
    <xf numFmtId="4" fontId="17" fillId="0" borderId="22" xfId="4" applyNumberFormat="1" applyFont="1" applyFill="1" applyBorder="1" applyAlignment="1">
      <alignment horizontal="right"/>
    </xf>
    <xf numFmtId="4" fontId="17" fillId="0" borderId="4" xfId="4" applyNumberFormat="1" applyFont="1" applyFill="1" applyBorder="1" applyAlignment="1">
      <alignment horizontal="right"/>
    </xf>
    <xf numFmtId="4" fontId="17" fillId="0" borderId="30" xfId="4" applyNumberFormat="1" applyFont="1" applyFill="1" applyBorder="1" applyAlignment="1">
      <alignment horizontal="right"/>
    </xf>
    <xf numFmtId="9" fontId="15" fillId="0" borderId="5" xfId="7" applyFont="1" applyFill="1" applyBorder="1" applyAlignment="1">
      <alignment horizontal="center"/>
    </xf>
    <xf numFmtId="4" fontId="31" fillId="0" borderId="5" xfId="4" applyNumberFormat="1" applyFont="1" applyFill="1" applyBorder="1"/>
    <xf numFmtId="4" fontId="15" fillId="0" borderId="5" xfId="2" applyNumberFormat="1" applyFont="1" applyFill="1" applyBorder="1"/>
    <xf numFmtId="4" fontId="17" fillId="0" borderId="5" xfId="2" applyNumberFormat="1" applyFont="1" applyFill="1" applyBorder="1"/>
    <xf numFmtId="4" fontId="31" fillId="0" borderId="5" xfId="4" quotePrefix="1" applyNumberFormat="1" applyFont="1" applyFill="1" applyBorder="1" applyAlignment="1">
      <alignment horizontal="right"/>
    </xf>
    <xf numFmtId="4" fontId="17" fillId="0" borderId="22" xfId="2" applyNumberFormat="1" applyFont="1" applyFill="1" applyBorder="1"/>
    <xf numFmtId="4" fontId="25" fillId="0" borderId="13" xfId="4" quotePrefix="1" applyNumberFormat="1" applyFont="1" applyFill="1" applyBorder="1" applyAlignment="1">
      <alignment horizontal="right"/>
    </xf>
    <xf numFmtId="4" fontId="22" fillId="0" borderId="13" xfId="4" quotePrefix="1" applyNumberFormat="1" applyFont="1" applyFill="1" applyBorder="1" applyAlignment="1">
      <alignment horizontal="right"/>
    </xf>
    <xf numFmtId="9" fontId="15" fillId="0" borderId="7" xfId="7" applyFont="1" applyFill="1" applyBorder="1" applyAlignment="1">
      <alignment horizontal="center"/>
    </xf>
    <xf numFmtId="4" fontId="31" fillId="0" borderId="7" xfId="4" applyNumberFormat="1" applyFont="1" applyFill="1" applyBorder="1"/>
    <xf numFmtId="4" fontId="22" fillId="0" borderId="7" xfId="2" applyNumberFormat="1" applyFont="1" applyFill="1" applyBorder="1"/>
    <xf numFmtId="4" fontId="31" fillId="0" borderId="7" xfId="4" quotePrefix="1" applyNumberFormat="1" applyFont="1" applyFill="1" applyBorder="1" applyAlignment="1">
      <alignment horizontal="right"/>
    </xf>
    <xf numFmtId="4" fontId="15" fillId="0" borderId="7" xfId="2" applyNumberFormat="1" applyFont="1" applyFill="1" applyBorder="1"/>
    <xf numFmtId="0" fontId="22" fillId="0" borderId="10" xfId="0" applyFont="1" applyFill="1" applyBorder="1" applyAlignment="1">
      <alignment horizontal="center" wrapText="1"/>
    </xf>
    <xf numFmtId="0" fontId="22" fillId="0" borderId="9" xfId="0" applyFont="1" applyFill="1" applyBorder="1" applyAlignment="1">
      <alignment horizontal="center" wrapText="1"/>
    </xf>
    <xf numFmtId="165" fontId="8" fillId="0" borderId="14" xfId="2" applyFont="1" applyFill="1" applyBorder="1" applyAlignment="1" applyProtection="1">
      <alignment horizontal="left"/>
      <protection locked="0"/>
    </xf>
    <xf numFmtId="165" fontId="1" fillId="0" borderId="20" xfId="2" applyFont="1" applyFill="1" applyBorder="1"/>
    <xf numFmtId="4" fontId="40" fillId="0" borderId="1" xfId="2" applyNumberFormat="1" applyFont="1" applyFill="1" applyBorder="1"/>
    <xf numFmtId="0" fontId="1" fillId="0" borderId="20" xfId="4" applyFont="1" applyFill="1" applyBorder="1" applyAlignment="1"/>
    <xf numFmtId="0" fontId="22" fillId="3" borderId="17" xfId="0" applyFont="1" applyFill="1" applyBorder="1" applyAlignment="1">
      <alignment horizontal="left" wrapText="1"/>
    </xf>
    <xf numFmtId="0" fontId="1" fillId="0" borderId="20" xfId="4" applyFont="1" applyFill="1" applyBorder="1"/>
    <xf numFmtId="165" fontId="15" fillId="0" borderId="20" xfId="2" applyFont="1" applyFill="1" applyBorder="1"/>
    <xf numFmtId="165" fontId="22" fillId="0" borderId="20" xfId="2" applyFont="1" applyFill="1" applyBorder="1" applyAlignment="1">
      <alignment horizontal="left"/>
    </xf>
    <xf numFmtId="4" fontId="17" fillId="2" borderId="1" xfId="2" applyNumberFormat="1" applyFont="1" applyFill="1" applyBorder="1"/>
    <xf numFmtId="4" fontId="17" fillId="2" borderId="7" xfId="2" applyNumberFormat="1" applyFont="1" applyFill="1" applyBorder="1"/>
    <xf numFmtId="0" fontId="1" fillId="0" borderId="17" xfId="0" applyFont="1" applyBorder="1"/>
    <xf numFmtId="0" fontId="1" fillId="0" borderId="18" xfId="0" applyFont="1" applyBorder="1"/>
    <xf numFmtId="165" fontId="9" fillId="0" borderId="1" xfId="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wrapText="1"/>
    </xf>
    <xf numFmtId="4" fontId="9" fillId="0" borderId="1" xfId="6" applyNumberFormat="1" applyFont="1" applyFill="1" applyBorder="1" applyAlignment="1">
      <alignment horizontal="center" wrapText="1"/>
    </xf>
    <xf numFmtId="0" fontId="1" fillId="0" borderId="0" xfId="0" applyFont="1" applyFill="1"/>
    <xf numFmtId="4" fontId="1" fillId="0" borderId="5" xfId="4" applyNumberFormat="1" applyFont="1" applyFill="1" applyBorder="1"/>
    <xf numFmtId="37" fontId="8" fillId="0" borderId="0" xfId="6" applyFont="1" applyFill="1" applyBorder="1" applyAlignment="1">
      <alignment horizontal="center"/>
    </xf>
    <xf numFmtId="37" fontId="9" fillId="0" borderId="0" xfId="6" applyFont="1" applyFill="1" applyAlignment="1">
      <alignment horizontal="center"/>
    </xf>
    <xf numFmtId="4" fontId="8" fillId="0" borderId="5" xfId="6" applyNumberFormat="1" applyFont="1" applyFill="1" applyBorder="1" applyAlignment="1">
      <alignment horizontal="center" vertical="center" wrapText="1"/>
    </xf>
    <xf numFmtId="39" fontId="8" fillId="0" borderId="5" xfId="6" applyNumberFormat="1" applyFont="1" applyFill="1" applyBorder="1" applyAlignment="1" applyProtection="1">
      <alignment horizontal="center"/>
      <protection locked="0"/>
    </xf>
    <xf numFmtId="164" fontId="6" fillId="0" borderId="5" xfId="2" applyNumberFormat="1" applyFont="1" applyFill="1" applyBorder="1" applyAlignment="1" applyProtection="1">
      <alignment horizontal="left"/>
      <protection locked="0"/>
    </xf>
    <xf numFmtId="4" fontId="9" fillId="0" borderId="5" xfId="6" applyNumberFormat="1" applyFont="1" applyFill="1" applyBorder="1"/>
    <xf numFmtId="4" fontId="9" fillId="0" borderId="5" xfId="2" applyNumberFormat="1" applyFont="1" applyFill="1" applyBorder="1" applyAlignment="1" applyProtection="1">
      <alignment horizontal="right"/>
      <protection locked="0"/>
    </xf>
    <xf numFmtId="37" fontId="9" fillId="0" borderId="5" xfId="6" applyFont="1" applyFill="1" applyBorder="1"/>
    <xf numFmtId="164" fontId="9" fillId="0" borderId="5" xfId="2" applyNumberFormat="1" applyFont="1" applyFill="1" applyBorder="1" applyAlignment="1" applyProtection="1">
      <alignment horizontal="left"/>
      <protection locked="0"/>
    </xf>
    <xf numFmtId="4" fontId="8" fillId="0" borderId="5" xfId="2" applyNumberFormat="1" applyFont="1" applyFill="1" applyBorder="1" applyAlignment="1" applyProtection="1">
      <alignment horizontal="right"/>
      <protection locked="0"/>
    </xf>
    <xf numFmtId="39" fontId="9" fillId="0" borderId="5" xfId="6" applyNumberFormat="1" applyFont="1" applyFill="1" applyBorder="1"/>
    <xf numFmtId="164" fontId="9" fillId="0" borderId="4" xfId="2" applyNumberFormat="1" applyFont="1" applyFill="1" applyBorder="1" applyAlignment="1" applyProtection="1">
      <alignment vertical="center"/>
      <protection locked="0"/>
    </xf>
    <xf numFmtId="164" fontId="9" fillId="0" borderId="2" xfId="2" applyNumberFormat="1" applyFont="1" applyFill="1" applyBorder="1" applyAlignment="1" applyProtection="1">
      <alignment vertical="center"/>
      <protection locked="0"/>
    </xf>
    <xf numFmtId="164" fontId="9" fillId="0" borderId="27" xfId="2" applyNumberFormat="1" applyFont="1" applyFill="1" applyBorder="1" applyAlignment="1" applyProtection="1">
      <alignment vertical="center"/>
      <protection locked="0"/>
    </xf>
    <xf numFmtId="164" fontId="9" fillId="0" borderId="21" xfId="2" applyNumberFormat="1" applyFont="1" applyFill="1" applyBorder="1" applyAlignment="1" applyProtection="1">
      <alignment vertical="center"/>
      <protection locked="0"/>
    </xf>
    <xf numFmtId="164" fontId="9" fillId="0" borderId="5" xfId="2" applyNumberFormat="1" applyFont="1" applyFill="1" applyBorder="1" applyAlignment="1" applyProtection="1">
      <alignment vertical="center"/>
      <protection locked="0"/>
    </xf>
    <xf numFmtId="164" fontId="8" fillId="0" borderId="5" xfId="2" applyNumberFormat="1" applyFont="1" applyFill="1" applyBorder="1" applyAlignment="1" applyProtection="1">
      <alignment horizontal="left"/>
      <protection locked="0"/>
    </xf>
    <xf numFmtId="39" fontId="9" fillId="0" borderId="5" xfId="6" applyNumberFormat="1" applyFont="1" applyFill="1" applyBorder="1" applyAlignment="1" applyProtection="1">
      <alignment horizontal="right"/>
      <protection locked="0"/>
    </xf>
    <xf numFmtId="164" fontId="9" fillId="0" borderId="5" xfId="2" applyNumberFormat="1" applyFont="1" applyFill="1" applyBorder="1"/>
    <xf numFmtId="164" fontId="9" fillId="0" borderId="5" xfId="2" applyNumberFormat="1" applyFont="1" applyFill="1" applyBorder="1" applyAlignment="1" applyProtection="1">
      <alignment horizontal="right"/>
      <protection locked="0"/>
    </xf>
    <xf numFmtId="4" fontId="9" fillId="0" borderId="5" xfId="0" applyNumberFormat="1" applyFont="1" applyFill="1" applyBorder="1" applyAlignment="1">
      <alignment horizontal="right" wrapText="1"/>
    </xf>
    <xf numFmtId="4" fontId="8" fillId="0" borderId="5" xfId="0" applyNumberFormat="1" applyFont="1" applyFill="1" applyBorder="1" applyAlignment="1">
      <alignment horizontal="right" wrapText="1"/>
    </xf>
    <xf numFmtId="39" fontId="8" fillId="0" borderId="5" xfId="6" applyNumberFormat="1" applyFont="1" applyFill="1" applyBorder="1"/>
    <xf numFmtId="39" fontId="9" fillId="0" borderId="4" xfId="6" applyNumberFormat="1" applyFont="1" applyFill="1" applyBorder="1"/>
    <xf numFmtId="39" fontId="9" fillId="0" borderId="2" xfId="6" applyNumberFormat="1" applyFont="1" applyFill="1" applyBorder="1"/>
    <xf numFmtId="164" fontId="9" fillId="0" borderId="5" xfId="2" applyNumberFormat="1" applyFont="1" applyFill="1" applyBorder="1" applyAlignment="1">
      <alignment horizontal="right" wrapText="1"/>
    </xf>
    <xf numFmtId="39" fontId="9" fillId="0" borderId="5" xfId="6" applyNumberFormat="1" applyFont="1" applyFill="1" applyBorder="1" applyAlignment="1">
      <alignment horizontal="right"/>
    </xf>
    <xf numFmtId="39" fontId="8" fillId="0" borderId="5" xfId="6" applyNumberFormat="1" applyFont="1" applyFill="1" applyBorder="1" applyAlignment="1" applyProtection="1">
      <alignment horizontal="right"/>
      <protection locked="0"/>
    </xf>
    <xf numFmtId="39" fontId="41" fillId="0" borderId="1" xfId="6" applyNumberFormat="1" applyFont="1" applyFill="1" applyBorder="1"/>
    <xf numFmtId="4" fontId="34" fillId="0" borderId="4" xfId="6" applyNumberFormat="1" applyFont="1" applyFill="1" applyBorder="1"/>
    <xf numFmtId="4" fontId="34" fillId="0" borderId="2" xfId="6" applyNumberFormat="1" applyFont="1" applyFill="1" applyBorder="1"/>
    <xf numFmtId="4" fontId="34" fillId="0" borderId="5" xfId="6" applyNumberFormat="1" applyFont="1" applyFill="1" applyBorder="1"/>
    <xf numFmtId="2" fontId="9" fillId="0" borderId="26" xfId="0" applyNumberFormat="1" applyFont="1" applyFill="1" applyBorder="1"/>
    <xf numFmtId="9" fontId="9" fillId="0" borderId="0" xfId="7" applyFont="1" applyFill="1"/>
    <xf numFmtId="166" fontId="11" fillId="0" borderId="0" xfId="0" applyNumberFormat="1" applyFont="1" applyFill="1" applyBorder="1" applyAlignment="1" applyProtection="1">
      <alignment horizontal="center"/>
      <protection locked="0"/>
    </xf>
    <xf numFmtId="38" fontId="11" fillId="0" borderId="0" xfId="0" applyNumberFormat="1" applyFont="1" applyFill="1" applyBorder="1" applyAlignment="1" applyProtection="1">
      <alignment horizontal="center"/>
      <protection locked="0"/>
    </xf>
    <xf numFmtId="40" fontId="11" fillId="0" borderId="0" xfId="0" applyNumberFormat="1" applyFont="1" applyFill="1" applyBorder="1" applyAlignment="1" applyProtection="1">
      <alignment horizontal="center"/>
      <protection locked="0"/>
    </xf>
    <xf numFmtId="165" fontId="9" fillId="0" borderId="0" xfId="2" applyFont="1" applyFill="1" applyBorder="1"/>
    <xf numFmtId="165" fontId="8" fillId="0" borderId="5" xfId="2" applyFont="1" applyFill="1" applyBorder="1" applyAlignment="1" applyProtection="1">
      <alignment horizontal="center"/>
      <protection locked="0"/>
    </xf>
    <xf numFmtId="4" fontId="7" fillId="0" borderId="1" xfId="0" applyNumberFormat="1" applyFont="1" applyFill="1" applyBorder="1"/>
    <xf numFmtId="165" fontId="9" fillId="0" borderId="5" xfId="2" applyFont="1" applyFill="1" applyBorder="1"/>
    <xf numFmtId="165" fontId="8" fillId="0" borderId="5" xfId="2" applyFont="1" applyFill="1" applyBorder="1" applyAlignment="1" applyProtection="1">
      <alignment horizontal="left"/>
      <protection locked="0"/>
    </xf>
    <xf numFmtId="165" fontId="9" fillId="0" borderId="1" xfId="2" applyFont="1" applyFill="1" applyBorder="1"/>
    <xf numFmtId="165" fontId="9" fillId="0" borderId="5" xfId="2" applyFont="1" applyFill="1" applyBorder="1" applyAlignment="1" applyProtection="1">
      <alignment horizontal="left"/>
      <protection locked="0"/>
    </xf>
    <xf numFmtId="165" fontId="8" fillId="0" borderId="5" xfId="2" applyFont="1" applyFill="1" applyBorder="1"/>
    <xf numFmtId="165" fontId="9" fillId="0" borderId="5" xfId="2" applyFont="1" applyFill="1" applyBorder="1" applyAlignment="1" applyProtection="1">
      <alignment horizontal="right"/>
      <protection locked="0"/>
    </xf>
    <xf numFmtId="165" fontId="8" fillId="0" borderId="5" xfId="2" applyFont="1" applyFill="1" applyBorder="1" applyAlignment="1" applyProtection="1">
      <alignment horizontal="right"/>
      <protection locked="0"/>
    </xf>
    <xf numFmtId="165" fontId="9" fillId="0" borderId="1" xfId="2" applyFont="1" applyFill="1" applyBorder="1" applyAlignment="1">
      <alignment horizontal="left"/>
    </xf>
    <xf numFmtId="165" fontId="9" fillId="0" borderId="1" xfId="2" quotePrefix="1" applyFont="1" applyFill="1" applyBorder="1" applyAlignment="1" applyProtection="1">
      <alignment horizontal="left"/>
      <protection locked="0"/>
    </xf>
    <xf numFmtId="165" fontId="9" fillId="0" borderId="4" xfId="2" applyFont="1" applyFill="1" applyBorder="1"/>
    <xf numFmtId="164" fontId="18" fillId="0" borderId="1" xfId="2" applyNumberFormat="1" applyFont="1" applyFill="1" applyBorder="1" applyAlignment="1" applyProtection="1">
      <alignment horizontal="left"/>
      <protection locked="0"/>
    </xf>
    <xf numFmtId="4" fontId="8" fillId="0" borderId="1" xfId="6" applyNumberFormat="1" applyFont="1" applyFill="1" applyBorder="1" applyAlignment="1">
      <alignment horizontal="right"/>
    </xf>
    <xf numFmtId="165" fontId="8" fillId="0" borderId="1" xfId="2" applyFont="1" applyFill="1" applyBorder="1" applyAlignment="1" applyProtection="1">
      <protection locked="0"/>
    </xf>
    <xf numFmtId="165" fontId="9" fillId="0" borderId="5" xfId="2" applyFont="1" applyFill="1" applyBorder="1" applyAlignment="1">
      <alignment horizontal="right" wrapText="1"/>
    </xf>
    <xf numFmtId="165" fontId="8" fillId="0" borderId="5" xfId="2" applyFont="1" applyFill="1" applyBorder="1" applyAlignment="1">
      <alignment horizontal="right" wrapText="1"/>
    </xf>
    <xf numFmtId="39" fontId="41" fillId="0" borderId="1" xfId="6" applyNumberFormat="1" applyFont="1" applyFill="1" applyBorder="1" applyAlignment="1" applyProtection="1">
      <alignment horizontal="right"/>
      <protection locked="0"/>
    </xf>
    <xf numFmtId="4" fontId="41" fillId="0" borderId="1" xfId="6" applyNumberFormat="1" applyFont="1" applyFill="1" applyBorder="1"/>
    <xf numFmtId="165" fontId="9" fillId="0" borderId="5" xfId="2" applyFont="1" applyFill="1" applyBorder="1" applyAlignment="1">
      <alignment horizontal="right"/>
    </xf>
    <xf numFmtId="165" fontId="6" fillId="0" borderId="5" xfId="2" applyFont="1" applyFill="1" applyBorder="1"/>
    <xf numFmtId="4" fontId="6" fillId="0" borderId="1" xfId="6" applyNumberFormat="1" applyFont="1" applyFill="1" applyBorder="1"/>
    <xf numFmtId="165" fontId="9" fillId="0" borderId="2" xfId="2" applyFont="1" applyFill="1" applyBorder="1"/>
    <xf numFmtId="4" fontId="9" fillId="0" borderId="2" xfId="6" applyNumberFormat="1" applyFont="1" applyFill="1" applyBorder="1"/>
    <xf numFmtId="164" fontId="8" fillId="0" borderId="2" xfId="2" applyNumberFormat="1" applyFont="1" applyFill="1" applyBorder="1" applyAlignment="1" applyProtection="1">
      <alignment horizontal="left"/>
      <protection locked="0"/>
    </xf>
    <xf numFmtId="165" fontId="6" fillId="0" borderId="4" xfId="2" applyFont="1" applyFill="1" applyBorder="1"/>
    <xf numFmtId="4" fontId="6" fillId="0" borderId="2" xfId="6" applyNumberFormat="1" applyFont="1" applyFill="1" applyBorder="1"/>
    <xf numFmtId="165" fontId="41" fillId="0" borderId="1" xfId="2" applyFont="1" applyFill="1" applyBorder="1"/>
    <xf numFmtId="4" fontId="9" fillId="0" borderId="1" xfId="0" applyNumberFormat="1" applyFont="1" applyFill="1" applyBorder="1"/>
    <xf numFmtId="0" fontId="9" fillId="0" borderId="1" xfId="0" applyFont="1" applyFill="1" applyBorder="1"/>
    <xf numFmtId="165" fontId="9" fillId="0" borderId="1" xfId="0" applyNumberFormat="1" applyFont="1" applyFill="1" applyBorder="1"/>
    <xf numFmtId="0" fontId="39" fillId="0" borderId="1" xfId="0" applyFont="1" applyFill="1" applyBorder="1"/>
    <xf numFmtId="164" fontId="8" fillId="0" borderId="14" xfId="2" applyNumberFormat="1" applyFont="1" applyFill="1" applyBorder="1" applyAlignment="1" applyProtection="1">
      <alignment horizontal="left"/>
      <protection locked="0"/>
    </xf>
    <xf numFmtId="2" fontId="39" fillId="0" borderId="26" xfId="0" applyNumberFormat="1" applyFont="1" applyFill="1" applyBorder="1"/>
    <xf numFmtId="165" fontId="39" fillId="0" borderId="26" xfId="2" applyFont="1" applyFill="1" applyBorder="1"/>
    <xf numFmtId="4" fontId="9" fillId="0" borderId="0" xfId="0" applyNumberFormat="1" applyFont="1" applyFill="1"/>
    <xf numFmtId="165" fontId="5" fillId="0" borderId="1" xfId="2" applyFont="1" applyFill="1" applyBorder="1" applyAlignment="1">
      <alignment horizontal="left"/>
    </xf>
    <xf numFmtId="165" fontId="4" fillId="0" borderId="1" xfId="2" applyFont="1" applyFill="1" applyBorder="1"/>
    <xf numFmtId="165" fontId="5" fillId="0" borderId="1" xfId="2" applyFont="1" applyFill="1" applyBorder="1"/>
    <xf numFmtId="4" fontId="25" fillId="0" borderId="0" xfId="4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distributed"/>
    </xf>
    <xf numFmtId="4" fontId="1" fillId="0" borderId="0" xfId="0" applyNumberFormat="1" applyFont="1" applyFill="1" applyBorder="1" applyAlignment="1">
      <alignment horizontal="distributed"/>
    </xf>
    <xf numFmtId="0" fontId="22" fillId="0" borderId="20" xfId="4" quotePrefix="1" applyFont="1" applyFill="1" applyBorder="1" applyAlignment="1">
      <alignment horizontal="left"/>
    </xf>
    <xf numFmtId="165" fontId="8" fillId="0" borderId="3" xfId="2" applyFont="1" applyFill="1" applyBorder="1" applyAlignment="1">
      <alignment horizontal="left" wrapText="1"/>
    </xf>
    <xf numFmtId="165" fontId="9" fillId="0" borderId="3" xfId="2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37" fontId="16" fillId="0" borderId="0" xfId="6" applyFont="1" applyFill="1" applyBorder="1" applyAlignment="1"/>
    <xf numFmtId="0" fontId="13" fillId="0" borderId="0" xfId="0" applyFont="1" applyAlignment="1">
      <alignment vertical="center"/>
    </xf>
    <xf numFmtId="0" fontId="22" fillId="0" borderId="32" xfId="0" applyFont="1" applyBorder="1" applyAlignment="1">
      <alignment vertical="center"/>
    </xf>
    <xf numFmtId="0" fontId="22" fillId="0" borderId="32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37" fontId="15" fillId="0" borderId="9" xfId="6" applyFont="1" applyFill="1" applyBorder="1" applyAlignment="1">
      <alignment horizontal="center" vertical="center" wrapText="1"/>
    </xf>
    <xf numFmtId="0" fontId="15" fillId="0" borderId="32" xfId="6" applyNumberFormat="1" applyFont="1" applyFill="1" applyBorder="1" applyAlignment="1">
      <alignment horizontal="center" vertical="center" wrapText="1"/>
    </xf>
    <xf numFmtId="166" fontId="15" fillId="0" borderId="9" xfId="6" applyNumberFormat="1" applyFont="1" applyFill="1" applyBorder="1" applyAlignment="1">
      <alignment horizontal="center" vertical="center" wrapText="1"/>
    </xf>
    <xf numFmtId="4" fontId="15" fillId="0" borderId="9" xfId="6" applyNumberFormat="1" applyFont="1" applyFill="1" applyBorder="1" applyAlignment="1">
      <alignment horizontal="center" vertical="center" wrapText="1"/>
    </xf>
    <xf numFmtId="166" fontId="15" fillId="0" borderId="57" xfId="6" applyNumberFormat="1" applyFont="1" applyFill="1" applyBorder="1" applyAlignment="1">
      <alignment horizontal="center" vertical="center" wrapText="1"/>
    </xf>
    <xf numFmtId="166" fontId="15" fillId="0" borderId="10" xfId="6" applyNumberFormat="1" applyFont="1" applyFill="1" applyBorder="1" applyAlignment="1">
      <alignment horizontal="center" vertical="center" wrapText="1"/>
    </xf>
    <xf numFmtId="0" fontId="1" fillId="0" borderId="29" xfId="0" applyFont="1" applyBorder="1"/>
    <xf numFmtId="164" fontId="1" fillId="0" borderId="17" xfId="0" applyNumberFormat="1" applyFont="1" applyBorder="1"/>
    <xf numFmtId="0" fontId="1" fillId="0" borderId="32" xfId="0" applyFont="1" applyBorder="1"/>
    <xf numFmtId="0" fontId="1" fillId="0" borderId="20" xfId="0" applyFont="1" applyBorder="1"/>
    <xf numFmtId="0" fontId="1" fillId="0" borderId="8" xfId="0" applyFont="1" applyBorder="1"/>
    <xf numFmtId="0" fontId="1" fillId="0" borderId="13" xfId="0" applyFont="1" applyBorder="1"/>
    <xf numFmtId="0" fontId="25" fillId="0" borderId="17" xfId="0" applyFont="1" applyBorder="1" applyAlignment="1">
      <alignment horizontal="right"/>
    </xf>
    <xf numFmtId="0" fontId="25" fillId="0" borderId="17" xfId="0" applyFont="1" applyBorder="1"/>
    <xf numFmtId="0" fontId="1" fillId="0" borderId="17" xfId="0" applyFont="1" applyBorder="1" applyAlignment="1">
      <alignment horizontal="right"/>
    </xf>
    <xf numFmtId="39" fontId="1" fillId="0" borderId="17" xfId="0" applyNumberFormat="1" applyFont="1" applyBorder="1"/>
    <xf numFmtId="4" fontId="1" fillId="0" borderId="17" xfId="0" applyNumberFormat="1" applyFont="1" applyBorder="1"/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horizontal="right"/>
    </xf>
    <xf numFmtId="0" fontId="1" fillId="0" borderId="34" xfId="0" applyFont="1" applyBorder="1"/>
    <xf numFmtId="0" fontId="1" fillId="0" borderId="41" xfId="0" applyFont="1" applyBorder="1"/>
    <xf numFmtId="0" fontId="1" fillId="0" borderId="15" xfId="0" applyFont="1" applyBorder="1"/>
    <xf numFmtId="165" fontId="1" fillId="0" borderId="17" xfId="2" applyFont="1" applyBorder="1" applyAlignment="1">
      <alignment horizontal="right" wrapText="1"/>
    </xf>
    <xf numFmtId="0" fontId="1" fillId="0" borderId="20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39" fontId="1" fillId="0" borderId="20" xfId="0" applyNumberFormat="1" applyFont="1" applyBorder="1" applyAlignment="1">
      <alignment horizontal="right"/>
    </xf>
    <xf numFmtId="165" fontId="22" fillId="0" borderId="20" xfId="2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4" fontId="1" fillId="0" borderId="13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165" fontId="9" fillId="0" borderId="14" xfId="2" applyFont="1" applyFill="1" applyBorder="1" applyAlignment="1" applyProtection="1">
      <alignment horizontal="left"/>
      <protection locked="0"/>
    </xf>
    <xf numFmtId="4" fontId="9" fillId="0" borderId="14" xfId="6" applyNumberFormat="1" applyFont="1" applyFill="1" applyBorder="1" applyAlignment="1">
      <alignment horizontal="center" vertical="center" wrapText="1"/>
    </xf>
    <xf numFmtId="4" fontId="9" fillId="0" borderId="14" xfId="6" applyNumberFormat="1" applyFont="1" applyFill="1" applyBorder="1"/>
    <xf numFmtId="39" fontId="9" fillId="0" borderId="14" xfId="6" applyNumberFormat="1" applyFont="1" applyFill="1" applyBorder="1" applyAlignment="1" applyProtection="1">
      <alignment horizontal="right"/>
      <protection locked="0"/>
    </xf>
    <xf numFmtId="165" fontId="9" fillId="0" borderId="22" xfId="2" applyFont="1" applyFill="1" applyBorder="1" applyAlignment="1" applyProtection="1">
      <alignment horizontal="right"/>
      <protection locked="0"/>
    </xf>
    <xf numFmtId="4" fontId="9" fillId="0" borderId="14" xfId="2" applyNumberFormat="1" applyFont="1" applyFill="1" applyBorder="1" applyAlignment="1" applyProtection="1">
      <alignment horizontal="right"/>
      <protection locked="0"/>
    </xf>
    <xf numFmtId="39" fontId="9" fillId="0" borderId="41" xfId="6" applyNumberFormat="1" applyFont="1" applyFill="1" applyBorder="1" applyAlignment="1">
      <alignment horizontal="right"/>
    </xf>
    <xf numFmtId="165" fontId="8" fillId="0" borderId="14" xfId="2" applyFont="1" applyFill="1" applyBorder="1"/>
    <xf numFmtId="165" fontId="9" fillId="0" borderId="22" xfId="2" applyFont="1" applyFill="1" applyBorder="1" applyAlignment="1">
      <alignment horizontal="right" wrapText="1"/>
    </xf>
    <xf numFmtId="4" fontId="9" fillId="0" borderId="14" xfId="0" applyNumberFormat="1" applyFont="1" applyFill="1" applyBorder="1" applyAlignment="1">
      <alignment horizontal="right" wrapText="1"/>
    </xf>
    <xf numFmtId="4" fontId="9" fillId="0" borderId="19" xfId="2" applyNumberFormat="1" applyFont="1" applyFill="1" applyBorder="1" applyAlignment="1" applyProtection="1">
      <alignment horizontal="right"/>
      <protection locked="0"/>
    </xf>
    <xf numFmtId="165" fontId="9" fillId="0" borderId="47" xfId="2" applyFont="1" applyFill="1" applyBorder="1" applyAlignment="1">
      <alignment horizontal="left" wrapText="1"/>
    </xf>
    <xf numFmtId="0" fontId="9" fillId="0" borderId="26" xfId="0" applyFont="1" applyFill="1" applyBorder="1" applyAlignment="1">
      <alignment horizontal="left" wrapText="1"/>
    </xf>
    <xf numFmtId="4" fontId="8" fillId="0" borderId="14" xfId="6" applyNumberFormat="1" applyFont="1" applyFill="1" applyBorder="1"/>
    <xf numFmtId="165" fontId="9" fillId="0" borderId="22" xfId="2" applyFont="1" applyFill="1" applyBorder="1"/>
    <xf numFmtId="39" fontId="9" fillId="0" borderId="14" xfId="6" applyNumberFormat="1" applyFont="1" applyFill="1" applyBorder="1"/>
    <xf numFmtId="4" fontId="8" fillId="0" borderId="24" xfId="6" applyNumberFormat="1" applyFont="1" applyFill="1" applyBorder="1" applyAlignment="1">
      <alignment horizontal="center" vertical="center" wrapText="1"/>
    </xf>
    <xf numFmtId="37" fontId="9" fillId="0" borderId="52" xfId="6" applyFont="1" applyFill="1" applyBorder="1" applyAlignment="1">
      <alignment horizontal="center" vertical="center" wrapText="1"/>
    </xf>
    <xf numFmtId="4" fontId="42" fillId="0" borderId="11" xfId="6" applyNumberFormat="1" applyFont="1" applyFill="1" applyBorder="1" applyAlignment="1">
      <alignment horizontal="center" vertical="center" wrapText="1"/>
    </xf>
    <xf numFmtId="4" fontId="8" fillId="0" borderId="11" xfId="6" applyNumberFormat="1" applyFont="1" applyFill="1" applyBorder="1" applyAlignment="1">
      <alignment horizontal="center" vertical="center" wrapText="1"/>
    </xf>
    <xf numFmtId="39" fontId="8" fillId="0" borderId="11" xfId="6" applyNumberFormat="1" applyFont="1" applyFill="1" applyBorder="1" applyAlignment="1">
      <alignment horizontal="center" vertical="center" wrapText="1"/>
    </xf>
    <xf numFmtId="165" fontId="8" fillId="0" borderId="30" xfId="2" applyFont="1" applyFill="1" applyBorder="1" applyAlignment="1">
      <alignment horizontal="center" vertical="center" wrapText="1"/>
    </xf>
    <xf numFmtId="165" fontId="8" fillId="0" borderId="7" xfId="2" applyFont="1" applyFill="1" applyBorder="1" applyAlignment="1" applyProtection="1">
      <alignment horizontal="right"/>
      <protection locked="0"/>
    </xf>
    <xf numFmtId="165" fontId="8" fillId="0" borderId="7" xfId="2" applyFont="1" applyFill="1" applyBorder="1" applyAlignment="1" applyProtection="1">
      <alignment horizontal="left"/>
      <protection locked="0"/>
    </xf>
    <xf numFmtId="4" fontId="17" fillId="0" borderId="0" xfId="4" applyNumberFormat="1" applyFont="1" applyFill="1" applyBorder="1" applyAlignment="1">
      <alignment horizontal="right"/>
    </xf>
    <xf numFmtId="4" fontId="22" fillId="0" borderId="22" xfId="4" quotePrefix="1" applyNumberFormat="1" applyFont="1" applyFill="1" applyBorder="1" applyAlignment="1">
      <alignment horizontal="right"/>
    </xf>
    <xf numFmtId="4" fontId="17" fillId="0" borderId="22" xfId="4" applyNumberFormat="1" applyFont="1" applyFill="1" applyBorder="1"/>
    <xf numFmtId="164" fontId="22" fillId="0" borderId="29" xfId="0" applyNumberFormat="1" applyFont="1" applyBorder="1" applyAlignment="1">
      <alignment horizontal="right"/>
    </xf>
    <xf numFmtId="0" fontId="22" fillId="0" borderId="17" xfId="0" applyFont="1" applyBorder="1" applyAlignment="1">
      <alignment horizontal="right"/>
    </xf>
    <xf numFmtId="39" fontId="22" fillId="0" borderId="17" xfId="0" applyNumberFormat="1" applyFont="1" applyBorder="1" applyAlignment="1">
      <alignment horizontal="right"/>
    </xf>
    <xf numFmtId="4" fontId="22" fillId="0" borderId="17" xfId="0" applyNumberFormat="1" applyFont="1" applyBorder="1" applyAlignment="1">
      <alignment horizontal="right"/>
    </xf>
    <xf numFmtId="165" fontId="22" fillId="0" borderId="17" xfId="2" applyFont="1" applyBorder="1" applyAlignment="1">
      <alignment horizontal="right" wrapText="1"/>
    </xf>
    <xf numFmtId="0" fontId="22" fillId="0" borderId="43" xfId="4" applyFont="1" applyFill="1" applyBorder="1" applyAlignment="1">
      <alignment horizontal="center" vertical="center" wrapText="1"/>
    </xf>
    <xf numFmtId="4" fontId="22" fillId="0" borderId="0" xfId="4" applyNumberFormat="1" applyFont="1" applyFill="1" applyBorder="1"/>
    <xf numFmtId="4" fontId="29" fillId="0" borderId="0" xfId="4" applyNumberFormat="1" applyFont="1" applyFill="1" applyBorder="1"/>
    <xf numFmtId="4" fontId="25" fillId="0" borderId="0" xfId="4" applyNumberFormat="1" applyFont="1" applyFill="1" applyBorder="1"/>
    <xf numFmtId="4" fontId="22" fillId="0" borderId="0" xfId="2" applyNumberFormat="1" applyFont="1" applyFill="1" applyBorder="1"/>
    <xf numFmtId="9" fontId="22" fillId="0" borderId="9" xfId="7" applyFont="1" applyFill="1" applyBorder="1" applyAlignment="1">
      <alignment horizontal="center" vertical="center" wrapText="1"/>
    </xf>
    <xf numFmtId="9" fontId="22" fillId="0" borderId="20" xfId="7" applyFont="1" applyFill="1" applyBorder="1"/>
    <xf numFmtId="170" fontId="22" fillId="0" borderId="20" xfId="7" applyNumberFormat="1" applyFont="1" applyFill="1" applyBorder="1"/>
    <xf numFmtId="4" fontId="22" fillId="0" borderId="20" xfId="4" quotePrefix="1" applyNumberFormat="1" applyFont="1" applyFill="1" applyBorder="1" applyAlignment="1">
      <alignment horizontal="right"/>
    </xf>
    <xf numFmtId="9" fontId="22" fillId="0" borderId="33" xfId="7" applyFont="1" applyFill="1" applyBorder="1"/>
    <xf numFmtId="9" fontId="22" fillId="0" borderId="34" xfId="7" applyFont="1" applyFill="1" applyBorder="1"/>
    <xf numFmtId="9" fontId="1" fillId="0" borderId="20" xfId="7" applyFont="1" applyFill="1" applyBorder="1"/>
    <xf numFmtId="165" fontId="9" fillId="0" borderId="3" xfId="2" applyFont="1" applyFill="1" applyBorder="1" applyAlignment="1">
      <alignment horizontal="left" wrapText="1"/>
    </xf>
    <xf numFmtId="37" fontId="14" fillId="0" borderId="29" xfId="6" applyFont="1" applyBorder="1"/>
    <xf numFmtId="0" fontId="22" fillId="0" borderId="17" xfId="4" applyFont="1" applyBorder="1" applyAlignment="1">
      <alignment horizontal="center"/>
    </xf>
    <xf numFmtId="0" fontId="22" fillId="0" borderId="3" xfId="4" applyFont="1" applyFill="1" applyBorder="1" applyAlignment="1">
      <alignment horizontal="center"/>
    </xf>
    <xf numFmtId="0" fontId="1" fillId="0" borderId="8" xfId="4" applyFont="1" applyBorder="1"/>
    <xf numFmtId="0" fontId="1" fillId="0" borderId="3" xfId="4" applyFont="1" applyFill="1" applyBorder="1" applyAlignment="1">
      <alignment horizontal="center"/>
    </xf>
    <xf numFmtId="0" fontId="25" fillId="0" borderId="8" xfId="4" quotePrefix="1" applyFont="1" applyBorder="1" applyAlignment="1">
      <alignment horizontal="center"/>
    </xf>
    <xf numFmtId="4" fontId="22" fillId="0" borderId="3" xfId="6" applyNumberFormat="1" applyFont="1" applyFill="1" applyBorder="1" applyAlignment="1">
      <alignment horizontal="right"/>
    </xf>
    <xf numFmtId="164" fontId="22" fillId="0" borderId="3" xfId="6" applyNumberFormat="1" applyFont="1" applyFill="1" applyBorder="1" applyAlignment="1">
      <alignment horizontal="right"/>
    </xf>
    <xf numFmtId="9" fontId="22" fillId="0" borderId="7" xfId="0" applyNumberFormat="1" applyFont="1" applyBorder="1"/>
    <xf numFmtId="0" fontId="22" fillId="0" borderId="8" xfId="4" applyFont="1" applyBorder="1"/>
    <xf numFmtId="4" fontId="22" fillId="0" borderId="3" xfId="6" applyNumberFormat="1" applyFont="1" applyBorder="1" applyAlignment="1">
      <alignment horizontal="right"/>
    </xf>
    <xf numFmtId="164" fontId="22" fillId="0" borderId="3" xfId="6" applyNumberFormat="1" applyFont="1" applyBorder="1" applyAlignment="1">
      <alignment horizontal="right"/>
    </xf>
    <xf numFmtId="4" fontId="1" fillId="0" borderId="3" xfId="4" applyNumberFormat="1" applyFont="1" applyFill="1" applyBorder="1" applyAlignment="1">
      <alignment horizontal="right"/>
    </xf>
    <xf numFmtId="4" fontId="1" fillId="0" borderId="3" xfId="2" applyNumberFormat="1" applyFont="1" applyFill="1" applyBorder="1" applyAlignment="1">
      <alignment horizontal="right"/>
    </xf>
    <xf numFmtId="164" fontId="22" fillId="0" borderId="3" xfId="2" applyNumberFormat="1" applyFont="1" applyFill="1" applyBorder="1" applyAlignment="1">
      <alignment horizontal="right"/>
    </xf>
    <xf numFmtId="37" fontId="1" fillId="0" borderId="17" xfId="6" applyFont="1" applyBorder="1"/>
    <xf numFmtId="164" fontId="1" fillId="0" borderId="3" xfId="2" applyNumberFormat="1" applyFont="1" applyFill="1" applyBorder="1" applyAlignment="1">
      <alignment horizontal="right"/>
    </xf>
    <xf numFmtId="0" fontId="1" fillId="0" borderId="8" xfId="4" quotePrefix="1" applyFont="1" applyBorder="1" applyAlignment="1">
      <alignment horizontal="left"/>
    </xf>
    <xf numFmtId="164" fontId="1" fillId="0" borderId="3" xfId="2" quotePrefix="1" applyNumberFormat="1" applyFont="1" applyFill="1" applyBorder="1" applyAlignment="1">
      <alignment horizontal="right"/>
    </xf>
    <xf numFmtId="0" fontId="1" fillId="0" borderId="8" xfId="4" applyFont="1" applyBorder="1" applyAlignment="1">
      <alignment horizontal="left"/>
    </xf>
    <xf numFmtId="37" fontId="1" fillId="0" borderId="0" xfId="6" applyFont="1" applyBorder="1" applyAlignment="1">
      <alignment horizontal="right"/>
    </xf>
    <xf numFmtId="164" fontId="1" fillId="0" borderId="8" xfId="4" applyNumberFormat="1" applyFont="1" applyBorder="1" applyAlignment="1">
      <alignment horizontal="left"/>
    </xf>
    <xf numFmtId="164" fontId="1" fillId="0" borderId="3" xfId="2" applyNumberFormat="1" applyFont="1" applyFill="1" applyBorder="1" applyAlignment="1">
      <alignment horizontal="center"/>
    </xf>
    <xf numFmtId="9" fontId="1" fillId="0" borderId="7" xfId="0" applyNumberFormat="1" applyFont="1" applyBorder="1"/>
    <xf numFmtId="0" fontId="25" fillId="0" borderId="8" xfId="4" applyFont="1" applyBorder="1" applyAlignment="1">
      <alignment horizontal="center"/>
    </xf>
    <xf numFmtId="39" fontId="22" fillId="0" borderId="3" xfId="6" applyNumberFormat="1" applyFont="1" applyFill="1" applyBorder="1" applyAlignment="1">
      <alignment horizontal="right"/>
    </xf>
    <xf numFmtId="0" fontId="1" fillId="0" borderId="8" xfId="4" applyFont="1" applyBorder="1" applyAlignment="1">
      <alignment horizontal="left" indent="1"/>
    </xf>
    <xf numFmtId="164" fontId="1" fillId="0" borderId="3" xfId="2" quotePrefix="1" applyNumberFormat="1" applyFont="1" applyFill="1" applyBorder="1" applyAlignment="1">
      <alignment horizontal="center"/>
    </xf>
    <xf numFmtId="164" fontId="22" fillId="0" borderId="3" xfId="2" applyNumberFormat="1" applyFont="1" applyFill="1" applyBorder="1" applyAlignment="1">
      <alignment horizontal="center"/>
    </xf>
    <xf numFmtId="0" fontId="1" fillId="0" borderId="8" xfId="4" applyFont="1" applyBorder="1" applyAlignment="1">
      <alignment horizontal="left" indent="2"/>
    </xf>
    <xf numFmtId="0" fontId="1" fillId="0" borderId="8" xfId="4" applyFont="1" applyBorder="1" applyAlignment="1"/>
    <xf numFmtId="0" fontId="22" fillId="0" borderId="8" xfId="4" applyFont="1" applyBorder="1" applyAlignment="1">
      <alignment horizontal="center"/>
    </xf>
    <xf numFmtId="0" fontId="1" fillId="0" borderId="41" xfId="4" applyFont="1" applyBorder="1" applyAlignment="1">
      <alignment horizontal="left" indent="1"/>
    </xf>
    <xf numFmtId="0" fontId="1" fillId="0" borderId="47" xfId="4" applyFont="1" applyFill="1" applyBorder="1" applyAlignment="1">
      <alignment horizontal="center"/>
    </xf>
    <xf numFmtId="37" fontId="1" fillId="0" borderId="0" xfId="6" applyFont="1" applyBorder="1"/>
    <xf numFmtId="37" fontId="44" fillId="0" borderId="35" xfId="6" applyFont="1" applyBorder="1"/>
    <xf numFmtId="37" fontId="1" fillId="0" borderId="0" xfId="6" applyFont="1"/>
    <xf numFmtId="0" fontId="14" fillId="0" borderId="0" xfId="8" applyFont="1" applyAlignment="1">
      <alignment horizontal="justify"/>
    </xf>
    <xf numFmtId="37" fontId="46" fillId="0" borderId="0" xfId="6" applyFont="1"/>
    <xf numFmtId="0" fontId="1" fillId="0" borderId="19" xfId="4" applyFont="1" applyFill="1" applyBorder="1" applyAlignment="1">
      <alignment horizontal="left" indent="1"/>
    </xf>
    <xf numFmtId="0" fontId="1" fillId="0" borderId="14" xfId="4" applyFont="1" applyFill="1" applyBorder="1" applyAlignment="1">
      <alignment horizontal="left" indent="1"/>
    </xf>
    <xf numFmtId="0" fontId="1" fillId="0" borderId="47" xfId="4" applyFont="1" applyFill="1" applyBorder="1" applyAlignment="1">
      <alignment horizontal="left" indent="1"/>
    </xf>
    <xf numFmtId="164" fontId="22" fillId="0" borderId="7" xfId="2" applyNumberFormat="1" applyFont="1" applyFill="1" applyBorder="1" applyAlignment="1">
      <alignment horizontal="right"/>
    </xf>
    <xf numFmtId="164" fontId="22" fillId="0" borderId="1" xfId="2" applyNumberFormat="1" applyFont="1" applyFill="1" applyBorder="1" applyAlignment="1">
      <alignment horizontal="right"/>
    </xf>
    <xf numFmtId="164" fontId="1" fillId="0" borderId="7" xfId="2" applyNumberFormat="1" applyFont="1" applyFill="1" applyBorder="1" applyAlignment="1">
      <alignment horizontal="left" indent="2"/>
    </xf>
    <xf numFmtId="164" fontId="1" fillId="0" borderId="1" xfId="2" applyNumberFormat="1" applyFont="1" applyFill="1" applyBorder="1" applyAlignment="1">
      <alignment horizontal="left" indent="2"/>
    </xf>
    <xf numFmtId="164" fontId="1" fillId="0" borderId="3" xfId="2" applyNumberFormat="1" applyFont="1" applyFill="1" applyBorder="1" applyAlignment="1">
      <alignment horizontal="left" indent="2"/>
    </xf>
    <xf numFmtId="4" fontId="1" fillId="0" borderId="7" xfId="2" applyNumberFormat="1" applyFont="1" applyFill="1" applyBorder="1"/>
    <xf numFmtId="4" fontId="1" fillId="0" borderId="1" xfId="2" applyNumberFormat="1" applyFont="1" applyFill="1" applyBorder="1"/>
    <xf numFmtId="164" fontId="22" fillId="0" borderId="7" xfId="2" applyNumberFormat="1" applyFont="1" applyFill="1" applyBorder="1" applyAlignment="1">
      <alignment horizontal="left" indent="2"/>
    </xf>
    <xf numFmtId="164" fontId="22" fillId="0" borderId="1" xfId="2" applyNumberFormat="1" applyFont="1" applyFill="1" applyBorder="1" applyAlignment="1">
      <alignment horizontal="left" indent="2"/>
    </xf>
    <xf numFmtId="164" fontId="22" fillId="0" borderId="3" xfId="2" applyNumberFormat="1" applyFont="1" applyFill="1" applyBorder="1" applyAlignment="1">
      <alignment horizontal="left" indent="2"/>
    </xf>
    <xf numFmtId="164" fontId="1" fillId="0" borderId="7" xfId="2" applyNumberFormat="1" applyFont="1" applyFill="1" applyBorder="1" applyAlignment="1">
      <alignment horizontal="left" indent="1"/>
    </xf>
    <xf numFmtId="164" fontId="1" fillId="0" borderId="1" xfId="2" applyNumberFormat="1" applyFont="1" applyFill="1" applyBorder="1" applyAlignment="1">
      <alignment horizontal="left" indent="1"/>
    </xf>
    <xf numFmtId="164" fontId="1" fillId="0" borderId="3" xfId="2" applyNumberFormat="1" applyFont="1" applyFill="1" applyBorder="1" applyAlignment="1">
      <alignment horizontal="left" indent="1"/>
    </xf>
    <xf numFmtId="164" fontId="22" fillId="0" borderId="7" xfId="2" applyNumberFormat="1" applyFont="1" applyFill="1" applyBorder="1"/>
    <xf numFmtId="164" fontId="22" fillId="0" borderId="1" xfId="2" applyNumberFormat="1" applyFont="1" applyFill="1" applyBorder="1"/>
    <xf numFmtId="164" fontId="22" fillId="0" borderId="3" xfId="2" applyNumberFormat="1" applyFont="1" applyFill="1" applyBorder="1"/>
    <xf numFmtId="164" fontId="1" fillId="0" borderId="7" xfId="2" applyNumberFormat="1" applyFont="1" applyFill="1" applyBorder="1"/>
    <xf numFmtId="164" fontId="1" fillId="0" borderId="1" xfId="2" applyNumberFormat="1" applyFont="1" applyFill="1" applyBorder="1"/>
    <xf numFmtId="164" fontId="1" fillId="0" borderId="3" xfId="2" applyNumberFormat="1" applyFont="1" applyFill="1" applyBorder="1"/>
    <xf numFmtId="164" fontId="1" fillId="0" borderId="7" xfId="2" quotePrefix="1" applyNumberFormat="1" applyFont="1" applyFill="1" applyBorder="1" applyAlignment="1">
      <alignment horizontal="left"/>
    </xf>
    <xf numFmtId="164" fontId="1" fillId="0" borderId="1" xfId="2" quotePrefix="1" applyNumberFormat="1" applyFont="1" applyFill="1" applyBorder="1" applyAlignment="1">
      <alignment horizontal="left"/>
    </xf>
    <xf numFmtId="164" fontId="1" fillId="0" borderId="3" xfId="2" quotePrefix="1" applyNumberFormat="1" applyFont="1" applyFill="1" applyBorder="1" applyAlignment="1">
      <alignment horizontal="left"/>
    </xf>
    <xf numFmtId="176" fontId="1" fillId="0" borderId="0" xfId="6" applyNumberFormat="1" applyFont="1"/>
    <xf numFmtId="39" fontId="22" fillId="0" borderId="7" xfId="6" applyNumberFormat="1" applyFont="1" applyFill="1" applyBorder="1"/>
    <xf numFmtId="39" fontId="22" fillId="0" borderId="1" xfId="6" applyNumberFormat="1" applyFont="1" applyFill="1" applyBorder="1"/>
    <xf numFmtId="0" fontId="1" fillId="0" borderId="40" xfId="4" quotePrefix="1" applyFont="1" applyBorder="1" applyAlignment="1">
      <alignment horizontal="left"/>
    </xf>
    <xf numFmtId="164" fontId="1" fillId="0" borderId="3" xfId="2" applyNumberFormat="1" applyFont="1" applyFill="1" applyBorder="1" applyAlignment="1">
      <alignment horizontal="left"/>
    </xf>
    <xf numFmtId="164" fontId="1" fillId="0" borderId="1" xfId="2" applyNumberFormat="1" applyFont="1" applyFill="1" applyBorder="1" applyAlignment="1">
      <alignment horizontal="left"/>
    </xf>
    <xf numFmtId="4" fontId="1" fillId="0" borderId="13" xfId="2" applyNumberFormat="1" applyFont="1" applyFill="1" applyBorder="1"/>
    <xf numFmtId="164" fontId="1" fillId="0" borderId="7" xfId="2" applyNumberFormat="1" applyFont="1" applyFill="1" applyBorder="1" applyAlignment="1">
      <alignment horizontal="left"/>
    </xf>
    <xf numFmtId="37" fontId="22" fillId="0" borderId="0" xfId="6" applyFont="1"/>
    <xf numFmtId="4" fontId="1" fillId="0" borderId="3" xfId="2" applyNumberFormat="1" applyFont="1" applyFill="1" applyBorder="1"/>
    <xf numFmtId="4" fontId="1" fillId="0" borderId="7" xfId="4" applyNumberFormat="1" applyFont="1" applyFill="1" applyBorder="1"/>
    <xf numFmtId="4" fontId="1" fillId="0" borderId="1" xfId="4" applyNumberFormat="1" applyFont="1" applyFill="1" applyBorder="1"/>
    <xf numFmtId="4" fontId="1" fillId="0" borderId="3" xfId="4" applyNumberFormat="1" applyFont="1" applyFill="1" applyBorder="1"/>
    <xf numFmtId="4" fontId="22" fillId="0" borderId="7" xfId="6" applyNumberFormat="1" applyFont="1" applyBorder="1" applyAlignment="1">
      <alignment horizontal="right"/>
    </xf>
    <xf numFmtId="4" fontId="22" fillId="0" borderId="1" xfId="6" applyNumberFormat="1" applyFont="1" applyBorder="1" applyAlignment="1">
      <alignment horizontal="right"/>
    </xf>
    <xf numFmtId="4" fontId="22" fillId="0" borderId="1" xfId="6" applyNumberFormat="1" applyFont="1" applyFill="1" applyBorder="1" applyAlignment="1">
      <alignment horizontal="right"/>
    </xf>
    <xf numFmtId="4" fontId="22" fillId="0" borderId="7" xfId="6" applyNumberFormat="1" applyFont="1" applyFill="1" applyBorder="1" applyAlignment="1">
      <alignment horizontal="right"/>
    </xf>
    <xf numFmtId="0" fontId="1" fillId="0" borderId="7" xfId="4" applyFont="1" applyFill="1" applyBorder="1"/>
    <xf numFmtId="0" fontId="1" fillId="0" borderId="3" xfId="4" applyFont="1" applyFill="1" applyBorder="1"/>
    <xf numFmtId="0" fontId="1" fillId="0" borderId="1" xfId="4" applyFont="1" applyFill="1" applyBorder="1"/>
    <xf numFmtId="0" fontId="22" fillId="0" borderId="7" xfId="4" applyFont="1" applyFill="1" applyBorder="1" applyAlignment="1">
      <alignment horizontal="center"/>
    </xf>
    <xf numFmtId="0" fontId="22" fillId="0" borderId="1" xfId="4" applyFont="1" applyFill="1" applyBorder="1" applyAlignment="1">
      <alignment horizontal="center"/>
    </xf>
    <xf numFmtId="37" fontId="14" fillId="0" borderId="24" xfId="6" applyFont="1" applyFill="1" applyBorder="1"/>
    <xf numFmtId="37" fontId="14" fillId="0" borderId="36" xfId="6" applyFont="1" applyFill="1" applyBorder="1"/>
    <xf numFmtId="37" fontId="14" fillId="0" borderId="11" xfId="6" applyFont="1" applyFill="1" applyBorder="1"/>
    <xf numFmtId="37" fontId="5" fillId="0" borderId="0" xfId="6" applyFont="1" applyFill="1"/>
    <xf numFmtId="37" fontId="5" fillId="0" borderId="0" xfId="6" applyFont="1" applyFill="1" applyAlignment="1">
      <alignment horizontal="right"/>
    </xf>
    <xf numFmtId="37" fontId="5" fillId="0" borderId="0" xfId="6" applyFont="1" applyFill="1" applyBorder="1"/>
    <xf numFmtId="37" fontId="5" fillId="0" borderId="5" xfId="6" applyFont="1" applyFill="1" applyBorder="1"/>
    <xf numFmtId="37" fontId="5" fillId="0" borderId="14" xfId="6" applyFont="1" applyFill="1" applyBorder="1"/>
    <xf numFmtId="4" fontId="5" fillId="0" borderId="1" xfId="8" applyNumberFormat="1" applyFont="1" applyFill="1" applyBorder="1" applyAlignment="1">
      <alignment horizontal="right"/>
    </xf>
    <xf numFmtId="2" fontId="5" fillId="0" borderId="8" xfId="8" applyNumberFormat="1" applyFont="1" applyFill="1" applyBorder="1" applyAlignment="1">
      <alignment horizontal="right"/>
    </xf>
    <xf numFmtId="37" fontId="5" fillId="0" borderId="1" xfId="6" applyFont="1" applyFill="1" applyBorder="1"/>
    <xf numFmtId="4" fontId="4" fillId="0" borderId="1" xfId="8" applyNumberFormat="1" applyFont="1" applyFill="1" applyBorder="1" applyAlignment="1">
      <alignment horizontal="right"/>
    </xf>
    <xf numFmtId="2" fontId="4" fillId="0" borderId="8" xfId="8" applyNumberFormat="1" applyFont="1" applyFill="1" applyBorder="1" applyAlignment="1">
      <alignment horizontal="right"/>
    </xf>
    <xf numFmtId="0" fontId="1" fillId="0" borderId="0" xfId="8" applyFill="1" applyBorder="1" applyAlignment="1">
      <alignment horizontal="left" wrapText="1"/>
    </xf>
    <xf numFmtId="1" fontId="4" fillId="0" borderId="8" xfId="8" applyNumberFormat="1" applyFont="1" applyFill="1" applyBorder="1" applyAlignment="1">
      <alignment horizontal="right"/>
    </xf>
    <xf numFmtId="4" fontId="5" fillId="0" borderId="14" xfId="8" applyNumberFormat="1" applyFont="1" applyFill="1" applyBorder="1" applyAlignment="1">
      <alignment horizontal="right"/>
    </xf>
    <xf numFmtId="37" fontId="5" fillId="0" borderId="13" xfId="6" applyFont="1" applyFill="1" applyBorder="1"/>
    <xf numFmtId="37" fontId="47" fillId="0" borderId="0" xfId="6" applyFont="1" applyFill="1"/>
    <xf numFmtId="37" fontId="47" fillId="0" borderId="13" xfId="6" applyFont="1" applyFill="1" applyBorder="1"/>
    <xf numFmtId="4" fontId="5" fillId="0" borderId="2" xfId="8" applyNumberFormat="1" applyFont="1" applyFill="1" applyBorder="1" applyAlignment="1">
      <alignment horizontal="right"/>
    </xf>
    <xf numFmtId="4" fontId="4" fillId="0" borderId="11" xfId="8" applyNumberFormat="1" applyFont="1" applyFill="1" applyBorder="1" applyAlignment="1">
      <alignment horizontal="right"/>
    </xf>
    <xf numFmtId="37" fontId="5" fillId="0" borderId="0" xfId="6" applyFont="1" applyFill="1" applyBorder="1" applyAlignment="1">
      <alignment horizontal="center" vertical="center"/>
    </xf>
    <xf numFmtId="37" fontId="5" fillId="0" borderId="0" xfId="6" applyFont="1" applyFill="1" applyBorder="1" applyAlignment="1">
      <alignment horizontal="right"/>
    </xf>
    <xf numFmtId="9" fontId="5" fillId="0" borderId="0" xfId="7" applyFont="1" applyFill="1"/>
    <xf numFmtId="9" fontId="5" fillId="0" borderId="0" xfId="7" applyFont="1" applyFill="1" applyAlignment="1">
      <alignment horizontal="center"/>
    </xf>
    <xf numFmtId="4" fontId="5" fillId="0" borderId="0" xfId="6" applyNumberFormat="1" applyFont="1" applyFill="1"/>
    <xf numFmtId="37" fontId="4" fillId="0" borderId="0" xfId="6" applyFont="1" applyFill="1"/>
    <xf numFmtId="4" fontId="5" fillId="0" borderId="0" xfId="6" applyNumberFormat="1" applyFont="1" applyFill="1" applyAlignment="1">
      <alignment horizontal="right"/>
    </xf>
    <xf numFmtId="4" fontId="5" fillId="0" borderId="0" xfId="8" applyNumberFormat="1" applyFont="1" applyFill="1"/>
    <xf numFmtId="0" fontId="1" fillId="0" borderId="0" xfId="8" applyFill="1"/>
    <xf numFmtId="39" fontId="5" fillId="0" borderId="0" xfId="6" applyNumberFormat="1" applyFont="1" applyFill="1"/>
    <xf numFmtId="39" fontId="5" fillId="0" borderId="0" xfId="6" applyNumberFormat="1" applyFont="1" applyFill="1" applyAlignment="1">
      <alignment horizontal="right"/>
    </xf>
    <xf numFmtId="165" fontId="27" fillId="0" borderId="0" xfId="8" applyNumberFormat="1" applyFont="1" applyFill="1"/>
    <xf numFmtId="165" fontId="27" fillId="0" borderId="0" xfId="2" applyFont="1" applyFill="1"/>
    <xf numFmtId="9" fontId="5" fillId="0" borderId="15" xfId="7" applyFont="1" applyFill="1" applyBorder="1"/>
    <xf numFmtId="9" fontId="5" fillId="0" borderId="47" xfId="7" applyFont="1" applyFill="1" applyBorder="1"/>
    <xf numFmtId="39" fontId="5" fillId="0" borderId="22" xfId="6" applyNumberFormat="1" applyFont="1" applyFill="1" applyBorder="1"/>
    <xf numFmtId="9" fontId="5" fillId="0" borderId="22" xfId="7" applyFont="1" applyFill="1" applyBorder="1"/>
    <xf numFmtId="9" fontId="5" fillId="0" borderId="14" xfId="7" applyFont="1" applyFill="1" applyBorder="1"/>
    <xf numFmtId="9" fontId="4" fillId="0" borderId="14" xfId="7" applyFont="1" applyFill="1" applyBorder="1" applyAlignment="1">
      <alignment horizontal="center" vertical="center" wrapText="1"/>
    </xf>
    <xf numFmtId="165" fontId="5" fillId="0" borderId="47" xfId="6" applyNumberFormat="1" applyFont="1" applyFill="1" applyBorder="1" applyAlignment="1">
      <alignment horizontal="right"/>
    </xf>
    <xf numFmtId="9" fontId="8" fillId="0" borderId="47" xfId="7" applyFont="1" applyFill="1" applyBorder="1" applyAlignment="1" applyProtection="1">
      <alignment horizontal="center"/>
      <protection locked="0"/>
    </xf>
    <xf numFmtId="4" fontId="47" fillId="0" borderId="15" xfId="2" applyNumberFormat="1" applyFont="1" applyFill="1" applyBorder="1" applyAlignment="1" applyProtection="1">
      <alignment horizontal="right"/>
      <protection locked="0"/>
    </xf>
    <xf numFmtId="2" fontId="1" fillId="0" borderId="26" xfId="8" applyNumberFormat="1" applyFont="1" applyFill="1" applyBorder="1"/>
    <xf numFmtId="4" fontId="9" fillId="0" borderId="19" xfId="8" applyNumberFormat="1" applyFont="1" applyFill="1" applyBorder="1" applyAlignment="1">
      <alignment horizontal="right" wrapText="1"/>
    </xf>
    <xf numFmtId="165" fontId="1" fillId="0" borderId="26" xfId="2" applyFont="1" applyFill="1" applyBorder="1"/>
    <xf numFmtId="4" fontId="9" fillId="0" borderId="47" xfId="2" applyNumberFormat="1" applyFont="1" applyFill="1" applyBorder="1" applyAlignment="1" applyProtection="1">
      <alignment horizontal="right"/>
      <protection locked="0"/>
    </xf>
    <xf numFmtId="2" fontId="1" fillId="0" borderId="26" xfId="8" applyNumberFormat="1" applyFill="1" applyBorder="1"/>
    <xf numFmtId="165" fontId="5" fillId="0" borderId="26" xfId="2" applyFont="1" applyFill="1" applyBorder="1"/>
    <xf numFmtId="165" fontId="0" fillId="0" borderId="26" xfId="2" applyFont="1" applyFill="1" applyBorder="1"/>
    <xf numFmtId="9" fontId="8" fillId="0" borderId="14" xfId="7" applyFont="1" applyFill="1" applyBorder="1" applyAlignment="1" applyProtection="1">
      <alignment horizontal="center"/>
      <protection locked="0"/>
    </xf>
    <xf numFmtId="165" fontId="5" fillId="0" borderId="14" xfId="2" applyFont="1" applyFill="1" applyBorder="1"/>
    <xf numFmtId="4" fontId="9" fillId="0" borderId="14" xfId="6" applyNumberFormat="1" applyFont="1" applyFill="1" applyBorder="1" applyAlignment="1">
      <alignment horizontal="right"/>
    </xf>
    <xf numFmtId="2" fontId="5" fillId="0" borderId="41" xfId="8" applyNumberFormat="1" applyFont="1" applyFill="1" applyBorder="1" applyAlignment="1">
      <alignment horizontal="right"/>
    </xf>
    <xf numFmtId="9" fontId="5" fillId="0" borderId="13" xfId="7" applyFont="1" applyFill="1" applyBorder="1"/>
    <xf numFmtId="9" fontId="5" fillId="0" borderId="3" xfId="7" applyFont="1" applyFill="1" applyBorder="1"/>
    <xf numFmtId="39" fontId="5" fillId="0" borderId="5" xfId="6" applyNumberFormat="1" applyFont="1" applyFill="1" applyBorder="1"/>
    <xf numFmtId="9" fontId="5" fillId="0" borderId="5" xfId="7" applyFont="1" applyFill="1" applyBorder="1"/>
    <xf numFmtId="9" fontId="5" fillId="0" borderId="1" xfId="7" applyFont="1" applyFill="1" applyBorder="1"/>
    <xf numFmtId="9" fontId="4" fillId="0" borderId="1" xfId="7" applyFont="1" applyFill="1" applyBorder="1" applyAlignment="1">
      <alignment horizontal="center" vertical="center" wrapText="1"/>
    </xf>
    <xf numFmtId="165" fontId="5" fillId="0" borderId="3" xfId="6" applyNumberFormat="1" applyFont="1" applyFill="1" applyBorder="1" applyAlignment="1">
      <alignment horizontal="right"/>
    </xf>
    <xf numFmtId="9" fontId="8" fillId="0" borderId="3" xfId="7" applyFont="1" applyFill="1" applyBorder="1" applyAlignment="1" applyProtection="1">
      <alignment horizontal="center"/>
      <protection locked="0"/>
    </xf>
    <xf numFmtId="4" fontId="47" fillId="0" borderId="13" xfId="2" applyNumberFormat="1" applyFont="1" applyFill="1" applyBorder="1" applyAlignment="1" applyProtection="1">
      <alignment horizontal="right"/>
      <protection locked="0"/>
    </xf>
    <xf numFmtId="4" fontId="9" fillId="0" borderId="7" xfId="8" applyNumberFormat="1" applyFont="1" applyFill="1" applyBorder="1" applyAlignment="1">
      <alignment horizontal="right" wrapText="1"/>
    </xf>
    <xf numFmtId="4" fontId="9" fillId="0" borderId="3" xfId="2" applyNumberFormat="1" applyFont="1" applyFill="1" applyBorder="1" applyAlignment="1" applyProtection="1">
      <alignment horizontal="right"/>
      <protection locked="0"/>
    </xf>
    <xf numFmtId="9" fontId="8" fillId="0" borderId="1" xfId="7" applyFont="1" applyFill="1" applyBorder="1" applyAlignment="1" applyProtection="1">
      <alignment horizontal="center"/>
      <protection locked="0"/>
    </xf>
    <xf numFmtId="0" fontId="1" fillId="0" borderId="1" xfId="8" applyFill="1" applyBorder="1"/>
    <xf numFmtId="4" fontId="9" fillId="0" borderId="1" xfId="6" applyNumberFormat="1" applyFont="1" applyFill="1" applyBorder="1" applyAlignment="1">
      <alignment horizontal="right"/>
    </xf>
    <xf numFmtId="4" fontId="5" fillId="0" borderId="1" xfId="6" applyNumberFormat="1" applyFont="1" applyFill="1" applyBorder="1"/>
    <xf numFmtId="4" fontId="5" fillId="0" borderId="1" xfId="8" applyNumberFormat="1" applyFont="1" applyFill="1" applyBorder="1"/>
    <xf numFmtId="4" fontId="5" fillId="0" borderId="1" xfId="6" applyNumberFormat="1" applyFont="1" applyFill="1" applyBorder="1" applyAlignment="1">
      <alignment horizontal="center" vertical="center" wrapText="1"/>
    </xf>
    <xf numFmtId="165" fontId="4" fillId="0" borderId="3" xfId="6" applyNumberFormat="1" applyFont="1" applyFill="1" applyBorder="1" applyAlignment="1">
      <alignment horizontal="right"/>
    </xf>
    <xf numFmtId="4" fontId="51" fillId="0" borderId="13" xfId="2" applyNumberFormat="1" applyFont="1" applyFill="1" applyBorder="1" applyAlignment="1" applyProtection="1">
      <alignment horizontal="right"/>
      <protection locked="0"/>
    </xf>
    <xf numFmtId="4" fontId="8" fillId="0" borderId="3" xfId="2" applyNumberFormat="1" applyFont="1" applyFill="1" applyBorder="1" applyAlignment="1" applyProtection="1">
      <alignment horizontal="right"/>
      <protection locked="0"/>
    </xf>
    <xf numFmtId="165" fontId="5" fillId="0" borderId="1" xfId="8" applyNumberFormat="1" applyFont="1" applyFill="1" applyBorder="1"/>
    <xf numFmtId="4" fontId="4" fillId="0" borderId="1" xfId="6" applyNumberFormat="1" applyFont="1" applyFill="1" applyBorder="1"/>
    <xf numFmtId="0" fontId="5" fillId="0" borderId="1" xfId="8" applyFont="1" applyFill="1" applyBorder="1"/>
    <xf numFmtId="165" fontId="4" fillId="0" borderId="1" xfId="8" applyNumberFormat="1" applyFont="1" applyFill="1" applyBorder="1"/>
    <xf numFmtId="4" fontId="4" fillId="0" borderId="1" xfId="6" applyNumberFormat="1" applyFont="1" applyFill="1" applyBorder="1" applyAlignment="1">
      <alignment horizontal="center" vertical="center" wrapText="1"/>
    </xf>
    <xf numFmtId="164" fontId="5" fillId="0" borderId="3" xfId="2" applyNumberFormat="1" applyFont="1" applyFill="1" applyBorder="1" applyAlignment="1">
      <alignment horizontal="left" wrapText="1"/>
    </xf>
    <xf numFmtId="4" fontId="4" fillId="0" borderId="1" xfId="6" applyNumberFormat="1" applyFont="1" applyFill="1" applyBorder="1" applyAlignment="1">
      <alignment horizontal="center"/>
    </xf>
    <xf numFmtId="4" fontId="5" fillId="0" borderId="1" xfId="6" applyNumberFormat="1" applyFont="1" applyFill="1" applyBorder="1" applyAlignment="1">
      <alignment horizontal="center"/>
    </xf>
    <xf numFmtId="39" fontId="5" fillId="0" borderId="1" xfId="6" applyNumberFormat="1" applyFont="1" applyFill="1" applyBorder="1"/>
    <xf numFmtId="172" fontId="5" fillId="0" borderId="1" xfId="6" applyNumberFormat="1" applyFont="1" applyFill="1" applyBorder="1"/>
    <xf numFmtId="165" fontId="5" fillId="0" borderId="3" xfId="2" applyFont="1" applyFill="1" applyBorder="1" applyAlignment="1">
      <alignment horizontal="left" wrapText="1"/>
    </xf>
    <xf numFmtId="0" fontId="5" fillId="0" borderId="0" xfId="8" applyFont="1" applyFill="1" applyBorder="1" applyAlignment="1">
      <alignment horizontal="left" wrapText="1"/>
    </xf>
    <xf numFmtId="164" fontId="8" fillId="0" borderId="5" xfId="2" applyNumberFormat="1" applyFont="1" applyFill="1" applyBorder="1"/>
    <xf numFmtId="165" fontId="4" fillId="0" borderId="0" xfId="2" applyFont="1" applyFill="1" applyBorder="1" applyAlignment="1">
      <alignment horizontal="left" wrapText="1"/>
    </xf>
    <xf numFmtId="165" fontId="5" fillId="0" borderId="3" xfId="2" applyFont="1" applyFill="1" applyBorder="1" applyAlignment="1">
      <alignment vertical="top" wrapText="1"/>
    </xf>
    <xf numFmtId="164" fontId="8" fillId="0" borderId="5" xfId="2" applyNumberFormat="1" applyFont="1" applyFill="1" applyBorder="1" applyAlignment="1" applyProtection="1">
      <alignment horizontal="right"/>
      <protection locked="0"/>
    </xf>
    <xf numFmtId="9" fontId="5" fillId="0" borderId="7" xfId="7" applyFont="1" applyFill="1" applyBorder="1"/>
    <xf numFmtId="37" fontId="5" fillId="0" borderId="3" xfId="6" applyFont="1" applyFill="1" applyBorder="1"/>
    <xf numFmtId="9" fontId="9" fillId="0" borderId="1" xfId="7" applyFont="1" applyFill="1" applyBorder="1" applyAlignment="1" applyProtection="1">
      <alignment horizontal="center"/>
      <protection locked="0"/>
    </xf>
    <xf numFmtId="1" fontId="8" fillId="0" borderId="8" xfId="8" applyNumberFormat="1" applyFont="1" applyFill="1" applyBorder="1" applyAlignment="1">
      <alignment horizontal="right"/>
    </xf>
    <xf numFmtId="0" fontId="9" fillId="0" borderId="0" xfId="8" applyFont="1" applyFill="1" applyBorder="1" applyAlignment="1">
      <alignment horizontal="left" wrapText="1"/>
    </xf>
    <xf numFmtId="2" fontId="9" fillId="0" borderId="8" xfId="8" applyNumberFormat="1" applyFont="1" applyFill="1" applyBorder="1" applyAlignment="1">
      <alignment horizontal="right"/>
    </xf>
    <xf numFmtId="9" fontId="5" fillId="0" borderId="16" xfId="7" applyFont="1" applyFill="1" applyBorder="1"/>
    <xf numFmtId="37" fontId="5" fillId="0" borderId="2" xfId="6" applyFont="1" applyFill="1" applyBorder="1"/>
    <xf numFmtId="9" fontId="5" fillId="0" borderId="46" xfId="7" applyFont="1" applyFill="1" applyBorder="1"/>
    <xf numFmtId="39" fontId="5" fillId="0" borderId="2" xfId="6" applyNumberFormat="1" applyFont="1" applyFill="1" applyBorder="1"/>
    <xf numFmtId="9" fontId="5" fillId="0" borderId="4" xfId="7" applyFont="1" applyFill="1" applyBorder="1"/>
    <xf numFmtId="9" fontId="5" fillId="0" borderId="2" xfId="7" applyFont="1" applyFill="1" applyBorder="1"/>
    <xf numFmtId="9" fontId="4" fillId="0" borderId="2" xfId="7" applyFont="1" applyFill="1" applyBorder="1" applyAlignment="1">
      <alignment horizontal="center" vertical="center" wrapText="1"/>
    </xf>
    <xf numFmtId="165" fontId="5" fillId="0" borderId="46" xfId="6" applyNumberFormat="1" applyFont="1" applyFill="1" applyBorder="1" applyAlignment="1">
      <alignment horizontal="right"/>
    </xf>
    <xf numFmtId="9" fontId="8" fillId="0" borderId="46" xfId="7" applyFont="1" applyFill="1" applyBorder="1" applyAlignment="1" applyProtection="1">
      <alignment horizontal="center"/>
      <protection locked="0"/>
    </xf>
    <xf numFmtId="4" fontId="47" fillId="0" borderId="16" xfId="2" applyNumberFormat="1" applyFont="1" applyFill="1" applyBorder="1" applyAlignment="1" applyProtection="1">
      <alignment horizontal="right"/>
      <protection locked="0"/>
    </xf>
    <xf numFmtId="4" fontId="9" fillId="0" borderId="4" xfId="2" applyNumberFormat="1" applyFont="1" applyFill="1" applyBorder="1" applyAlignment="1" applyProtection="1">
      <alignment horizontal="right"/>
      <protection locked="0"/>
    </xf>
    <xf numFmtId="4" fontId="9" fillId="0" borderId="23" xfId="8" applyNumberFormat="1" applyFont="1" applyFill="1" applyBorder="1" applyAlignment="1">
      <alignment horizontal="right" wrapText="1"/>
    </xf>
    <xf numFmtId="4" fontId="9" fillId="0" borderId="23" xfId="2" applyNumberFormat="1" applyFont="1" applyFill="1" applyBorder="1" applyAlignment="1" applyProtection="1">
      <alignment horizontal="right"/>
      <protection locked="0"/>
    </xf>
    <xf numFmtId="4" fontId="9" fillId="0" borderId="46" xfId="2" applyNumberFormat="1" applyFont="1" applyFill="1" applyBorder="1" applyAlignment="1" applyProtection="1">
      <alignment horizontal="right"/>
      <protection locked="0"/>
    </xf>
    <xf numFmtId="39" fontId="9" fillId="0" borderId="2" xfId="6" applyNumberFormat="1" applyFont="1" applyFill="1" applyBorder="1" applyAlignment="1" applyProtection="1">
      <alignment horizontal="right"/>
      <protection locked="0"/>
    </xf>
    <xf numFmtId="9" fontId="9" fillId="0" borderId="2" xfId="7" applyFont="1" applyFill="1" applyBorder="1" applyAlignment="1" applyProtection="1">
      <alignment horizontal="center"/>
      <protection locked="0"/>
    </xf>
    <xf numFmtId="4" fontId="9" fillId="0" borderId="2" xfId="6" applyNumberFormat="1" applyFont="1" applyFill="1" applyBorder="1" applyAlignment="1">
      <alignment horizontal="right"/>
    </xf>
    <xf numFmtId="4" fontId="9" fillId="0" borderId="2" xfId="6" applyNumberFormat="1" applyFont="1" applyFill="1" applyBorder="1" applyAlignment="1">
      <alignment horizontal="center" vertical="center" wrapText="1"/>
    </xf>
    <xf numFmtId="2" fontId="9" fillId="0" borderId="40" xfId="8" applyNumberFormat="1" applyFont="1" applyFill="1" applyBorder="1" applyAlignment="1">
      <alignment horizontal="right"/>
    </xf>
    <xf numFmtId="164" fontId="8" fillId="0" borderId="3" xfId="2" applyNumberFormat="1" applyFont="1" applyFill="1" applyBorder="1"/>
    <xf numFmtId="37" fontId="47" fillId="0" borderId="0" xfId="6" applyFont="1" applyFill="1" applyBorder="1"/>
    <xf numFmtId="39" fontId="47" fillId="0" borderId="1" xfId="6" applyNumberFormat="1" applyFont="1" applyFill="1" applyBorder="1"/>
    <xf numFmtId="39" fontId="47" fillId="0" borderId="5" xfId="6" applyNumberFormat="1" applyFont="1" applyFill="1" applyBorder="1"/>
    <xf numFmtId="39" fontId="9" fillId="0" borderId="3" xfId="6" applyNumberFormat="1" applyFont="1" applyFill="1" applyBorder="1"/>
    <xf numFmtId="4" fontId="47" fillId="0" borderId="1" xfId="6" applyNumberFormat="1" applyFont="1" applyFill="1" applyBorder="1"/>
    <xf numFmtId="4" fontId="47" fillId="0" borderId="5" xfId="6" applyNumberFormat="1" applyFont="1" applyFill="1" applyBorder="1"/>
    <xf numFmtId="4" fontId="9" fillId="0" borderId="3" xfId="6" applyNumberFormat="1" applyFont="1" applyFill="1" applyBorder="1"/>
    <xf numFmtId="4" fontId="51" fillId="0" borderId="1" xfId="2" applyNumberFormat="1" applyFont="1" applyFill="1" applyBorder="1" applyAlignment="1" applyProtection="1">
      <alignment horizontal="right"/>
      <protection locked="0"/>
    </xf>
    <xf numFmtId="4" fontId="51" fillId="0" borderId="5" xfId="2" applyNumberFormat="1" applyFont="1" applyFill="1" applyBorder="1" applyAlignment="1" applyProtection="1">
      <alignment horizontal="right"/>
      <protection locked="0"/>
    </xf>
    <xf numFmtId="4" fontId="51" fillId="0" borderId="7" xfId="2" applyNumberFormat="1" applyFont="1" applyFill="1" applyBorder="1" applyAlignment="1" applyProtection="1">
      <alignment horizontal="right"/>
      <protection locked="0"/>
    </xf>
    <xf numFmtId="2" fontId="8" fillId="0" borderId="8" xfId="8" applyNumberFormat="1" applyFont="1" applyFill="1" applyBorder="1" applyAlignment="1">
      <alignment horizontal="right"/>
    </xf>
    <xf numFmtId="39" fontId="51" fillId="0" borderId="7" xfId="6" applyNumberFormat="1" applyFont="1" applyFill="1" applyBorder="1"/>
    <xf numFmtId="4" fontId="47" fillId="0" borderId="1" xfId="2" applyNumberFormat="1" applyFont="1" applyFill="1" applyBorder="1" applyAlignment="1" applyProtection="1">
      <alignment horizontal="right"/>
      <protection locked="0"/>
    </xf>
    <xf numFmtId="4" fontId="47" fillId="0" borderId="5" xfId="2" applyNumberFormat="1" applyFont="1" applyFill="1" applyBorder="1" applyAlignment="1" applyProtection="1">
      <alignment horizontal="right"/>
      <protection locked="0"/>
    </xf>
    <xf numFmtId="0" fontId="11" fillId="0" borderId="5" xfId="8" applyFont="1" applyFill="1" applyBorder="1" applyAlignment="1">
      <alignment horizontal="left" wrapText="1"/>
    </xf>
    <xf numFmtId="4" fontId="6" fillId="0" borderId="3" xfId="6" applyNumberFormat="1" applyFont="1" applyFill="1" applyBorder="1"/>
    <xf numFmtId="4" fontId="6" fillId="0" borderId="14" xfId="6" applyNumberFormat="1" applyFont="1" applyFill="1" applyBorder="1"/>
    <xf numFmtId="4" fontId="6" fillId="0" borderId="22" xfId="6" applyNumberFormat="1" applyFont="1" applyFill="1" applyBorder="1"/>
    <xf numFmtId="164" fontId="6" fillId="0" borderId="14" xfId="2" applyNumberFormat="1" applyFont="1" applyFill="1" applyBorder="1" applyAlignment="1" applyProtection="1">
      <alignment horizontal="left"/>
      <protection locked="0"/>
    </xf>
    <xf numFmtId="165" fontId="47" fillId="0" borderId="14" xfId="2" applyFont="1" applyFill="1" applyBorder="1"/>
    <xf numFmtId="2" fontId="47" fillId="0" borderId="8" xfId="8" applyNumberFormat="1" applyFont="1" applyFill="1" applyBorder="1" applyAlignment="1">
      <alignment horizontal="right"/>
    </xf>
    <xf numFmtId="4" fontId="6" fillId="0" borderId="23" xfId="6" applyNumberFormat="1" applyFont="1" applyFill="1" applyBorder="1"/>
    <xf numFmtId="4" fontId="6" fillId="0" borderId="4" xfId="6" applyNumberFormat="1" applyFont="1" applyFill="1" applyBorder="1"/>
    <xf numFmtId="165" fontId="47" fillId="0" borderId="2" xfId="2" applyFont="1" applyFill="1" applyBorder="1"/>
    <xf numFmtId="165" fontId="47" fillId="0" borderId="1" xfId="2" applyFont="1" applyFill="1" applyBorder="1"/>
    <xf numFmtId="4" fontId="8" fillId="0" borderId="3" xfId="6" applyNumberFormat="1" applyFont="1" applyFill="1" applyBorder="1"/>
    <xf numFmtId="4" fontId="8" fillId="0" borderId="5" xfId="6" applyNumberFormat="1" applyFont="1" applyFill="1" applyBorder="1"/>
    <xf numFmtId="0" fontId="3" fillId="0" borderId="0" xfId="8" applyFont="1" applyFill="1" applyBorder="1" applyAlignment="1">
      <alignment horizontal="left" wrapText="1"/>
    </xf>
    <xf numFmtId="0" fontId="5" fillId="0" borderId="5" xfId="8" applyFont="1" applyFill="1" applyBorder="1" applyAlignment="1">
      <alignment horizontal="left" wrapText="1"/>
    </xf>
    <xf numFmtId="164" fontId="9" fillId="0" borderId="3" xfId="2" applyNumberFormat="1" applyFont="1" applyFill="1" applyBorder="1" applyAlignment="1" applyProtection="1">
      <alignment horizontal="right"/>
      <protection locked="0"/>
    </xf>
    <xf numFmtId="4" fontId="5" fillId="0" borderId="1" xfId="6" applyNumberFormat="1" applyFont="1" applyFill="1" applyBorder="1" applyAlignment="1">
      <alignment horizontal="right" vertical="center" wrapText="1"/>
    </xf>
    <xf numFmtId="37" fontId="5" fillId="0" borderId="8" xfId="6" applyFont="1" applyFill="1" applyBorder="1" applyAlignment="1">
      <alignment horizontal="right"/>
    </xf>
    <xf numFmtId="4" fontId="9" fillId="0" borderId="1" xfId="8" applyNumberFormat="1" applyFont="1" applyFill="1" applyBorder="1" applyAlignment="1">
      <alignment horizontal="right" wrapText="1"/>
    </xf>
    <xf numFmtId="4" fontId="9" fillId="0" borderId="5" xfId="8" applyNumberFormat="1" applyFont="1" applyFill="1" applyBorder="1" applyAlignment="1">
      <alignment horizontal="right" wrapText="1"/>
    </xf>
    <xf numFmtId="4" fontId="5" fillId="0" borderId="5" xfId="6" applyNumberFormat="1" applyFont="1" applyFill="1" applyBorder="1"/>
    <xf numFmtId="4" fontId="5" fillId="0" borderId="3" xfId="6" applyNumberFormat="1" applyFont="1" applyFill="1" applyBorder="1"/>
    <xf numFmtId="4" fontId="51" fillId="0" borderId="13" xfId="6" applyNumberFormat="1" applyFont="1" applyFill="1" applyBorder="1"/>
    <xf numFmtId="4" fontId="4" fillId="0" borderId="7" xfId="6" applyNumberFormat="1" applyFont="1" applyFill="1" applyBorder="1"/>
    <xf numFmtId="4" fontId="4" fillId="0" borderId="3" xfId="6" applyNumberFormat="1" applyFont="1" applyFill="1" applyBorder="1"/>
    <xf numFmtId="4" fontId="4" fillId="0" borderId="5" xfId="6" applyNumberFormat="1" applyFont="1" applyFill="1" applyBorder="1"/>
    <xf numFmtId="4" fontId="8" fillId="0" borderId="7" xfId="8" applyNumberFormat="1" applyFont="1" applyFill="1" applyBorder="1" applyAlignment="1">
      <alignment horizontal="right" wrapText="1"/>
    </xf>
    <xf numFmtId="4" fontId="8" fillId="0" borderId="3" xfId="8" applyNumberFormat="1" applyFont="1" applyFill="1" applyBorder="1" applyAlignment="1">
      <alignment horizontal="right" wrapText="1"/>
    </xf>
    <xf numFmtId="4" fontId="8" fillId="0" borderId="1" xfId="8" applyNumberFormat="1" applyFont="1" applyFill="1" applyBorder="1" applyAlignment="1">
      <alignment horizontal="right" wrapText="1"/>
    </xf>
    <xf numFmtId="4" fontId="8" fillId="0" borderId="5" xfId="8" applyNumberFormat="1" applyFont="1" applyFill="1" applyBorder="1" applyAlignment="1">
      <alignment horizontal="right" wrapText="1"/>
    </xf>
    <xf numFmtId="2" fontId="48" fillId="0" borderId="8" xfId="8" applyNumberFormat="1" applyFont="1" applyFill="1" applyBorder="1" applyAlignment="1">
      <alignment horizontal="right"/>
    </xf>
    <xf numFmtId="39" fontId="47" fillId="0" borderId="1" xfId="6" applyNumberFormat="1" applyFont="1" applyFill="1" applyBorder="1" applyAlignment="1">
      <alignment horizontal="right"/>
    </xf>
    <xf numFmtId="4" fontId="6" fillId="0" borderId="5" xfId="6" applyNumberFormat="1" applyFont="1" applyFill="1" applyBorder="1"/>
    <xf numFmtId="4" fontId="4" fillId="0" borderId="2" xfId="8" applyNumberFormat="1" applyFont="1" applyFill="1" applyBorder="1" applyAlignment="1">
      <alignment horizontal="right"/>
    </xf>
    <xf numFmtId="165" fontId="4" fillId="0" borderId="46" xfId="6" applyNumberFormat="1" applyFont="1" applyFill="1" applyBorder="1" applyAlignment="1">
      <alignment horizontal="right"/>
    </xf>
    <xf numFmtId="4" fontId="51" fillId="0" borderId="16" xfId="6" applyNumberFormat="1" applyFont="1" applyFill="1" applyBorder="1"/>
    <xf numFmtId="39" fontId="8" fillId="0" borderId="23" xfId="6" applyNumberFormat="1" applyFont="1" applyFill="1" applyBorder="1"/>
    <xf numFmtId="39" fontId="8" fillId="0" borderId="2" xfId="6" applyNumberFormat="1" applyFont="1" applyFill="1" applyBorder="1"/>
    <xf numFmtId="4" fontId="8" fillId="0" borderId="23" xfId="6" applyNumberFormat="1" applyFont="1" applyFill="1" applyBorder="1"/>
    <xf numFmtId="4" fontId="8" fillId="0" borderId="46" xfId="2" applyNumberFormat="1" applyFont="1" applyFill="1" applyBorder="1" applyAlignment="1" applyProtection="1">
      <alignment horizontal="right"/>
      <protection locked="0"/>
    </xf>
    <xf numFmtId="39" fontId="8" fillId="0" borderId="4" xfId="6" applyNumberFormat="1" applyFont="1" applyFill="1" applyBorder="1"/>
    <xf numFmtId="39" fontId="8" fillId="0" borderId="2" xfId="6" applyNumberFormat="1" applyFont="1" applyFill="1" applyBorder="1" applyAlignment="1" applyProtection="1">
      <alignment horizontal="right"/>
      <protection locked="0"/>
    </xf>
    <xf numFmtId="9" fontId="8" fillId="0" borderId="2" xfId="7" applyFont="1" applyFill="1" applyBorder="1" applyAlignment="1" applyProtection="1">
      <alignment horizontal="center"/>
      <protection locked="0"/>
    </xf>
    <xf numFmtId="4" fontId="8" fillId="0" borderId="2" xfId="6" applyNumberFormat="1" applyFont="1" applyFill="1" applyBorder="1" applyAlignment="1">
      <alignment horizontal="right"/>
    </xf>
    <xf numFmtId="4" fontId="4" fillId="0" borderId="2" xfId="6" applyNumberFormat="1" applyFont="1" applyFill="1" applyBorder="1"/>
    <xf numFmtId="4" fontId="4" fillId="0" borderId="2" xfId="6" applyNumberFormat="1" applyFont="1" applyFill="1" applyBorder="1" applyAlignment="1">
      <alignment horizontal="center" vertical="center" wrapText="1"/>
    </xf>
    <xf numFmtId="2" fontId="4" fillId="0" borderId="40" xfId="8" applyNumberFormat="1" applyFont="1" applyFill="1" applyBorder="1" applyAlignment="1">
      <alignment horizontal="right"/>
    </xf>
    <xf numFmtId="39" fontId="4" fillId="0" borderId="5" xfId="6" applyNumberFormat="1" applyFont="1" applyFill="1" applyBorder="1"/>
    <xf numFmtId="37" fontId="4" fillId="0" borderId="8" xfId="6" applyFont="1" applyFill="1" applyBorder="1" applyAlignment="1">
      <alignment horizontal="right"/>
    </xf>
    <xf numFmtId="2" fontId="5" fillId="0" borderId="17" xfId="8" applyNumberFormat="1" applyFont="1" applyFill="1" applyBorder="1" applyAlignment="1">
      <alignment horizontal="right"/>
    </xf>
    <xf numFmtId="37" fontId="17" fillId="0" borderId="5" xfId="6" applyFont="1" applyFill="1" applyBorder="1"/>
    <xf numFmtId="0" fontId="49" fillId="0" borderId="0" xfId="8" applyFont="1" applyFill="1" applyBorder="1" applyAlignment="1">
      <alignment horizontal="left" wrapText="1"/>
    </xf>
    <xf numFmtId="165" fontId="47" fillId="0" borderId="3" xfId="2" applyFont="1" applyFill="1" applyBorder="1" applyAlignment="1">
      <alignment horizontal="left" wrapText="1"/>
    </xf>
    <xf numFmtId="4" fontId="5" fillId="0" borderId="1" xfId="2" applyNumberFormat="1" applyFont="1" applyFill="1" applyBorder="1" applyAlignment="1" applyProtection="1">
      <alignment horizontal="right"/>
      <protection locked="0"/>
    </xf>
    <xf numFmtId="4" fontId="5" fillId="0" borderId="5" xfId="2" applyNumberFormat="1" applyFont="1" applyFill="1" applyBorder="1" applyAlignment="1" applyProtection="1">
      <alignment horizontal="right"/>
      <protection locked="0"/>
    </xf>
    <xf numFmtId="4" fontId="51" fillId="0" borderId="16" xfId="2" applyNumberFormat="1" applyFont="1" applyFill="1" applyBorder="1" applyAlignment="1" applyProtection="1">
      <alignment horizontal="right"/>
      <protection locked="0"/>
    </xf>
    <xf numFmtId="4" fontId="5" fillId="0" borderId="2" xfId="2" applyNumberFormat="1" applyFont="1" applyFill="1" applyBorder="1" applyAlignment="1" applyProtection="1">
      <alignment horizontal="right"/>
      <protection locked="0"/>
    </xf>
    <xf numFmtId="4" fontId="5" fillId="0" borderId="4" xfId="2" applyNumberFormat="1" applyFont="1" applyFill="1" applyBorder="1" applyAlignment="1" applyProtection="1">
      <alignment horizontal="right"/>
      <protection locked="0"/>
    </xf>
    <xf numFmtId="4" fontId="4" fillId="0" borderId="23" xfId="2" applyNumberFormat="1" applyFont="1" applyFill="1" applyBorder="1" applyAlignment="1" applyProtection="1">
      <alignment horizontal="right"/>
      <protection locked="0"/>
    </xf>
    <xf numFmtId="4" fontId="4" fillId="0" borderId="2" xfId="2" applyNumberFormat="1" applyFont="1" applyFill="1" applyBorder="1" applyAlignment="1" applyProtection="1">
      <alignment horizontal="right"/>
      <protection locked="0"/>
    </xf>
    <xf numFmtId="4" fontId="4" fillId="0" borderId="4" xfId="2" applyNumberFormat="1" applyFont="1" applyFill="1" applyBorder="1" applyAlignment="1" applyProtection="1">
      <alignment horizontal="right"/>
      <protection locked="0"/>
    </xf>
    <xf numFmtId="0" fontId="50" fillId="0" borderId="0" xfId="8" applyFont="1" applyFill="1" applyBorder="1" applyAlignment="1">
      <alignment horizontal="left" wrapText="1"/>
    </xf>
    <xf numFmtId="165" fontId="4" fillId="0" borderId="3" xfId="2" applyFont="1" applyFill="1" applyBorder="1" applyAlignment="1">
      <alignment horizontal="left" wrapText="1"/>
    </xf>
    <xf numFmtId="4" fontId="51" fillId="0" borderId="1" xfId="6" applyNumberFormat="1" applyFont="1" applyFill="1" applyBorder="1" applyAlignment="1">
      <alignment horizontal="center" vertical="center" wrapText="1"/>
    </xf>
    <xf numFmtId="164" fontId="47" fillId="0" borderId="1" xfId="2" applyNumberFormat="1" applyFont="1" applyFill="1" applyBorder="1" applyAlignment="1" applyProtection="1">
      <alignment horizontal="right"/>
      <protection locked="0"/>
    </xf>
    <xf numFmtId="168" fontId="5" fillId="0" borderId="8" xfId="6" applyNumberFormat="1" applyFont="1" applyFill="1" applyBorder="1" applyAlignment="1">
      <alignment horizontal="right"/>
    </xf>
    <xf numFmtId="39" fontId="47" fillId="0" borderId="8" xfId="6" applyNumberFormat="1" applyFont="1" applyFill="1" applyBorder="1" applyAlignment="1">
      <alignment horizontal="right"/>
    </xf>
    <xf numFmtId="165" fontId="52" fillId="0" borderId="1" xfId="2" applyFont="1" applyFill="1" applyBorder="1" applyAlignment="1" applyProtection="1">
      <alignment horizontal="left"/>
      <protection locked="0"/>
    </xf>
    <xf numFmtId="165" fontId="52" fillId="0" borderId="1" xfId="2" applyFont="1" applyFill="1" applyBorder="1"/>
    <xf numFmtId="39" fontId="5" fillId="0" borderId="21" xfId="6" applyNumberFormat="1" applyFont="1" applyFill="1" applyBorder="1"/>
    <xf numFmtId="39" fontId="9" fillId="0" borderId="4" xfId="6" applyNumberFormat="1" applyFont="1" applyFill="1" applyBorder="1" applyAlignment="1" applyProtection="1">
      <alignment horizontal="right"/>
      <protection locked="0"/>
    </xf>
    <xf numFmtId="4" fontId="5" fillId="0" borderId="2" xfId="6" applyNumberFormat="1" applyFont="1" applyFill="1" applyBorder="1" applyAlignment="1">
      <alignment horizontal="center" vertical="center" wrapText="1"/>
    </xf>
    <xf numFmtId="39" fontId="9" fillId="0" borderId="40" xfId="6" applyNumberFormat="1" applyFont="1" applyFill="1" applyBorder="1" applyAlignment="1" applyProtection="1">
      <alignment horizontal="right"/>
      <protection locked="0"/>
    </xf>
    <xf numFmtId="39" fontId="47" fillId="0" borderId="1" xfId="6" applyNumberFormat="1" applyFont="1" applyFill="1" applyBorder="1" applyAlignment="1" applyProtection="1">
      <alignment horizontal="right"/>
      <protection locked="0"/>
    </xf>
    <xf numFmtId="165" fontId="5" fillId="0" borderId="3" xfId="2" applyFont="1" applyFill="1" applyBorder="1" applyAlignment="1">
      <alignment horizontal="left" vertical="center" wrapText="1"/>
    </xf>
    <xf numFmtId="164" fontId="8" fillId="0" borderId="59" xfId="2" applyNumberFormat="1" applyFont="1" applyFill="1" applyBorder="1" applyAlignment="1" applyProtection="1">
      <alignment vertical="center"/>
      <protection locked="0"/>
    </xf>
    <xf numFmtId="164" fontId="8" fillId="0" borderId="23" xfId="2" applyNumberFormat="1" applyFont="1" applyFill="1" applyBorder="1" applyAlignment="1" applyProtection="1">
      <alignment vertical="center"/>
      <protection locked="0"/>
    </xf>
    <xf numFmtId="37" fontId="8" fillId="0" borderId="23" xfId="6" applyFont="1" applyFill="1" applyBorder="1"/>
    <xf numFmtId="164" fontId="8" fillId="0" borderId="4" xfId="2" applyNumberFormat="1" applyFont="1" applyFill="1" applyBorder="1" applyAlignment="1" applyProtection="1">
      <alignment horizontal="left"/>
      <protection locked="0"/>
    </xf>
    <xf numFmtId="0" fontId="5" fillId="0" borderId="31" xfId="8" applyFont="1" applyFill="1" applyBorder="1" applyAlignment="1">
      <alignment horizontal="left" wrapText="1"/>
    </xf>
    <xf numFmtId="165" fontId="5" fillId="0" borderId="46" xfId="2" applyFont="1" applyFill="1" applyBorder="1" applyAlignment="1">
      <alignment horizontal="left" vertical="center" wrapText="1"/>
    </xf>
    <xf numFmtId="165" fontId="9" fillId="0" borderId="40" xfId="2" applyFont="1" applyFill="1" applyBorder="1" applyAlignment="1">
      <alignment horizontal="right" vertical="center"/>
    </xf>
    <xf numFmtId="0" fontId="8" fillId="0" borderId="8" xfId="8" applyFont="1" applyFill="1" applyBorder="1" applyAlignment="1">
      <alignment horizontal="right" vertical="top"/>
    </xf>
    <xf numFmtId="0" fontId="9" fillId="0" borderId="8" xfId="8" applyFont="1" applyFill="1" applyBorder="1" applyAlignment="1">
      <alignment horizontal="right"/>
    </xf>
    <xf numFmtId="0" fontId="8" fillId="0" borderId="8" xfId="8" applyFont="1" applyFill="1" applyBorder="1" applyAlignment="1">
      <alignment horizontal="right"/>
    </xf>
    <xf numFmtId="39" fontId="48" fillId="0" borderId="5" xfId="6" applyNumberFormat="1" applyFont="1" applyFill="1" applyBorder="1"/>
    <xf numFmtId="165" fontId="53" fillId="0" borderId="1" xfId="2" quotePrefix="1" applyFont="1" applyFill="1" applyBorder="1" applyAlignment="1" applyProtection="1">
      <alignment horizontal="left"/>
      <protection locked="0"/>
    </xf>
    <xf numFmtId="165" fontId="5" fillId="0" borderId="8" xfId="2" applyFont="1" applyFill="1" applyBorder="1" applyAlignment="1">
      <alignment horizontal="right"/>
    </xf>
    <xf numFmtId="4" fontId="47" fillId="0" borderId="0" xfId="2" applyNumberFormat="1" applyFont="1" applyFill="1" applyBorder="1" applyAlignment="1" applyProtection="1">
      <alignment horizontal="right"/>
      <protection locked="0"/>
    </xf>
    <xf numFmtId="39" fontId="48" fillId="0" borderId="5" xfId="6" applyNumberFormat="1" applyFont="1" applyFill="1" applyBorder="1" applyAlignment="1" applyProtection="1">
      <alignment horizontal="right"/>
      <protection locked="0"/>
    </xf>
    <xf numFmtId="164" fontId="51" fillId="0" borderId="0" xfId="2" applyNumberFormat="1" applyFont="1" applyFill="1" applyBorder="1" applyAlignment="1" applyProtection="1">
      <alignment horizontal="left"/>
      <protection locked="0"/>
    </xf>
    <xf numFmtId="165" fontId="8" fillId="0" borderId="8" xfId="2" applyFont="1" applyFill="1" applyBorder="1" applyAlignment="1" applyProtection="1">
      <alignment horizontal="right"/>
      <protection locked="0"/>
    </xf>
    <xf numFmtId="165" fontId="5" fillId="0" borderId="17" xfId="2" applyFont="1" applyFill="1" applyBorder="1" applyAlignment="1">
      <alignment horizontal="right"/>
    </xf>
    <xf numFmtId="4" fontId="51" fillId="0" borderId="0" xfId="2" applyNumberFormat="1" applyFont="1" applyFill="1" applyBorder="1" applyAlignment="1" applyProtection="1">
      <alignment horizontal="right"/>
      <protection locked="0"/>
    </xf>
    <xf numFmtId="37" fontId="4" fillId="0" borderId="7" xfId="6" applyFont="1" applyFill="1" applyBorder="1"/>
    <xf numFmtId="0" fontId="5" fillId="0" borderId="1" xfId="6" applyNumberFormat="1" applyFont="1" applyFill="1" applyBorder="1"/>
    <xf numFmtId="4" fontId="27" fillId="0" borderId="13" xfId="6" applyNumberFormat="1" applyFont="1" applyFill="1" applyBorder="1"/>
    <xf numFmtId="4" fontId="1" fillId="0" borderId="1" xfId="6" applyNumberFormat="1" applyFont="1" applyFill="1" applyBorder="1"/>
    <xf numFmtId="4" fontId="1" fillId="0" borderId="5" xfId="6" applyNumberFormat="1" applyFont="1" applyFill="1" applyBorder="1"/>
    <xf numFmtId="4" fontId="22" fillId="0" borderId="7" xfId="6" applyNumberFormat="1" applyFont="1" applyFill="1" applyBorder="1"/>
    <xf numFmtId="4" fontId="15" fillId="0" borderId="7" xfId="6" applyNumberFormat="1" applyFont="1" applyFill="1" applyBorder="1"/>
    <xf numFmtId="37" fontId="17" fillId="0" borderId="1" xfId="6" applyFont="1" applyFill="1" applyBorder="1" applyAlignment="1">
      <alignment horizontal="right"/>
    </xf>
    <xf numFmtId="9" fontId="6" fillId="0" borderId="1" xfId="7" applyFont="1" applyFill="1" applyBorder="1" applyAlignment="1" applyProtection="1">
      <alignment horizontal="center"/>
      <protection locked="0"/>
    </xf>
    <xf numFmtId="37" fontId="17" fillId="0" borderId="1" xfId="6" applyFont="1" applyFill="1" applyBorder="1"/>
    <xf numFmtId="4" fontId="7" fillId="0" borderId="1" xfId="8" applyNumberFormat="1" applyFont="1" applyFill="1" applyBorder="1"/>
    <xf numFmtId="37" fontId="5" fillId="0" borderId="17" xfId="6" applyFont="1" applyFill="1" applyBorder="1"/>
    <xf numFmtId="39" fontId="5" fillId="0" borderId="0" xfId="6" applyNumberFormat="1" applyFont="1" applyFill="1" applyBorder="1"/>
    <xf numFmtId="4" fontId="38" fillId="0" borderId="1" xfId="8" applyNumberFormat="1" applyFont="1" applyFill="1" applyBorder="1" applyAlignment="1">
      <alignment horizontal="right"/>
    </xf>
    <xf numFmtId="164" fontId="6" fillId="0" borderId="7" xfId="2" applyNumberFormat="1" applyFont="1" applyFill="1" applyBorder="1" applyAlignment="1" applyProtection="1">
      <alignment horizontal="right"/>
      <protection locked="0"/>
    </xf>
    <xf numFmtId="164" fontId="54" fillId="0" borderId="13" xfId="2" applyNumberFormat="1" applyFont="1" applyFill="1" applyBorder="1" applyAlignment="1" applyProtection="1">
      <alignment horizontal="left"/>
      <protection locked="0"/>
    </xf>
    <xf numFmtId="164" fontId="34" fillId="0" borderId="1" xfId="2" applyNumberFormat="1" applyFont="1" applyFill="1" applyBorder="1" applyAlignment="1" applyProtection="1">
      <alignment horizontal="left"/>
      <protection locked="0"/>
    </xf>
    <xf numFmtId="164" fontId="34" fillId="0" borderId="5" xfId="2" applyNumberFormat="1" applyFont="1" applyFill="1" applyBorder="1" applyAlignment="1" applyProtection="1">
      <alignment horizontal="left"/>
      <protection locked="0"/>
    </xf>
    <xf numFmtId="164" fontId="6" fillId="0" borderId="3" xfId="2" applyNumberFormat="1" applyFont="1" applyFill="1" applyBorder="1" applyAlignment="1" applyProtection="1">
      <alignment horizontal="right"/>
      <protection locked="0"/>
    </xf>
    <xf numFmtId="164" fontId="6" fillId="0" borderId="3" xfId="2" applyNumberFormat="1" applyFont="1" applyFill="1" applyBorder="1" applyAlignment="1" applyProtection="1">
      <alignment horizontal="left"/>
      <protection locked="0"/>
    </xf>
    <xf numFmtId="165" fontId="6" fillId="0" borderId="1" xfId="2" applyFont="1" applyFill="1" applyBorder="1" applyAlignment="1" applyProtection="1">
      <alignment horizontal="right"/>
      <protection locked="0"/>
    </xf>
    <xf numFmtId="37" fontId="4" fillId="0" borderId="1" xfId="6" applyFont="1" applyFill="1" applyBorder="1"/>
    <xf numFmtId="165" fontId="5" fillId="0" borderId="3" xfId="2" applyFont="1" applyFill="1" applyBorder="1" applyAlignment="1">
      <alignment horizontal="right"/>
    </xf>
    <xf numFmtId="9" fontId="16" fillId="0" borderId="3" xfId="7" applyFont="1" applyFill="1" applyBorder="1" applyAlignment="1" applyProtection="1">
      <alignment horizontal="center"/>
      <protection locked="0"/>
    </xf>
    <xf numFmtId="39" fontId="48" fillId="0" borderId="1" xfId="6" applyNumberFormat="1" applyFont="1" applyFill="1" applyBorder="1" applyAlignment="1" applyProtection="1">
      <alignment horizontal="center"/>
      <protection locked="0"/>
    </xf>
    <xf numFmtId="39" fontId="48" fillId="0" borderId="5" xfId="6" applyNumberFormat="1" applyFont="1" applyFill="1" applyBorder="1" applyAlignment="1" applyProtection="1">
      <alignment horizontal="center"/>
      <protection locked="0"/>
    </xf>
    <xf numFmtId="39" fontId="16" fillId="0" borderId="7" xfId="6" applyNumberFormat="1" applyFont="1" applyFill="1" applyBorder="1" applyAlignment="1" applyProtection="1">
      <alignment horizontal="center"/>
      <protection locked="0"/>
    </xf>
    <xf numFmtId="39" fontId="48" fillId="0" borderId="3" xfId="6" applyNumberFormat="1" applyFont="1" applyFill="1" applyBorder="1" applyAlignment="1" applyProtection="1">
      <alignment horizontal="right"/>
      <protection locked="0"/>
    </xf>
    <xf numFmtId="39" fontId="16" fillId="0" borderId="3" xfId="6" applyNumberFormat="1" applyFont="1" applyFill="1" applyBorder="1" applyAlignment="1" applyProtection="1">
      <alignment horizontal="center"/>
      <protection locked="0"/>
    </xf>
    <xf numFmtId="39" fontId="16" fillId="0" borderId="1" xfId="6" applyNumberFormat="1" applyFont="1" applyFill="1" applyBorder="1" applyAlignment="1" applyProtection="1">
      <alignment horizontal="center"/>
      <protection locked="0"/>
    </xf>
    <xf numFmtId="39" fontId="16" fillId="0" borderId="5" xfId="6" applyNumberFormat="1" applyFont="1" applyFill="1" applyBorder="1" applyAlignment="1" applyProtection="1">
      <alignment horizontal="center"/>
      <protection locked="0"/>
    </xf>
    <xf numFmtId="9" fontId="4" fillId="0" borderId="1" xfId="7" applyFont="1" applyFill="1" applyBorder="1" applyAlignment="1">
      <alignment horizontal="center"/>
    </xf>
    <xf numFmtId="4" fontId="4" fillId="0" borderId="1" xfId="6" applyNumberFormat="1" applyFont="1" applyFill="1" applyBorder="1" applyAlignment="1">
      <alignment horizontal="right"/>
    </xf>
    <xf numFmtId="37" fontId="5" fillId="0" borderId="1" xfId="6" applyFont="1" applyFill="1" applyBorder="1" applyAlignment="1">
      <alignment horizontal="center"/>
    </xf>
    <xf numFmtId="4" fontId="41" fillId="0" borderId="1" xfId="8" applyNumberFormat="1" applyFont="1" applyFill="1" applyBorder="1" applyAlignment="1">
      <alignment horizontal="right"/>
    </xf>
    <xf numFmtId="37" fontId="5" fillId="0" borderId="0" xfId="6" applyFont="1" applyFill="1" applyBorder="1" applyAlignment="1">
      <alignment horizontal="center" vertical="center" wrapText="1"/>
    </xf>
    <xf numFmtId="37" fontId="5" fillId="0" borderId="3" xfId="6" applyFont="1" applyFill="1" applyBorder="1" applyAlignment="1">
      <alignment horizontal="right" vertical="center" wrapText="1"/>
    </xf>
    <xf numFmtId="164" fontId="5" fillId="0" borderId="17" xfId="8" applyNumberFormat="1" applyFont="1" applyFill="1" applyBorder="1" applyAlignment="1">
      <alignment horizontal="center" vertical="center" wrapText="1"/>
    </xf>
    <xf numFmtId="9" fontId="5" fillId="0" borderId="12" xfId="7" applyFont="1" applyFill="1" applyBorder="1"/>
    <xf numFmtId="37" fontId="4" fillId="0" borderId="11" xfId="6" applyFont="1" applyFill="1" applyBorder="1"/>
    <xf numFmtId="9" fontId="5" fillId="0" borderId="11" xfId="7" applyFont="1" applyFill="1" applyBorder="1"/>
    <xf numFmtId="9" fontId="5" fillId="0" borderId="30" xfId="7" applyFont="1" applyFill="1" applyBorder="1"/>
    <xf numFmtId="9" fontId="5" fillId="0" borderId="11" xfId="6" applyNumberFormat="1" applyFont="1" applyFill="1" applyBorder="1" applyAlignment="1">
      <alignment vertical="center" wrapText="1"/>
    </xf>
    <xf numFmtId="9" fontId="4" fillId="0" borderId="11" xfId="7" applyFont="1" applyFill="1" applyBorder="1" applyAlignment="1">
      <alignment horizontal="center" vertical="center" wrapText="1"/>
    </xf>
    <xf numFmtId="4" fontId="8" fillId="0" borderId="24" xfId="6" applyNumberFormat="1" applyFont="1" applyFill="1" applyBorder="1" applyAlignment="1">
      <alignment horizontal="right" vertical="center" wrapText="1"/>
    </xf>
    <xf numFmtId="9" fontId="4" fillId="0" borderId="36" xfId="7" applyFont="1" applyFill="1" applyBorder="1" applyAlignment="1">
      <alignment horizontal="center" vertical="center" wrapText="1"/>
    </xf>
    <xf numFmtId="4" fontId="51" fillId="0" borderId="12" xfId="6" applyNumberFormat="1" applyFont="1" applyFill="1" applyBorder="1" applyAlignment="1">
      <alignment horizontal="center" vertical="center" wrapText="1"/>
    </xf>
    <xf numFmtId="4" fontId="5" fillId="0" borderId="11" xfId="6" applyNumberFormat="1" applyFont="1" applyFill="1" applyBorder="1" applyAlignment="1">
      <alignment horizontal="center" vertical="center" wrapText="1"/>
    </xf>
    <xf numFmtId="4" fontId="5" fillId="0" borderId="30" xfId="6" applyNumberFormat="1" applyFont="1" applyFill="1" applyBorder="1" applyAlignment="1">
      <alignment horizontal="center" vertical="center" wrapText="1"/>
    </xf>
    <xf numFmtId="4" fontId="4" fillId="0" borderId="24" xfId="6" applyNumberFormat="1" applyFont="1" applyFill="1" applyBorder="1" applyAlignment="1">
      <alignment horizontal="center" vertical="center" wrapText="1"/>
    </xf>
    <xf numFmtId="39" fontId="8" fillId="0" borderId="11" xfId="6" applyNumberFormat="1" applyFont="1" applyFill="1" applyBorder="1" applyAlignment="1">
      <alignment horizontal="right" vertical="center" wrapText="1"/>
    </xf>
    <xf numFmtId="4" fontId="4" fillId="0" borderId="11" xfId="6" applyNumberFormat="1" applyFont="1" applyFill="1" applyBorder="1" applyAlignment="1">
      <alignment horizontal="center" vertical="center" wrapText="1"/>
    </xf>
    <xf numFmtId="4" fontId="4" fillId="0" borderId="30" xfId="6" applyNumberFormat="1" applyFont="1" applyFill="1" applyBorder="1" applyAlignment="1">
      <alignment horizontal="center" vertical="center" wrapText="1"/>
    </xf>
    <xf numFmtId="4" fontId="4" fillId="0" borderId="11" xfId="6" applyNumberFormat="1" applyFont="1" applyFill="1" applyBorder="1" applyAlignment="1">
      <alignment horizontal="right" vertical="center" wrapText="1"/>
    </xf>
    <xf numFmtId="4" fontId="4" fillId="0" borderId="11" xfId="8" applyNumberFormat="1" applyFont="1" applyFill="1" applyBorder="1" applyAlignment="1">
      <alignment horizontal="center"/>
    </xf>
    <xf numFmtId="37" fontId="5" fillId="0" borderId="52" xfId="6" applyFont="1" applyFill="1" applyBorder="1" applyAlignment="1">
      <alignment horizontal="center" vertical="center" wrapText="1"/>
    </xf>
    <xf numFmtId="37" fontId="5" fillId="0" borderId="3" xfId="6" applyFont="1" applyFill="1" applyBorder="1" applyAlignment="1">
      <alignment horizontal="center" vertical="center"/>
    </xf>
    <xf numFmtId="9" fontId="5" fillId="0" borderId="0" xfId="7" applyFont="1" applyFill="1" applyBorder="1"/>
    <xf numFmtId="9" fontId="5" fillId="0" borderId="0" xfId="7" applyFont="1" applyFill="1" applyBorder="1" applyAlignment="1">
      <alignment horizontal="center"/>
    </xf>
    <xf numFmtId="4" fontId="5" fillId="0" borderId="0" xfId="6" applyNumberFormat="1" applyFont="1" applyFill="1" applyBorder="1"/>
    <xf numFmtId="37" fontId="4" fillId="0" borderId="0" xfId="6" applyFont="1" applyFill="1" applyBorder="1"/>
    <xf numFmtId="37" fontId="4" fillId="0" borderId="0" xfId="6" applyFont="1" applyFill="1" applyBorder="1" applyAlignment="1">
      <alignment horizontal="right"/>
    </xf>
    <xf numFmtId="9" fontId="4" fillId="0" borderId="0" xfId="7" applyFont="1" applyFill="1" applyBorder="1" applyAlignment="1">
      <alignment horizontal="center"/>
    </xf>
    <xf numFmtId="37" fontId="4" fillId="0" borderId="0" xfId="6" applyFont="1" applyFill="1" applyBorder="1" applyAlignment="1">
      <alignment horizontal="center"/>
    </xf>
    <xf numFmtId="40" fontId="11" fillId="0" borderId="0" xfId="8" applyNumberFormat="1" applyFont="1" applyFill="1" applyBorder="1" applyAlignment="1" applyProtection="1">
      <alignment horizontal="center"/>
      <protection locked="0"/>
    </xf>
    <xf numFmtId="38" fontId="11" fillId="0" borderId="0" xfId="8" applyNumberFormat="1" applyFont="1" applyFill="1" applyBorder="1" applyAlignment="1" applyProtection="1">
      <alignment horizontal="center"/>
      <protection locked="0"/>
    </xf>
    <xf numFmtId="166" fontId="11" fillId="0" borderId="0" xfId="8" applyNumberFormat="1" applyFont="1" applyFill="1" applyBorder="1" applyAlignment="1" applyProtection="1">
      <alignment horizontal="center"/>
      <protection locked="0"/>
    </xf>
    <xf numFmtId="37" fontId="5" fillId="0" borderId="0" xfId="6" applyFont="1" applyFill="1" applyBorder="1" applyAlignment="1">
      <alignment horizontal="center"/>
    </xf>
    <xf numFmtId="9" fontId="9" fillId="0" borderId="0" xfId="7" applyFont="1" applyFill="1" applyAlignment="1">
      <alignment horizontal="center"/>
    </xf>
    <xf numFmtId="166" fontId="8" fillId="0" borderId="0" xfId="6" applyNumberFormat="1" applyFont="1" applyFill="1" applyBorder="1" applyAlignment="1" applyProtection="1">
      <alignment horizontal="center" vertical="top" wrapText="1"/>
      <protection locked="0"/>
    </xf>
    <xf numFmtId="165" fontId="27" fillId="0" borderId="35" xfId="2" applyFont="1" applyFill="1" applyBorder="1"/>
    <xf numFmtId="9" fontId="1" fillId="0" borderId="1" xfId="6" applyNumberFormat="1" applyFont="1" applyFill="1" applyBorder="1"/>
    <xf numFmtId="9" fontId="1" fillId="0" borderId="0" xfId="7" applyFont="1" applyAlignment="1">
      <alignment horizontal="center"/>
    </xf>
    <xf numFmtId="37" fontId="1" fillId="0" borderId="15" xfId="6" applyFont="1" applyBorder="1"/>
    <xf numFmtId="37" fontId="1" fillId="0" borderId="26" xfId="6" applyFont="1" applyBorder="1"/>
    <xf numFmtId="9" fontId="1" fillId="0" borderId="26" xfId="7" applyFont="1" applyBorder="1" applyAlignment="1">
      <alignment horizontal="center"/>
    </xf>
    <xf numFmtId="37" fontId="1" fillId="0" borderId="18" xfId="6" applyFont="1" applyBorder="1"/>
    <xf numFmtId="37" fontId="1" fillId="0" borderId="13" xfId="6" applyFont="1" applyBorder="1"/>
    <xf numFmtId="9" fontId="1" fillId="0" borderId="0" xfId="7" applyFont="1" applyBorder="1" applyAlignment="1">
      <alignment horizontal="center"/>
    </xf>
    <xf numFmtId="37" fontId="44" fillId="0" borderId="17" xfId="6" applyFont="1" applyBorder="1"/>
    <xf numFmtId="9" fontId="1" fillId="0" borderId="19" xfId="7" applyFont="1" applyFill="1" applyBorder="1" applyAlignment="1">
      <alignment horizontal="center"/>
    </xf>
    <xf numFmtId="9" fontId="1" fillId="0" borderId="47" xfId="7" applyFont="1" applyFill="1" applyBorder="1" applyAlignment="1">
      <alignment horizontal="center"/>
    </xf>
    <xf numFmtId="9" fontId="22" fillId="0" borderId="7" xfId="7" applyFont="1" applyFill="1" applyBorder="1" applyAlignment="1">
      <alignment horizontal="center"/>
    </xf>
    <xf numFmtId="9" fontId="1" fillId="0" borderId="1" xfId="7" applyFont="1" applyFill="1" applyBorder="1" applyAlignment="1">
      <alignment horizontal="center"/>
    </xf>
    <xf numFmtId="9" fontId="1" fillId="0" borderId="7" xfId="7" applyFont="1" applyFill="1" applyBorder="1" applyAlignment="1">
      <alignment horizontal="center"/>
    </xf>
    <xf numFmtId="9" fontId="1" fillId="0" borderId="7" xfId="7" quotePrefix="1" applyFont="1" applyFill="1" applyBorder="1" applyAlignment="1">
      <alignment horizontal="center"/>
    </xf>
    <xf numFmtId="9" fontId="1" fillId="0" borderId="1" xfId="7" quotePrefix="1" applyFont="1" applyFill="1" applyBorder="1" applyAlignment="1">
      <alignment horizontal="center"/>
    </xf>
    <xf numFmtId="165" fontId="1" fillId="0" borderId="1" xfId="2" applyFont="1" applyFill="1" applyBorder="1" applyAlignment="1">
      <alignment horizontal="center"/>
    </xf>
    <xf numFmtId="164" fontId="1" fillId="4" borderId="1" xfId="2" applyNumberFormat="1" applyFont="1" applyFill="1" applyBorder="1"/>
    <xf numFmtId="39" fontId="1" fillId="0" borderId="0" xfId="6" applyNumberFormat="1" applyFont="1"/>
    <xf numFmtId="164" fontId="1" fillId="0" borderId="1" xfId="7" applyNumberFormat="1" applyFont="1" applyFill="1" applyBorder="1" applyAlignment="1">
      <alignment horizontal="center"/>
    </xf>
    <xf numFmtId="9" fontId="1" fillId="0" borderId="3" xfId="7" applyFont="1" applyFill="1" applyBorder="1" applyAlignment="1">
      <alignment horizontal="center"/>
    </xf>
    <xf numFmtId="9" fontId="22" fillId="0" borderId="3" xfId="7" applyFont="1" applyFill="1" applyBorder="1" applyAlignment="1">
      <alignment horizontal="center"/>
    </xf>
    <xf numFmtId="9" fontId="14" fillId="0" borderId="24" xfId="7" applyFont="1" applyFill="1" applyBorder="1" applyAlignment="1">
      <alignment horizontal="center"/>
    </xf>
    <xf numFmtId="9" fontId="14" fillId="0" borderId="36" xfId="7" applyFont="1" applyFill="1" applyBorder="1" applyAlignment="1">
      <alignment horizontal="center"/>
    </xf>
    <xf numFmtId="0" fontId="1" fillId="0" borderId="17" xfId="8" applyFont="1" applyBorder="1" applyAlignment="1">
      <alignment horizontal="right"/>
    </xf>
    <xf numFmtId="0" fontId="25" fillId="0" borderId="17" xfId="8" applyFont="1" applyBorder="1" applyAlignment="1">
      <alignment horizontal="right"/>
    </xf>
    <xf numFmtId="0" fontId="1" fillId="0" borderId="0" xfId="8" applyFont="1"/>
    <xf numFmtId="0" fontId="1" fillId="0" borderId="0" xfId="8"/>
    <xf numFmtId="0" fontId="1" fillId="0" borderId="0" xfId="8" applyAlignment="1">
      <alignment horizontal="right"/>
    </xf>
    <xf numFmtId="164" fontId="1" fillId="0" borderId="0" xfId="8" applyNumberFormat="1" applyAlignment="1">
      <alignment horizontal="center"/>
    </xf>
    <xf numFmtId="164" fontId="22" fillId="0" borderId="15" xfId="8" applyNumberFormat="1" applyFont="1" applyBorder="1" applyAlignment="1">
      <alignment horizontal="center"/>
    </xf>
    <xf numFmtId="0" fontId="25" fillId="0" borderId="14" xfId="8" applyFont="1" applyBorder="1"/>
    <xf numFmtId="0" fontId="25" fillId="0" borderId="18" xfId="8" applyFont="1" applyBorder="1" applyAlignment="1">
      <alignment horizontal="right"/>
    </xf>
    <xf numFmtId="164" fontId="1" fillId="0" borderId="13" xfId="8" applyNumberFormat="1" applyBorder="1" applyAlignment="1">
      <alignment horizontal="center"/>
    </xf>
    <xf numFmtId="0" fontId="1" fillId="0" borderId="1" xfId="8" applyBorder="1"/>
    <xf numFmtId="0" fontId="1" fillId="0" borderId="17" xfId="8" applyBorder="1" applyAlignment="1">
      <alignment horizontal="right"/>
    </xf>
    <xf numFmtId="164" fontId="22" fillId="0" borderId="13" xfId="8" applyNumberFormat="1" applyFont="1" applyBorder="1" applyAlignment="1">
      <alignment horizontal="center"/>
    </xf>
    <xf numFmtId="0" fontId="22" fillId="0" borderId="1" xfId="8" applyFont="1" applyBorder="1"/>
    <xf numFmtId="0" fontId="22" fillId="0" borderId="17" xfId="8" applyFont="1" applyBorder="1" applyAlignment="1">
      <alignment horizontal="right"/>
    </xf>
    <xf numFmtId="0" fontId="1" fillId="0" borderId="1" xfId="8" applyFont="1" applyBorder="1"/>
    <xf numFmtId="0" fontId="25" fillId="0" borderId="1" xfId="8" applyFont="1" applyBorder="1"/>
    <xf numFmtId="0" fontId="1" fillId="0" borderId="1" xfId="8" applyFont="1" applyBorder="1" applyAlignment="1">
      <alignment wrapText="1"/>
    </xf>
    <xf numFmtId="0" fontId="1" fillId="0" borderId="1" xfId="8" applyFont="1" applyBorder="1" applyAlignment="1">
      <alignment vertical="center" wrapText="1"/>
    </xf>
    <xf numFmtId="0" fontId="22" fillId="0" borderId="1" xfId="8" applyFont="1" applyBorder="1" applyAlignment="1">
      <alignment vertical="center" wrapText="1"/>
    </xf>
    <xf numFmtId="0" fontId="1" fillId="0" borderId="17" xfId="8" applyFont="1" applyBorder="1" applyAlignment="1">
      <alignment horizontal="right" vertical="center" wrapText="1"/>
    </xf>
    <xf numFmtId="164" fontId="1" fillId="0" borderId="13" xfId="8" applyNumberFormat="1" applyBorder="1" applyAlignment="1">
      <alignment horizontal="center" wrapText="1"/>
    </xf>
    <xf numFmtId="164" fontId="22" fillId="0" borderId="13" xfId="8" applyNumberFormat="1" applyFont="1" applyBorder="1" applyAlignment="1">
      <alignment horizontal="center" wrapText="1"/>
    </xf>
    <xf numFmtId="0" fontId="22" fillId="0" borderId="17" xfId="8" applyFont="1" applyBorder="1" applyAlignment="1">
      <alignment horizontal="right" vertical="center" wrapText="1"/>
    </xf>
    <xf numFmtId="0" fontId="1" fillId="0" borderId="1" xfId="8" applyBorder="1" applyAlignment="1">
      <alignment vertical="center" wrapText="1"/>
    </xf>
    <xf numFmtId="0" fontId="1" fillId="0" borderId="17" xfId="8" applyBorder="1" applyAlignment="1">
      <alignment horizontal="right" vertical="center" wrapText="1"/>
    </xf>
    <xf numFmtId="164" fontId="22" fillId="0" borderId="13" xfId="8" applyNumberFormat="1" applyFont="1" applyBorder="1" applyAlignment="1">
      <alignment horizontal="center" vertical="center" wrapText="1"/>
    </xf>
    <xf numFmtId="0" fontId="25" fillId="0" borderId="1" xfId="8" applyFont="1" applyBorder="1" applyAlignment="1">
      <alignment vertical="center" wrapText="1"/>
    </xf>
    <xf numFmtId="0" fontId="25" fillId="0" borderId="17" xfId="8" applyFont="1" applyBorder="1" applyAlignment="1">
      <alignment horizontal="right" vertical="center" wrapText="1"/>
    </xf>
    <xf numFmtId="0" fontId="1" fillId="0" borderId="17" xfId="8" applyBorder="1" applyAlignment="1">
      <alignment vertical="center" wrapText="1"/>
    </xf>
    <xf numFmtId="0" fontId="25" fillId="0" borderId="17" xfId="8" applyFont="1" applyBorder="1" applyAlignment="1">
      <alignment vertical="center" wrapText="1"/>
    </xf>
    <xf numFmtId="0" fontId="1" fillId="0" borderId="17" xfId="8" applyFont="1" applyBorder="1" applyAlignment="1">
      <alignment vertical="center" wrapText="1"/>
    </xf>
    <xf numFmtId="0" fontId="1" fillId="0" borderId="0" xfId="4" applyFont="1" applyFill="1"/>
    <xf numFmtId="10" fontId="22" fillId="0" borderId="9" xfId="7" applyNumberFormat="1" applyFont="1" applyFill="1" applyBorder="1" applyAlignment="1">
      <alignment horizontal="center" vertical="center"/>
    </xf>
    <xf numFmtId="10" fontId="1" fillId="0" borderId="32" xfId="7" applyNumberFormat="1" applyFont="1" applyFill="1" applyBorder="1" applyAlignment="1">
      <alignment horizontal="center"/>
    </xf>
    <xf numFmtId="4" fontId="1" fillId="0" borderId="0" xfId="4" applyNumberFormat="1" applyFont="1" applyFill="1"/>
    <xf numFmtId="165" fontId="1" fillId="0" borderId="17" xfId="2" applyFont="1" applyFill="1" applyBorder="1"/>
    <xf numFmtId="0" fontId="22" fillId="0" borderId="20" xfId="4" applyFont="1" applyFill="1" applyBorder="1" applyAlignment="1">
      <alignment horizontal="left"/>
    </xf>
    <xf numFmtId="10" fontId="22" fillId="0" borderId="20" xfId="7" applyNumberFormat="1" applyFont="1" applyFill="1" applyBorder="1" applyAlignment="1">
      <alignment horizontal="center"/>
    </xf>
    <xf numFmtId="4" fontId="1" fillId="0" borderId="0" xfId="4" applyNumberFormat="1" applyFont="1" applyFill="1" applyBorder="1"/>
    <xf numFmtId="0" fontId="1" fillId="0" borderId="0" xfId="4" applyFont="1" applyFill="1" applyBorder="1"/>
    <xf numFmtId="9" fontId="1" fillId="0" borderId="17" xfId="7" applyNumberFormat="1" applyFont="1" applyFill="1" applyBorder="1" applyAlignment="1">
      <alignment horizontal="center"/>
    </xf>
    <xf numFmtId="9" fontId="1" fillId="0" borderId="20" xfId="7" applyNumberFormat="1" applyFont="1" applyFill="1" applyBorder="1" applyAlignment="1">
      <alignment horizontal="center"/>
    </xf>
    <xf numFmtId="9" fontId="1" fillId="0" borderId="5" xfId="7" applyNumberFormat="1" applyFont="1" applyFill="1" applyBorder="1" applyAlignment="1">
      <alignment horizontal="center"/>
    </xf>
    <xf numFmtId="10" fontId="1" fillId="0" borderId="20" xfId="7" applyNumberFormat="1" applyFont="1" applyFill="1" applyBorder="1" applyAlignment="1">
      <alignment horizontal="center"/>
    </xf>
    <xf numFmtId="165" fontId="1" fillId="0" borderId="0" xfId="2" applyFont="1" applyFill="1"/>
    <xf numFmtId="4" fontId="1" fillId="0" borderId="5" xfId="4" quotePrefix="1" applyNumberFormat="1" applyFont="1" applyFill="1" applyBorder="1" applyAlignment="1">
      <alignment horizontal="right"/>
    </xf>
    <xf numFmtId="4" fontId="1" fillId="0" borderId="1" xfId="4" quotePrefix="1" applyNumberFormat="1" applyFont="1" applyFill="1" applyBorder="1" applyAlignment="1">
      <alignment horizontal="right"/>
    </xf>
    <xf numFmtId="4" fontId="1" fillId="0" borderId="0" xfId="4" quotePrefix="1" applyNumberFormat="1" applyFont="1" applyFill="1" applyBorder="1" applyAlignment="1">
      <alignment horizontal="right"/>
    </xf>
    <xf numFmtId="164" fontId="1" fillId="0" borderId="0" xfId="4" applyNumberFormat="1" applyFont="1" applyFill="1"/>
    <xf numFmtId="4" fontId="1" fillId="0" borderId="1" xfId="4" applyNumberFormat="1" applyFont="1" applyFill="1" applyBorder="1" applyAlignment="1">
      <alignment horizontal="right"/>
    </xf>
    <xf numFmtId="0" fontId="1" fillId="0" borderId="20" xfId="4" applyFont="1" applyFill="1" applyBorder="1" applyAlignment="1">
      <alignment horizontal="left"/>
    </xf>
    <xf numFmtId="4" fontId="1" fillId="0" borderId="5" xfId="4" applyNumberFormat="1" applyFont="1" applyFill="1" applyBorder="1" applyAlignment="1">
      <alignment horizontal="right"/>
    </xf>
    <xf numFmtId="0" fontId="1" fillId="0" borderId="20" xfId="4" quotePrefix="1" applyFont="1" applyFill="1" applyBorder="1" applyAlignment="1">
      <alignment horizontal="left"/>
    </xf>
    <xf numFmtId="165" fontId="1" fillId="0" borderId="20" xfId="2" applyFont="1" applyFill="1" applyBorder="1" applyAlignment="1">
      <alignment horizontal="left"/>
    </xf>
    <xf numFmtId="165" fontId="1" fillId="0" borderId="25" xfId="2" applyFont="1" applyFill="1" applyBorder="1"/>
    <xf numFmtId="0" fontId="1" fillId="0" borderId="33" xfId="4" applyFont="1" applyFill="1" applyBorder="1" applyAlignment="1">
      <alignment horizontal="left"/>
    </xf>
    <xf numFmtId="4" fontId="1" fillId="0" borderId="2" xfId="4" applyNumberFormat="1" applyFont="1" applyFill="1" applyBorder="1"/>
    <xf numFmtId="4" fontId="1" fillId="0" borderId="31" xfId="4" applyNumberFormat="1" applyFont="1" applyFill="1" applyBorder="1"/>
    <xf numFmtId="165" fontId="1" fillId="0" borderId="18" xfId="2" applyFont="1" applyFill="1" applyBorder="1"/>
    <xf numFmtId="165" fontId="1" fillId="0" borderId="34" xfId="2" applyFont="1" applyFill="1" applyBorder="1"/>
    <xf numFmtId="4" fontId="1" fillId="0" borderId="14" xfId="4" applyNumberFormat="1" applyFont="1" applyFill="1" applyBorder="1"/>
    <xf numFmtId="4" fontId="1" fillId="0" borderId="26" xfId="4" applyNumberFormat="1" applyFont="1" applyFill="1" applyBorder="1"/>
    <xf numFmtId="10" fontId="1" fillId="0" borderId="34" xfId="7" applyNumberFormat="1" applyFont="1" applyFill="1" applyBorder="1" applyAlignment="1">
      <alignment horizontal="center"/>
    </xf>
    <xf numFmtId="4" fontId="1" fillId="0" borderId="0" xfId="4" applyNumberFormat="1" applyFont="1" applyFill="1" applyBorder="1" applyAlignment="1">
      <alignment horizontal="right"/>
    </xf>
    <xf numFmtId="4" fontId="1" fillId="0" borderId="7" xfId="4" applyNumberFormat="1" applyFont="1" applyFill="1" applyBorder="1" applyAlignment="1">
      <alignment horizontal="right"/>
    </xf>
    <xf numFmtId="165" fontId="1" fillId="0" borderId="33" xfId="2" applyFont="1" applyFill="1" applyBorder="1"/>
    <xf numFmtId="4" fontId="1" fillId="0" borderId="4" xfId="4" applyNumberFormat="1" applyFont="1" applyFill="1" applyBorder="1" applyAlignment="1">
      <alignment horizontal="right"/>
    </xf>
    <xf numFmtId="4" fontId="1" fillId="0" borderId="2" xfId="4" applyNumberFormat="1" applyFont="1" applyFill="1" applyBorder="1" applyAlignment="1">
      <alignment horizontal="right"/>
    </xf>
    <xf numFmtId="4" fontId="1" fillId="0" borderId="22" xfId="4" applyNumberFormat="1" applyFont="1" applyFill="1" applyBorder="1" applyAlignment="1">
      <alignment horizontal="right"/>
    </xf>
    <xf numFmtId="4" fontId="1" fillId="0" borderId="14" xfId="4" applyNumberFormat="1" applyFont="1" applyFill="1" applyBorder="1" applyAlignment="1">
      <alignment horizontal="right"/>
    </xf>
    <xf numFmtId="165" fontId="1" fillId="0" borderId="29" xfId="2" applyFont="1" applyFill="1" applyBorder="1"/>
    <xf numFmtId="165" fontId="1" fillId="0" borderId="32" xfId="2" applyFont="1" applyFill="1" applyBorder="1"/>
    <xf numFmtId="4" fontId="1" fillId="0" borderId="30" xfId="4" applyNumberFormat="1" applyFont="1" applyFill="1" applyBorder="1" applyAlignment="1">
      <alignment horizontal="right"/>
    </xf>
    <xf numFmtId="4" fontId="1" fillId="0" borderId="11" xfId="4" applyNumberFormat="1" applyFont="1" applyFill="1" applyBorder="1" applyAlignment="1">
      <alignment horizontal="right"/>
    </xf>
    <xf numFmtId="0" fontId="1" fillId="0" borderId="17" xfId="4" applyFont="1" applyFill="1" applyBorder="1"/>
    <xf numFmtId="4" fontId="22" fillId="0" borderId="0" xfId="4" applyNumberFormat="1" applyFont="1" applyFill="1"/>
    <xf numFmtId="0" fontId="22" fillId="0" borderId="0" xfId="4" applyFont="1" applyFill="1"/>
    <xf numFmtId="165" fontId="22" fillId="0" borderId="0" xfId="2" applyFont="1" applyFill="1"/>
    <xf numFmtId="4" fontId="1" fillId="0" borderId="5" xfId="2" applyNumberFormat="1" applyFont="1" applyFill="1" applyBorder="1"/>
    <xf numFmtId="4" fontId="1" fillId="0" borderId="0" xfId="2" applyNumberFormat="1" applyFont="1" applyFill="1" applyBorder="1"/>
    <xf numFmtId="4" fontId="1" fillId="0" borderId="4" xfId="4" applyNumberFormat="1" applyFont="1" applyFill="1" applyBorder="1"/>
    <xf numFmtId="0" fontId="22" fillId="0" borderId="0" xfId="4" applyFont="1" applyFill="1" applyBorder="1"/>
    <xf numFmtId="4" fontId="1" fillId="2" borderId="5" xfId="2" applyNumberFormat="1" applyFont="1" applyFill="1" applyBorder="1"/>
    <xf numFmtId="4" fontId="1" fillId="2" borderId="1" xfId="2" applyNumberFormat="1" applyFont="1" applyFill="1" applyBorder="1"/>
    <xf numFmtId="4" fontId="1" fillId="0" borderId="22" xfId="2" applyNumberFormat="1" applyFont="1" applyFill="1" applyBorder="1"/>
    <xf numFmtId="4" fontId="1" fillId="0" borderId="14" xfId="2" applyNumberFormat="1" applyFont="1" applyFill="1" applyBorder="1"/>
    <xf numFmtId="4" fontId="1" fillId="0" borderId="26" xfId="2" applyNumberFormat="1" applyFont="1" applyFill="1" applyBorder="1"/>
    <xf numFmtId="10" fontId="22" fillId="0" borderId="0" xfId="7" applyNumberFormat="1" applyFont="1" applyFill="1" applyBorder="1" applyAlignment="1">
      <alignment horizontal="center"/>
    </xf>
    <xf numFmtId="0" fontId="1" fillId="0" borderId="18" xfId="4" applyFont="1" applyFill="1" applyBorder="1"/>
    <xf numFmtId="0" fontId="1" fillId="0" borderId="14" xfId="4" applyFont="1" applyFill="1" applyBorder="1"/>
    <xf numFmtId="0" fontId="1" fillId="0" borderId="26" xfId="4" applyFont="1" applyFill="1" applyBorder="1"/>
    <xf numFmtId="4" fontId="1" fillId="0" borderId="22" xfId="4" applyNumberFormat="1" applyFont="1" applyFill="1" applyBorder="1"/>
    <xf numFmtId="9" fontId="1" fillId="0" borderId="15" xfId="7" applyFont="1" applyFill="1" applyBorder="1"/>
    <xf numFmtId="10" fontId="1" fillId="0" borderId="0" xfId="7" applyNumberFormat="1" applyFont="1" applyFill="1" applyAlignment="1">
      <alignment horizontal="center"/>
    </xf>
    <xf numFmtId="9" fontId="1" fillId="0" borderId="0" xfId="7" applyFont="1" applyFill="1" applyBorder="1"/>
    <xf numFmtId="0" fontId="22" fillId="0" borderId="0" xfId="4" applyFont="1" applyFill="1" applyAlignment="1">
      <alignment horizontal="right"/>
    </xf>
    <xf numFmtId="0" fontId="1" fillId="0" borderId="0" xfId="4" applyFont="1" applyFill="1" applyAlignment="1">
      <alignment horizontal="right"/>
    </xf>
    <xf numFmtId="165" fontId="26" fillId="0" borderId="0" xfId="2" applyFont="1" applyFill="1"/>
    <xf numFmtId="39" fontId="1" fillId="0" borderId="0" xfId="4" applyNumberFormat="1" applyFont="1" applyFill="1"/>
    <xf numFmtId="41" fontId="1" fillId="0" borderId="0" xfId="3" applyFont="1" applyFill="1"/>
    <xf numFmtId="43" fontId="1" fillId="0" borderId="0" xfId="4" applyNumberFormat="1" applyFont="1" applyFill="1"/>
    <xf numFmtId="0" fontId="57" fillId="5" borderId="29" xfId="4" applyFont="1" applyFill="1" applyBorder="1" applyAlignment="1">
      <alignment horizontal="center" vertical="center" wrapText="1"/>
    </xf>
    <xf numFmtId="0" fontId="57" fillId="5" borderId="32" xfId="4" applyFont="1" applyFill="1" applyBorder="1" applyAlignment="1">
      <alignment horizontal="center" vertical="center" wrapText="1"/>
    </xf>
    <xf numFmtId="9" fontId="57" fillId="5" borderId="30" xfId="4" applyNumberFormat="1" applyFont="1" applyFill="1" applyBorder="1" applyAlignment="1">
      <alignment horizontal="center"/>
    </xf>
    <xf numFmtId="9" fontId="57" fillId="5" borderId="11" xfId="7" applyFont="1" applyFill="1" applyBorder="1" applyAlignment="1">
      <alignment horizontal="center"/>
    </xf>
    <xf numFmtId="9" fontId="57" fillId="5" borderId="24" xfId="7" applyFont="1" applyFill="1" applyBorder="1" applyAlignment="1">
      <alignment horizontal="center"/>
    </xf>
    <xf numFmtId="9" fontId="57" fillId="5" borderId="30" xfId="7" applyFont="1" applyFill="1" applyBorder="1" applyAlignment="1">
      <alignment horizontal="center"/>
    </xf>
    <xf numFmtId="9" fontId="57" fillId="5" borderId="35" xfId="7" applyNumberFormat="1" applyFont="1" applyFill="1" applyBorder="1" applyAlignment="1">
      <alignment horizontal="center"/>
    </xf>
    <xf numFmtId="9" fontId="57" fillId="5" borderId="32" xfId="7" applyFont="1" applyFill="1" applyBorder="1" applyAlignment="1">
      <alignment horizontal="center"/>
    </xf>
    <xf numFmtId="0" fontId="58" fillId="5" borderId="62" xfId="0" applyFont="1" applyFill="1" applyBorder="1" applyAlignment="1">
      <alignment horizontal="right" shrinkToFit="1"/>
    </xf>
    <xf numFmtId="0" fontId="57" fillId="5" borderId="60" xfId="0" applyFont="1" applyFill="1" applyBorder="1" applyAlignment="1">
      <alignment horizontal="center" vertical="center" wrapText="1"/>
    </xf>
    <xf numFmtId="0" fontId="57" fillId="5" borderId="61" xfId="0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right" shrinkToFit="1"/>
    </xf>
    <xf numFmtId="164" fontId="22" fillId="3" borderId="7" xfId="2" applyNumberFormat="1" applyFont="1" applyFill="1" applyBorder="1" applyAlignment="1">
      <alignment horizontal="right"/>
    </xf>
    <xf numFmtId="169" fontId="1" fillId="0" borderId="7" xfId="0" applyNumberFormat="1" applyFont="1" applyBorder="1"/>
    <xf numFmtId="0" fontId="22" fillId="0" borderId="17" xfId="0" applyFont="1" applyFill="1" applyBorder="1"/>
    <xf numFmtId="4" fontId="15" fillId="0" borderId="7" xfId="0" applyNumberFormat="1" applyFont="1" applyFill="1" applyBorder="1"/>
    <xf numFmtId="0" fontId="22" fillId="0" borderId="17" xfId="0" applyFont="1" applyBorder="1"/>
    <xf numFmtId="4" fontId="22" fillId="0" borderId="7" xfId="0" applyNumberFormat="1" applyFont="1" applyBorder="1"/>
    <xf numFmtId="0" fontId="1" fillId="0" borderId="17" xfId="0" applyFont="1" applyFill="1" applyBorder="1"/>
    <xf numFmtId="4" fontId="1" fillId="0" borderId="7" xfId="0" applyNumberFormat="1" applyFont="1" applyFill="1" applyBorder="1"/>
    <xf numFmtId="4" fontId="1" fillId="0" borderId="7" xfId="0" applyNumberFormat="1" applyFont="1" applyBorder="1"/>
    <xf numFmtId="0" fontId="22" fillId="0" borderId="34" xfId="0" applyFont="1" applyBorder="1" applyAlignment="1">
      <alignment horizontal="right" shrinkToFit="1"/>
    </xf>
    <xf numFmtId="0" fontId="22" fillId="0" borderId="18" xfId="0" applyFont="1" applyBorder="1"/>
    <xf numFmtId="4" fontId="22" fillId="0" borderId="19" xfId="0" applyNumberFormat="1" applyFont="1" applyBorder="1"/>
    <xf numFmtId="0" fontId="1" fillId="0" borderId="0" xfId="0" applyFont="1" applyAlignment="1">
      <alignment horizontal="right" shrinkToFit="1"/>
    </xf>
    <xf numFmtId="169" fontId="1" fillId="0" borderId="0" xfId="0" applyNumberFormat="1" applyFont="1"/>
    <xf numFmtId="0" fontId="1" fillId="0" borderId="0" xfId="0" applyFont="1" applyAlignment="1">
      <alignment shrinkToFit="1"/>
    </xf>
    <xf numFmtId="175" fontId="57" fillId="5" borderId="28" xfId="5" applyNumberFormat="1" applyFont="1" applyFill="1" applyBorder="1" applyAlignment="1" applyProtection="1">
      <protection locked="0"/>
    </xf>
    <xf numFmtId="175" fontId="57" fillId="5" borderId="56" xfId="5" applyNumberFormat="1" applyFont="1" applyFill="1" applyBorder="1" applyAlignment="1" applyProtection="1">
      <alignment horizontal="center"/>
      <protection locked="0"/>
    </xf>
    <xf numFmtId="4" fontId="57" fillId="5" borderId="35" xfId="2" applyNumberFormat="1" applyFont="1" applyFill="1" applyBorder="1" applyAlignment="1"/>
    <xf numFmtId="175" fontId="57" fillId="5" borderId="36" xfId="5" quotePrefix="1" applyNumberFormat="1" applyFont="1" applyFill="1" applyBorder="1" applyAlignment="1" applyProtection="1">
      <alignment horizontal="center"/>
      <protection locked="0"/>
    </xf>
    <xf numFmtId="4" fontId="57" fillId="5" borderId="9" xfId="5" quotePrefix="1" applyNumberFormat="1" applyFont="1" applyFill="1" applyBorder="1" applyAlignment="1" applyProtection="1">
      <alignment horizontal="distributed"/>
      <protection locked="0"/>
    </xf>
    <xf numFmtId="4" fontId="57" fillId="5" borderId="28" xfId="5" quotePrefix="1" applyNumberFormat="1" applyFont="1" applyFill="1" applyBorder="1" applyAlignment="1" applyProtection="1">
      <alignment horizontal="distributed"/>
      <protection locked="0"/>
    </xf>
    <xf numFmtId="175" fontId="17" fillId="0" borderId="52" xfId="5" applyNumberFormat="1" applyFont="1" applyFill="1" applyBorder="1" applyAlignment="1" applyProtection="1">
      <alignment horizontal="fill"/>
      <protection locked="0"/>
    </xf>
    <xf numFmtId="175" fontId="17" fillId="0" borderId="11" xfId="5" applyNumberFormat="1" applyFont="1" applyFill="1" applyBorder="1" applyAlignment="1" applyProtection="1">
      <alignment horizontal="fill"/>
      <protection locked="0"/>
    </xf>
    <xf numFmtId="4" fontId="1" fillId="0" borderId="11" xfId="2" applyNumberFormat="1" applyFont="1" applyFill="1" applyBorder="1" applyAlignment="1" applyProtection="1">
      <protection locked="0"/>
    </xf>
    <xf numFmtId="175" fontId="17" fillId="0" borderId="11" xfId="5" applyNumberFormat="1" applyFont="1" applyFill="1" applyBorder="1" applyAlignment="1" applyProtection="1">
      <alignment horizontal="center"/>
      <protection locked="0"/>
    </xf>
    <xf numFmtId="4" fontId="17" fillId="0" borderId="11" xfId="5" applyNumberFormat="1" applyFont="1" applyFill="1" applyBorder="1" applyAlignment="1" applyProtection="1">
      <alignment horizontal="distributed"/>
      <protection locked="0"/>
    </xf>
    <xf numFmtId="4" fontId="17" fillId="0" borderId="11" xfId="5" applyNumberFormat="1" applyFont="1" applyFill="1" applyBorder="1" applyAlignment="1" applyProtection="1">
      <alignment horizontal="fill"/>
      <protection locked="0"/>
    </xf>
    <xf numFmtId="4" fontId="17" fillId="0" borderId="36" xfId="5" applyNumberFormat="1" applyFont="1" applyFill="1" applyBorder="1" applyAlignment="1" applyProtection="1">
      <alignment horizontal="fill"/>
      <protection locked="0"/>
    </xf>
    <xf numFmtId="4" fontId="17" fillId="0" borderId="11" xfId="2" applyNumberFormat="1" applyFont="1" applyFill="1" applyBorder="1" applyAlignment="1" applyProtection="1">
      <alignment horizontal="fill"/>
      <protection locked="0"/>
    </xf>
    <xf numFmtId="4" fontId="17" fillId="0" borderId="35" xfId="5" applyNumberFormat="1" applyFont="1" applyFill="1" applyBorder="1" applyAlignment="1" applyProtection="1">
      <alignment horizontal="distributed"/>
      <protection locked="0"/>
    </xf>
    <xf numFmtId="4" fontId="17" fillId="0" borderId="12" xfId="5" applyNumberFormat="1" applyFont="1" applyFill="1" applyBorder="1" applyAlignment="1" applyProtection="1">
      <alignment horizontal="distributed"/>
      <protection locked="0"/>
    </xf>
    <xf numFmtId="37" fontId="25" fillId="0" borderId="1" xfId="5" quotePrefix="1" applyFont="1" applyFill="1" applyBorder="1" applyAlignment="1">
      <alignment horizontal="center"/>
    </xf>
    <xf numFmtId="4" fontId="22" fillId="0" borderId="1" xfId="2" applyNumberFormat="1" applyFont="1" applyFill="1" applyBorder="1" applyAlignment="1"/>
    <xf numFmtId="4" fontId="15" fillId="0" borderId="1" xfId="5" applyNumberFormat="1" applyFont="1" applyFill="1" applyBorder="1" applyAlignment="1"/>
    <xf numFmtId="4" fontId="22" fillId="0" borderId="0" xfId="2" applyNumberFormat="1" applyFont="1" applyFill="1" applyBorder="1" applyAlignment="1"/>
    <xf numFmtId="4" fontId="22" fillId="0" borderId="13" xfId="2" applyNumberFormat="1" applyFont="1" applyFill="1" applyBorder="1" applyAlignment="1"/>
    <xf numFmtId="175" fontId="17" fillId="0" borderId="8" xfId="5" applyNumberFormat="1" applyFont="1" applyFill="1" applyBorder="1"/>
    <xf numFmtId="175" fontId="17" fillId="0" borderId="1" xfId="5" applyNumberFormat="1" applyFont="1" applyFill="1" applyBorder="1" applyAlignment="1">
      <alignment horizontal="center"/>
    </xf>
    <xf numFmtId="4" fontId="1" fillId="0" borderId="1" xfId="2" applyNumberFormat="1" applyFont="1" applyFill="1" applyBorder="1" applyAlignment="1" applyProtection="1">
      <protection locked="0"/>
    </xf>
    <xf numFmtId="4" fontId="17" fillId="0" borderId="1" xfId="5" applyNumberFormat="1" applyFont="1" applyFill="1" applyBorder="1" applyAlignment="1" applyProtection="1">
      <protection locked="0"/>
    </xf>
    <xf numFmtId="4" fontId="17" fillId="0" borderId="1" xfId="5" applyNumberFormat="1" applyFont="1" applyFill="1" applyBorder="1" applyAlignment="1"/>
    <xf numFmtId="4" fontId="17" fillId="0" borderId="3" xfId="5" applyNumberFormat="1" applyFont="1" applyFill="1" applyBorder="1" applyAlignment="1"/>
    <xf numFmtId="4" fontId="17" fillId="0" borderId="1" xfId="2" applyNumberFormat="1" applyFont="1" applyFill="1" applyBorder="1" applyAlignment="1"/>
    <xf numFmtId="4" fontId="17" fillId="0" borderId="0" xfId="5" applyNumberFormat="1" applyFont="1" applyFill="1" applyBorder="1" applyAlignment="1"/>
    <xf numFmtId="4" fontId="17" fillId="0" borderId="13" xfId="5" applyNumberFormat="1" applyFont="1" applyFill="1" applyBorder="1" applyAlignment="1"/>
    <xf numFmtId="37" fontId="25" fillId="0" borderId="8" xfId="5" applyFont="1" applyFill="1" applyBorder="1" applyAlignment="1">
      <alignment horizontal="centerContinuous"/>
    </xf>
    <xf numFmtId="37" fontId="25" fillId="0" borderId="8" xfId="5" applyFont="1" applyFill="1" applyBorder="1" applyAlignment="1">
      <alignment horizontal="center"/>
    </xf>
    <xf numFmtId="4" fontId="22" fillId="0" borderId="1" xfId="2" applyNumberFormat="1" applyFont="1" applyFill="1" applyBorder="1" applyAlignment="1" applyProtection="1">
      <protection locked="0"/>
    </xf>
    <xf numFmtId="165" fontId="25" fillId="0" borderId="1" xfId="2" quotePrefix="1" applyFont="1" applyFill="1" applyBorder="1" applyAlignment="1">
      <alignment horizontal="center"/>
    </xf>
    <xf numFmtId="4" fontId="15" fillId="0" borderId="1" xfId="2" applyNumberFormat="1" applyFont="1" applyFill="1" applyBorder="1" applyAlignment="1" applyProtection="1">
      <protection locked="0"/>
    </xf>
    <xf numFmtId="4" fontId="15" fillId="0" borderId="0" xfId="2" applyNumberFormat="1" applyFont="1" applyFill="1" applyBorder="1" applyAlignment="1" applyProtection="1">
      <protection locked="0"/>
    </xf>
    <xf numFmtId="4" fontId="15" fillId="0" borderId="13" xfId="2" applyNumberFormat="1" applyFont="1" applyFill="1" applyBorder="1" applyAlignment="1" applyProtection="1">
      <protection locked="0"/>
    </xf>
    <xf numFmtId="175" fontId="17" fillId="0" borderId="2" xfId="5" applyNumberFormat="1" applyFont="1" applyFill="1" applyBorder="1" applyAlignment="1" applyProtection="1">
      <alignment horizontal="left"/>
      <protection locked="0"/>
    </xf>
    <xf numFmtId="165" fontId="17" fillId="0" borderId="1" xfId="2" applyFont="1" applyFill="1" applyBorder="1" applyAlignment="1" applyProtection="1">
      <alignment horizontal="center"/>
      <protection locked="0"/>
    </xf>
    <xf numFmtId="4" fontId="17" fillId="0" borderId="1" xfId="2" applyNumberFormat="1" applyFont="1" applyFill="1" applyBorder="1" applyAlignment="1" applyProtection="1">
      <protection locked="0"/>
    </xf>
    <xf numFmtId="4" fontId="17" fillId="0" borderId="3" xfId="2" applyNumberFormat="1" applyFont="1" applyFill="1" applyBorder="1" applyAlignment="1" applyProtection="1">
      <protection locked="0"/>
    </xf>
    <xf numFmtId="4" fontId="17" fillId="0" borderId="0" xfId="2" applyNumberFormat="1" applyFont="1" applyFill="1" applyBorder="1" applyAlignment="1" applyProtection="1">
      <protection locked="0"/>
    </xf>
    <xf numFmtId="4" fontId="17" fillId="0" borderId="13" xfId="2" applyNumberFormat="1" applyFont="1" applyFill="1" applyBorder="1" applyAlignment="1" applyProtection="1">
      <protection locked="0"/>
    </xf>
    <xf numFmtId="165" fontId="22" fillId="0" borderId="38" xfId="2" applyFont="1" applyFill="1" applyBorder="1"/>
    <xf numFmtId="0" fontId="25" fillId="0" borderId="21" xfId="4" quotePrefix="1" applyFont="1" applyFill="1" applyBorder="1" applyAlignment="1">
      <alignment horizontal="left"/>
    </xf>
    <xf numFmtId="4" fontId="22" fillId="0" borderId="21" xfId="2" applyNumberFormat="1" applyFont="1" applyFill="1" applyBorder="1" applyAlignment="1"/>
    <xf numFmtId="37" fontId="25" fillId="0" borderId="45" xfId="5" applyFont="1" applyFill="1" applyBorder="1" applyAlignment="1">
      <alignment horizontal="center"/>
    </xf>
    <xf numFmtId="4" fontId="22" fillId="0" borderId="27" xfId="2" applyNumberFormat="1" applyFont="1" applyFill="1" applyBorder="1" applyAlignment="1"/>
    <xf numFmtId="4" fontId="22" fillId="0" borderId="45" xfId="2" applyNumberFormat="1" applyFont="1" applyFill="1" applyBorder="1" applyAlignment="1"/>
    <xf numFmtId="4" fontId="22" fillId="0" borderId="39" xfId="2" applyNumberFormat="1" applyFont="1" applyFill="1" applyBorder="1" applyAlignment="1"/>
    <xf numFmtId="4" fontId="22" fillId="0" borderId="49" xfId="2" applyNumberFormat="1" applyFont="1" applyFill="1" applyBorder="1" applyAlignment="1"/>
    <xf numFmtId="0" fontId="25" fillId="0" borderId="1" xfId="4" quotePrefix="1" applyFont="1" applyFill="1" applyBorder="1" applyAlignment="1">
      <alignment horizontal="left"/>
    </xf>
    <xf numFmtId="165" fontId="17" fillId="0" borderId="3" xfId="2" applyFont="1" applyFill="1" applyBorder="1" applyAlignment="1">
      <alignment horizontal="center"/>
    </xf>
    <xf numFmtId="4" fontId="17" fillId="0" borderId="5" xfId="2" applyNumberFormat="1" applyFont="1" applyFill="1" applyBorder="1" applyAlignment="1"/>
    <xf numFmtId="4" fontId="15" fillId="0" borderId="5" xfId="2" applyNumberFormat="1" applyFont="1" applyFill="1" applyBorder="1" applyAlignment="1" applyProtection="1">
      <protection locked="0"/>
    </xf>
    <xf numFmtId="4" fontId="15" fillId="0" borderId="3" xfId="2" applyNumberFormat="1" applyFont="1" applyFill="1" applyBorder="1" applyAlignment="1" applyProtection="1">
      <protection locked="0"/>
    </xf>
    <xf numFmtId="165" fontId="15" fillId="0" borderId="8" xfId="2" applyFont="1" applyFill="1" applyBorder="1" applyAlignment="1">
      <alignment horizontal="left"/>
    </xf>
    <xf numFmtId="165" fontId="15" fillId="0" borderId="1" xfId="2" applyFont="1" applyFill="1" applyBorder="1" applyAlignment="1">
      <alignment horizontal="left"/>
    </xf>
    <xf numFmtId="165" fontId="15" fillId="0" borderId="3" xfId="2" applyFont="1" applyFill="1" applyBorder="1" applyAlignment="1">
      <alignment horizontal="center"/>
    </xf>
    <xf numFmtId="4" fontId="22" fillId="0" borderId="5" xfId="2" applyNumberFormat="1" applyFont="1" applyFill="1" applyBorder="1" applyAlignment="1"/>
    <xf numFmtId="4" fontId="22" fillId="0" borderId="3" xfId="2" applyNumberFormat="1" applyFont="1" applyFill="1" applyBorder="1" applyAlignment="1"/>
    <xf numFmtId="4" fontId="22" fillId="0" borderId="7" xfId="2" applyNumberFormat="1" applyFont="1" applyFill="1" applyBorder="1" applyAlignment="1"/>
    <xf numFmtId="165" fontId="17" fillId="0" borderId="8" xfId="2" applyFont="1" applyFill="1" applyBorder="1" applyAlignment="1">
      <alignment horizontal="left"/>
    </xf>
    <xf numFmtId="165" fontId="17" fillId="0" borderId="1" xfId="2" applyFont="1" applyFill="1" applyBorder="1" applyAlignment="1">
      <alignment horizontal="left"/>
    </xf>
    <xf numFmtId="165" fontId="17" fillId="0" borderId="3" xfId="2" applyFont="1" applyFill="1" applyBorder="1" applyAlignment="1" applyProtection="1">
      <alignment horizontal="center"/>
      <protection locked="0"/>
    </xf>
    <xf numFmtId="4" fontId="17" fillId="0" borderId="2" xfId="2" applyNumberFormat="1" applyFont="1" applyFill="1" applyBorder="1" applyAlignment="1" applyProtection="1">
      <protection locked="0"/>
    </xf>
    <xf numFmtId="4" fontId="17" fillId="0" borderId="5" xfId="2" applyNumberFormat="1" applyFont="1" applyFill="1" applyBorder="1" applyAlignment="1" applyProtection="1">
      <protection locked="0"/>
    </xf>
    <xf numFmtId="165" fontId="15" fillId="0" borderId="38" xfId="2" applyFont="1" applyFill="1" applyBorder="1" applyAlignment="1">
      <alignment horizontal="left"/>
    </xf>
    <xf numFmtId="165" fontId="15" fillId="0" borderId="21" xfId="2" applyFont="1" applyFill="1" applyBorder="1" applyAlignment="1">
      <alignment horizontal="left"/>
    </xf>
    <xf numFmtId="165" fontId="15" fillId="0" borderId="21" xfId="2" applyFont="1" applyFill="1" applyBorder="1" applyAlignment="1" applyProtection="1">
      <alignment horizontal="center"/>
      <protection locked="0"/>
    </xf>
    <xf numFmtId="4" fontId="15" fillId="0" borderId="21" xfId="5" applyNumberFormat="1" applyFont="1" applyFill="1" applyBorder="1" applyAlignment="1"/>
    <xf numFmtId="165" fontId="17" fillId="0" borderId="40" xfId="2" applyFont="1" applyFill="1" applyBorder="1" applyAlignment="1">
      <alignment horizontal="left"/>
    </xf>
    <xf numFmtId="165" fontId="17" fillId="0" borderId="2" xfId="2" applyFont="1" applyFill="1" applyBorder="1" applyAlignment="1">
      <alignment horizontal="left"/>
    </xf>
    <xf numFmtId="4" fontId="22" fillId="0" borderId="2" xfId="2" applyNumberFormat="1" applyFont="1" applyFill="1" applyBorder="1" applyAlignment="1"/>
    <xf numFmtId="165" fontId="17" fillId="0" borderId="2" xfId="2" applyFont="1" applyFill="1" applyBorder="1" applyAlignment="1" applyProtection="1">
      <alignment horizontal="center"/>
      <protection locked="0"/>
    </xf>
    <xf numFmtId="4" fontId="17" fillId="0" borderId="46" xfId="2" applyNumberFormat="1" applyFont="1" applyFill="1" applyBorder="1" applyAlignment="1" applyProtection="1">
      <protection locked="0"/>
    </xf>
    <xf numFmtId="4" fontId="15" fillId="0" borderId="2" xfId="5" applyNumberFormat="1" applyFont="1" applyFill="1" applyBorder="1" applyAlignment="1"/>
    <xf numFmtId="4" fontId="17" fillId="0" borderId="31" xfId="2" applyNumberFormat="1" applyFont="1" applyFill="1" applyBorder="1" applyAlignment="1" applyProtection="1">
      <protection locked="0"/>
    </xf>
    <xf numFmtId="4" fontId="17" fillId="0" borderId="16" xfId="2" applyNumberFormat="1" applyFont="1" applyFill="1" applyBorder="1" applyAlignment="1" applyProtection="1">
      <protection locked="0"/>
    </xf>
    <xf numFmtId="165" fontId="1" fillId="0" borderId="8" xfId="2" applyFont="1" applyFill="1" applyBorder="1" applyAlignment="1">
      <alignment horizontal="left"/>
    </xf>
    <xf numFmtId="165" fontId="1" fillId="0" borderId="1" xfId="2" applyFont="1" applyFill="1" applyBorder="1" applyAlignment="1">
      <alignment horizontal="left"/>
    </xf>
    <xf numFmtId="165" fontId="22" fillId="0" borderId="1" xfId="2" applyFont="1" applyFill="1" applyBorder="1" applyAlignment="1" applyProtection="1">
      <alignment horizontal="center"/>
      <protection locked="0"/>
    </xf>
    <xf numFmtId="4" fontId="1" fillId="0" borderId="3" xfId="2" applyNumberFormat="1" applyFont="1" applyFill="1" applyBorder="1" applyAlignment="1" applyProtection="1">
      <protection locked="0"/>
    </xf>
    <xf numFmtId="4" fontId="1" fillId="0" borderId="0" xfId="2" applyNumberFormat="1" applyFont="1" applyFill="1" applyBorder="1" applyAlignment="1" applyProtection="1">
      <protection locked="0"/>
    </xf>
    <xf numFmtId="4" fontId="1" fillId="0" borderId="13" xfId="2" applyNumberFormat="1" applyFont="1" applyFill="1" applyBorder="1" applyAlignment="1" applyProtection="1">
      <protection locked="0"/>
    </xf>
    <xf numFmtId="165" fontId="22" fillId="0" borderId="38" xfId="2" applyFont="1" applyFill="1" applyBorder="1" applyAlignment="1">
      <alignment horizontal="left"/>
    </xf>
    <xf numFmtId="165" fontId="22" fillId="0" borderId="21" xfId="2" applyFont="1" applyFill="1" applyBorder="1" applyAlignment="1">
      <alignment horizontal="left"/>
    </xf>
    <xf numFmtId="165" fontId="22" fillId="0" borderId="21" xfId="2" applyFont="1" applyFill="1" applyBorder="1" applyAlignment="1" applyProtection="1">
      <alignment horizontal="center"/>
      <protection locked="0"/>
    </xf>
    <xf numFmtId="4" fontId="22" fillId="0" borderId="21" xfId="2" applyNumberFormat="1" applyFont="1" applyFill="1" applyBorder="1" applyAlignment="1" applyProtection="1">
      <protection locked="0"/>
    </xf>
    <xf numFmtId="4" fontId="22" fillId="0" borderId="45" xfId="2" applyNumberFormat="1" applyFont="1" applyFill="1" applyBorder="1" applyAlignment="1" applyProtection="1">
      <protection locked="0"/>
    </xf>
    <xf numFmtId="4" fontId="22" fillId="0" borderId="39" xfId="2" applyNumberFormat="1" applyFont="1" applyFill="1" applyBorder="1" applyAlignment="1" applyProtection="1">
      <protection locked="0"/>
    </xf>
    <xf numFmtId="4" fontId="22" fillId="0" borderId="49" xfId="2" applyNumberFormat="1" applyFont="1" applyFill="1" applyBorder="1" applyAlignment="1" applyProtection="1">
      <protection locked="0"/>
    </xf>
    <xf numFmtId="165" fontId="1" fillId="0" borderId="40" xfId="2" applyFont="1" applyFill="1" applyBorder="1" applyAlignment="1">
      <alignment horizontal="left"/>
    </xf>
    <xf numFmtId="165" fontId="1" fillId="0" borderId="2" xfId="2" applyFont="1" applyFill="1" applyBorder="1" applyAlignment="1">
      <alignment horizontal="left"/>
    </xf>
    <xf numFmtId="4" fontId="1" fillId="0" borderId="2" xfId="2" applyNumberFormat="1" applyFont="1" applyFill="1" applyBorder="1" applyAlignment="1"/>
    <xf numFmtId="165" fontId="22" fillId="0" borderId="2" xfId="2" applyFont="1" applyFill="1" applyBorder="1" applyAlignment="1" applyProtection="1">
      <alignment horizontal="center"/>
      <protection locked="0"/>
    </xf>
    <xf numFmtId="4" fontId="1" fillId="0" borderId="2" xfId="2" applyNumberFormat="1" applyFont="1" applyFill="1" applyBorder="1" applyAlignment="1" applyProtection="1">
      <protection locked="0"/>
    </xf>
    <xf numFmtId="4" fontId="1" fillId="0" borderId="46" xfId="2" applyNumberFormat="1" applyFont="1" applyFill="1" applyBorder="1" applyAlignment="1" applyProtection="1">
      <protection locked="0"/>
    </xf>
    <xf numFmtId="4" fontId="17" fillId="0" borderId="2" xfId="5" applyNumberFormat="1" applyFont="1" applyFill="1" applyBorder="1" applyAlignment="1"/>
    <xf numFmtId="4" fontId="1" fillId="0" borderId="31" xfId="2" applyNumberFormat="1" applyFont="1" applyFill="1" applyBorder="1" applyAlignment="1" applyProtection="1">
      <protection locked="0"/>
    </xf>
    <xf numFmtId="4" fontId="1" fillId="0" borderId="16" xfId="2" applyNumberFormat="1" applyFont="1" applyFill="1" applyBorder="1" applyAlignment="1" applyProtection="1">
      <protection locked="0"/>
    </xf>
    <xf numFmtId="165" fontId="22" fillId="0" borderId="1" xfId="2" applyFont="1" applyFill="1" applyBorder="1"/>
    <xf numFmtId="4" fontId="22" fillId="0" borderId="3" xfId="2" applyNumberFormat="1" applyFont="1" applyFill="1" applyBorder="1" applyAlignment="1" applyProtection="1">
      <protection locked="0"/>
    </xf>
    <xf numFmtId="4" fontId="22" fillId="0" borderId="0" xfId="2" applyNumberFormat="1" applyFont="1" applyFill="1" applyBorder="1" applyAlignment="1" applyProtection="1">
      <protection locked="0"/>
    </xf>
    <xf numFmtId="4" fontId="22" fillId="0" borderId="13" xfId="2" applyNumberFormat="1" applyFont="1" applyFill="1" applyBorder="1" applyAlignment="1" applyProtection="1">
      <protection locked="0"/>
    </xf>
    <xf numFmtId="165" fontId="1" fillId="0" borderId="1" xfId="2" applyFont="1" applyFill="1" applyBorder="1"/>
    <xf numFmtId="165" fontId="1" fillId="0" borderId="38" xfId="2" applyFont="1" applyFill="1" applyBorder="1" applyAlignment="1">
      <alignment horizontal="left"/>
    </xf>
    <xf numFmtId="4" fontId="1" fillId="0" borderId="49" xfId="2" applyNumberFormat="1" applyFont="1" applyFill="1" applyBorder="1" applyAlignment="1" applyProtection="1">
      <protection locked="0"/>
    </xf>
    <xf numFmtId="165" fontId="22" fillId="0" borderId="21" xfId="2" applyFont="1" applyFill="1" applyBorder="1"/>
    <xf numFmtId="4" fontId="1" fillId="0" borderId="21" xfId="2" applyNumberFormat="1" applyFont="1" applyFill="1" applyBorder="1" applyAlignment="1" applyProtection="1">
      <protection locked="0"/>
    </xf>
    <xf numFmtId="4" fontId="1" fillId="0" borderId="39" xfId="2" applyNumberFormat="1" applyFont="1" applyFill="1" applyBorder="1" applyAlignment="1" applyProtection="1">
      <protection locked="0"/>
    </xf>
    <xf numFmtId="165" fontId="1" fillId="0" borderId="2" xfId="2" applyFont="1" applyFill="1" applyBorder="1"/>
    <xf numFmtId="165" fontId="22" fillId="0" borderId="8" xfId="2" applyFont="1" applyFill="1" applyBorder="1" applyAlignment="1">
      <alignment horizontal="left"/>
    </xf>
    <xf numFmtId="165" fontId="22" fillId="0" borderId="1" xfId="2" applyFont="1" applyFill="1" applyBorder="1" applyAlignment="1">
      <alignment horizontal="left"/>
    </xf>
    <xf numFmtId="175" fontId="22" fillId="0" borderId="1" xfId="5" applyNumberFormat="1" applyFont="1" applyFill="1" applyBorder="1" applyAlignment="1">
      <alignment horizontal="center"/>
    </xf>
    <xf numFmtId="4" fontId="22" fillId="0" borderId="1" xfId="5" applyNumberFormat="1" applyFont="1" applyFill="1" applyBorder="1" applyAlignment="1"/>
    <xf numFmtId="175" fontId="22" fillId="0" borderId="21" xfId="5" applyNumberFormat="1" applyFont="1" applyFill="1" applyBorder="1" applyAlignment="1">
      <alignment horizontal="center"/>
    </xf>
    <xf numFmtId="4" fontId="22" fillId="0" borderId="21" xfId="5" applyNumberFormat="1" applyFont="1" applyFill="1" applyBorder="1" applyAlignment="1"/>
    <xf numFmtId="4" fontId="22" fillId="0" borderId="45" xfId="5" applyNumberFormat="1" applyFont="1" applyFill="1" applyBorder="1" applyAlignment="1"/>
    <xf numFmtId="4" fontId="22" fillId="0" borderId="39" xfId="5" applyNumberFormat="1" applyFont="1" applyFill="1" applyBorder="1" applyAlignment="1"/>
    <xf numFmtId="4" fontId="1" fillId="0" borderId="49" xfId="5" applyNumberFormat="1" applyFont="1" applyFill="1" applyBorder="1" applyAlignment="1"/>
    <xf numFmtId="4" fontId="1" fillId="0" borderId="3" xfId="5" applyNumberFormat="1" applyFont="1" applyFill="1" applyBorder="1" applyAlignment="1"/>
    <xf numFmtId="4" fontId="22" fillId="0" borderId="0" xfId="5" applyNumberFormat="1" applyFont="1" applyFill="1" applyBorder="1" applyAlignment="1"/>
    <xf numFmtId="4" fontId="22" fillId="0" borderId="13" xfId="5" applyNumberFormat="1" applyFont="1" applyFill="1" applyBorder="1" applyAlignment="1"/>
    <xf numFmtId="4" fontId="1" fillId="0" borderId="1" xfId="5" applyNumberFormat="1" applyFont="1" applyFill="1" applyBorder="1" applyAlignment="1"/>
    <xf numFmtId="4" fontId="1" fillId="0" borderId="0" xfId="5" applyNumberFormat="1" applyFont="1" applyFill="1" applyBorder="1" applyAlignment="1"/>
    <xf numFmtId="4" fontId="1" fillId="0" borderId="13" xfId="5" applyNumberFormat="1" applyFont="1" applyFill="1" applyBorder="1" applyAlignment="1"/>
    <xf numFmtId="165" fontId="22" fillId="0" borderId="32" xfId="2" applyFont="1" applyFill="1" applyBorder="1" applyAlignment="1">
      <alignment horizontal="left"/>
    </xf>
    <xf numFmtId="165" fontId="22" fillId="0" borderId="52" xfId="2" applyFont="1" applyFill="1" applyBorder="1" applyAlignment="1">
      <alignment horizontal="left"/>
    </xf>
    <xf numFmtId="4" fontId="22" fillId="0" borderId="11" xfId="2" applyNumberFormat="1" applyFont="1" applyFill="1" applyBorder="1" applyAlignment="1"/>
    <xf numFmtId="175" fontId="22" fillId="0" borderId="11" xfId="5" applyNumberFormat="1" applyFont="1" applyFill="1" applyBorder="1" applyAlignment="1">
      <alignment horizontal="center"/>
    </xf>
    <xf numFmtId="4" fontId="22" fillId="0" borderId="36" xfId="2" applyNumberFormat="1" applyFont="1" applyFill="1" applyBorder="1" applyAlignment="1"/>
    <xf numFmtId="4" fontId="22" fillId="0" borderId="35" xfId="2" applyNumberFormat="1" applyFont="1" applyFill="1" applyBorder="1" applyAlignment="1"/>
    <xf numFmtId="4" fontId="22" fillId="0" borderId="12" xfId="2" applyNumberFormat="1" applyFont="1" applyFill="1" applyBorder="1" applyAlignment="1"/>
    <xf numFmtId="0" fontId="1" fillId="0" borderId="39" xfId="0" applyFont="1" applyBorder="1"/>
    <xf numFmtId="4" fontId="1" fillId="0" borderId="3" xfId="2" applyNumberFormat="1" applyFont="1" applyFill="1" applyBorder="1" applyAlignment="1"/>
    <xf numFmtId="4" fontId="1" fillId="0" borderId="1" xfId="5" applyNumberFormat="1" applyFont="1" applyFill="1" applyBorder="1" applyAlignment="1">
      <alignment vertical="center"/>
    </xf>
    <xf numFmtId="4" fontId="1" fillId="0" borderId="0" xfId="5" applyNumberFormat="1" applyFont="1" applyFill="1" applyBorder="1" applyAlignment="1">
      <alignment vertical="center"/>
    </xf>
    <xf numFmtId="4" fontId="1" fillId="0" borderId="13" xfId="5" applyNumberFormat="1" applyFont="1" applyFill="1" applyBorder="1" applyAlignment="1">
      <alignment vertical="center"/>
    </xf>
    <xf numFmtId="175" fontId="1" fillId="0" borderId="20" xfId="5" applyNumberFormat="1" applyFont="1" applyFill="1" applyBorder="1" applyAlignment="1"/>
    <xf numFmtId="0" fontId="1" fillId="0" borderId="0" xfId="0" applyFont="1" applyBorder="1" applyAlignment="1"/>
    <xf numFmtId="175" fontId="1" fillId="0" borderId="65" xfId="5" applyNumberFormat="1" applyFont="1" applyFill="1" applyBorder="1"/>
    <xf numFmtId="4" fontId="1" fillId="0" borderId="21" xfId="2" applyNumberFormat="1" applyFont="1" applyFill="1" applyBorder="1" applyAlignment="1"/>
    <xf numFmtId="4" fontId="1" fillId="0" borderId="21" xfId="5" applyNumberFormat="1" applyFont="1" applyFill="1" applyBorder="1" applyAlignment="1"/>
    <xf numFmtId="4" fontId="1" fillId="0" borderId="45" xfId="5" applyNumberFormat="1" applyFont="1" applyFill="1" applyBorder="1" applyAlignment="1"/>
    <xf numFmtId="4" fontId="1" fillId="0" borderId="42" xfId="5" applyNumberFormat="1" applyFont="1" applyFill="1" applyBorder="1" applyAlignment="1">
      <alignment wrapText="1"/>
    </xf>
    <xf numFmtId="165" fontId="1" fillId="0" borderId="34" xfId="2" applyFont="1" applyFill="1" applyBorder="1" applyAlignment="1">
      <alignment horizontal="left" vertical="center"/>
    </xf>
    <xf numFmtId="165" fontId="1" fillId="0" borderId="41" xfId="2" applyFont="1" applyFill="1" applyBorder="1" applyAlignment="1">
      <alignment horizontal="left" vertical="center"/>
    </xf>
    <xf numFmtId="4" fontId="1" fillId="0" borderId="14" xfId="2" applyNumberFormat="1" applyFont="1" applyFill="1" applyBorder="1" applyAlignment="1">
      <alignment vertical="center"/>
    </xf>
    <xf numFmtId="165" fontId="22" fillId="0" borderId="14" xfId="2" applyFont="1" applyFill="1" applyBorder="1" applyAlignment="1" applyProtection="1">
      <alignment horizontal="center" wrapText="1"/>
      <protection locked="0"/>
    </xf>
    <xf numFmtId="4" fontId="1" fillId="0" borderId="14" xfId="2" applyNumberFormat="1" applyFont="1" applyFill="1" applyBorder="1" applyAlignment="1" applyProtection="1">
      <alignment vertical="center"/>
      <protection locked="0"/>
    </xf>
    <xf numFmtId="4" fontId="1" fillId="0" borderId="14" xfId="5" applyNumberFormat="1" applyFont="1" applyFill="1" applyBorder="1" applyAlignment="1">
      <alignment vertical="center"/>
    </xf>
    <xf numFmtId="4" fontId="1" fillId="0" borderId="47" xfId="2" applyNumberFormat="1" applyFont="1" applyFill="1" applyBorder="1" applyAlignment="1" applyProtection="1">
      <alignment vertical="center"/>
      <protection locked="0"/>
    </xf>
    <xf numFmtId="4" fontId="17" fillId="0" borderId="14" xfId="5" applyNumberFormat="1" applyFont="1" applyFill="1" applyBorder="1" applyAlignment="1"/>
    <xf numFmtId="4" fontId="1" fillId="0" borderId="64" xfId="2" applyNumberFormat="1" applyFont="1" applyFill="1" applyBorder="1" applyAlignment="1" applyProtection="1">
      <alignment vertical="center"/>
      <protection locked="0"/>
    </xf>
    <xf numFmtId="4" fontId="1" fillId="0" borderId="15" xfId="2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175" fontId="1" fillId="0" borderId="8" xfId="5" applyNumberFormat="1" applyFont="1" applyFill="1" applyBorder="1"/>
    <xf numFmtId="165" fontId="22" fillId="0" borderId="1" xfId="2" applyFont="1" applyFill="1" applyBorder="1" applyAlignment="1" applyProtection="1">
      <alignment horizontal="center" wrapText="1"/>
      <protection locked="0"/>
    </xf>
    <xf numFmtId="165" fontId="1" fillId="0" borderId="1" xfId="2" applyFont="1" applyFill="1" applyBorder="1" applyAlignment="1">
      <alignment horizontal="left" vertical="center" wrapText="1"/>
    </xf>
    <xf numFmtId="4" fontId="1" fillId="0" borderId="1" xfId="2" applyNumberFormat="1" applyFont="1" applyFill="1" applyBorder="1" applyAlignment="1">
      <alignment vertical="center"/>
    </xf>
    <xf numFmtId="4" fontId="1" fillId="0" borderId="2" xfId="5" applyNumberFormat="1" applyFont="1" applyFill="1" applyBorder="1" applyAlignment="1"/>
    <xf numFmtId="4" fontId="1" fillId="0" borderId="46" xfId="5" applyNumberFormat="1" applyFont="1" applyFill="1" applyBorder="1" applyAlignment="1"/>
    <xf numFmtId="4" fontId="1" fillId="0" borderId="31" xfId="5" applyNumberFormat="1" applyFont="1" applyFill="1" applyBorder="1" applyAlignment="1"/>
    <xf numFmtId="4" fontId="1" fillId="0" borderId="16" xfId="5" applyNumberFormat="1" applyFont="1" applyFill="1" applyBorder="1" applyAlignment="1"/>
    <xf numFmtId="165" fontId="1" fillId="0" borderId="39" xfId="2" applyFont="1" applyFill="1" applyBorder="1" applyAlignment="1">
      <alignment horizontal="left"/>
    </xf>
    <xf numFmtId="165" fontId="22" fillId="0" borderId="39" xfId="2" applyFont="1" applyFill="1" applyBorder="1" applyAlignment="1" applyProtection="1">
      <alignment horizontal="center" wrapText="1"/>
      <protection locked="0"/>
    </xf>
    <xf numFmtId="4" fontId="1" fillId="0" borderId="39" xfId="5" applyNumberFormat="1" applyFont="1" applyFill="1" applyBorder="1" applyAlignment="1"/>
    <xf numFmtId="4" fontId="1" fillId="0" borderId="39" xfId="2" applyNumberFormat="1" applyFont="1" applyFill="1" applyBorder="1" applyAlignment="1"/>
    <xf numFmtId="4" fontId="15" fillId="0" borderId="39" xfId="5" applyNumberFormat="1" applyFont="1" applyFill="1" applyBorder="1" applyAlignment="1"/>
    <xf numFmtId="165" fontId="1" fillId="0" borderId="26" xfId="2" applyFont="1" applyFill="1" applyBorder="1" applyAlignment="1">
      <alignment horizontal="left"/>
    </xf>
    <xf numFmtId="4" fontId="1" fillId="0" borderId="26" xfId="2" applyNumberFormat="1" applyFont="1" applyFill="1" applyBorder="1" applyAlignment="1" applyProtection="1">
      <protection locked="0"/>
    </xf>
    <xf numFmtId="165" fontId="22" fillId="0" borderId="26" xfId="2" applyFont="1" applyFill="1" applyBorder="1" applyAlignment="1" applyProtection="1">
      <alignment horizontal="center" wrapText="1"/>
      <protection locked="0"/>
    </xf>
    <xf numFmtId="4" fontId="1" fillId="0" borderId="26" xfId="5" applyNumberFormat="1" applyFont="1" applyFill="1" applyBorder="1" applyAlignment="1"/>
    <xf numFmtId="4" fontId="1" fillId="0" borderId="26" xfId="2" applyNumberFormat="1" applyFont="1" applyFill="1" applyBorder="1" applyAlignment="1"/>
    <xf numFmtId="4" fontId="15" fillId="0" borderId="26" xfId="5" applyNumberFormat="1" applyFont="1" applyFill="1" applyBorder="1" applyAlignment="1"/>
    <xf numFmtId="165" fontId="1" fillId="0" borderId="0" xfId="2" applyFont="1" applyFill="1" applyBorder="1" applyAlignment="1">
      <alignment horizontal="left"/>
    </xf>
    <xf numFmtId="165" fontId="22" fillId="0" borderId="0" xfId="2" applyFont="1" applyFill="1" applyBorder="1" applyAlignment="1" applyProtection="1">
      <alignment horizontal="center"/>
      <protection locked="0"/>
    </xf>
    <xf numFmtId="4" fontId="1" fillId="0" borderId="0" xfId="2" applyNumberFormat="1" applyFont="1" applyFill="1" applyBorder="1" applyAlignment="1"/>
    <xf numFmtId="4" fontId="15" fillId="0" borderId="0" xfId="5" applyNumberFormat="1" applyFont="1" applyFill="1" applyBorder="1" applyAlignment="1"/>
    <xf numFmtId="165" fontId="22" fillId="0" borderId="26" xfId="2" applyFont="1" applyFill="1" applyBorder="1" applyAlignment="1" applyProtection="1">
      <alignment horizontal="center"/>
      <protection locked="0"/>
    </xf>
    <xf numFmtId="165" fontId="22" fillId="0" borderId="11" xfId="2" applyFont="1" applyFill="1" applyBorder="1" applyAlignment="1">
      <alignment horizontal="left"/>
    </xf>
    <xf numFmtId="4" fontId="22" fillId="0" borderId="11" xfId="2" applyNumberFormat="1" applyFont="1" applyFill="1" applyBorder="1" applyAlignment="1" applyProtection="1">
      <protection locked="0"/>
    </xf>
    <xf numFmtId="165" fontId="22" fillId="0" borderId="11" xfId="2" applyFont="1" applyFill="1" applyBorder="1" applyAlignment="1" applyProtection="1">
      <alignment horizontal="center"/>
      <protection locked="0"/>
    </xf>
    <xf numFmtId="4" fontId="22" fillId="0" borderId="36" xfId="2" applyNumberFormat="1" applyFont="1" applyFill="1" applyBorder="1" applyAlignment="1" applyProtection="1">
      <protection locked="0"/>
    </xf>
    <xf numFmtId="4" fontId="15" fillId="0" borderId="11" xfId="5" applyNumberFormat="1" applyFont="1" applyFill="1" applyBorder="1" applyAlignment="1"/>
    <xf numFmtId="4" fontId="22" fillId="0" borderId="35" xfId="2" applyNumberFormat="1" applyFont="1" applyFill="1" applyBorder="1" applyAlignment="1" applyProtection="1">
      <protection locked="0"/>
    </xf>
    <xf numFmtId="4" fontId="22" fillId="0" borderId="12" xfId="2" applyNumberFormat="1" applyFont="1" applyFill="1" applyBorder="1" applyAlignment="1" applyProtection="1">
      <protection locked="0"/>
    </xf>
    <xf numFmtId="165" fontId="1" fillId="0" borderId="8" xfId="2" applyFont="1" applyFill="1" applyBorder="1" applyAlignment="1">
      <alignment horizontal="left" vertical="distributed"/>
    </xf>
    <xf numFmtId="165" fontId="1" fillId="0" borderId="1" xfId="2" applyFont="1" applyFill="1" applyBorder="1" applyAlignment="1">
      <alignment horizontal="left" vertical="distributed"/>
    </xf>
    <xf numFmtId="4" fontId="1" fillId="0" borderId="1" xfId="2" applyNumberFormat="1" applyFont="1" applyFill="1" applyBorder="1" applyAlignment="1">
      <alignment vertical="distributed"/>
    </xf>
    <xf numFmtId="4" fontId="1" fillId="0" borderId="1" xfId="2" applyNumberFormat="1" applyFont="1" applyFill="1" applyBorder="1" applyAlignment="1" applyProtection="1">
      <alignment vertical="distributed"/>
      <protection locked="0"/>
    </xf>
    <xf numFmtId="4" fontId="1" fillId="0" borderId="1" xfId="5" applyNumberFormat="1" applyFont="1" applyFill="1" applyBorder="1" applyAlignment="1">
      <alignment vertical="distributed"/>
    </xf>
    <xf numFmtId="4" fontId="1" fillId="0" borderId="3" xfId="5" applyNumberFormat="1" applyFont="1" applyFill="1" applyBorder="1" applyAlignment="1">
      <alignment vertical="distributed"/>
    </xf>
    <xf numFmtId="4" fontId="1" fillId="0" borderId="0" xfId="5" applyNumberFormat="1" applyFont="1" applyFill="1" applyBorder="1" applyAlignment="1">
      <alignment vertical="distributed"/>
    </xf>
    <xf numFmtId="4" fontId="1" fillId="0" borderId="13" xfId="5" applyNumberFormat="1" applyFont="1" applyFill="1" applyBorder="1" applyAlignment="1">
      <alignment vertical="distributed"/>
    </xf>
    <xf numFmtId="165" fontId="22" fillId="0" borderId="1" xfId="2" applyFont="1" applyFill="1" applyBorder="1" applyAlignment="1" applyProtection="1">
      <alignment horizontal="center" vertical="distributed"/>
      <protection locked="0"/>
    </xf>
    <xf numFmtId="165" fontId="1" fillId="0" borderId="41" xfId="2" applyFont="1" applyFill="1" applyBorder="1" applyAlignment="1">
      <alignment horizontal="left" vertical="distributed"/>
    </xf>
    <xf numFmtId="165" fontId="1" fillId="0" borderId="14" xfId="2" applyFont="1" applyFill="1" applyBorder="1" applyAlignment="1">
      <alignment horizontal="left" vertical="distributed"/>
    </xf>
    <xf numFmtId="4" fontId="1" fillId="0" borderId="14" xfId="2" applyNumberFormat="1" applyFont="1" applyFill="1" applyBorder="1" applyAlignment="1">
      <alignment vertical="distributed"/>
    </xf>
    <xf numFmtId="165" fontId="22" fillId="0" borderId="14" xfId="2" applyFont="1" applyFill="1" applyBorder="1" applyAlignment="1" applyProtection="1">
      <alignment horizontal="center"/>
      <protection locked="0"/>
    </xf>
    <xf numFmtId="4" fontId="1" fillId="0" borderId="14" xfId="2" applyNumberFormat="1" applyFont="1" applyFill="1" applyBorder="1" applyAlignment="1" applyProtection="1">
      <alignment vertical="distributed"/>
      <protection locked="0"/>
    </xf>
    <xf numFmtId="4" fontId="1" fillId="0" borderId="47" xfId="2" applyNumberFormat="1" applyFont="1" applyFill="1" applyBorder="1" applyAlignment="1" applyProtection="1">
      <alignment vertical="distributed"/>
      <protection locked="0"/>
    </xf>
    <xf numFmtId="4" fontId="1" fillId="0" borderId="26" xfId="2" applyNumberFormat="1" applyFont="1" applyFill="1" applyBorder="1" applyAlignment="1" applyProtection="1">
      <alignment vertical="distributed"/>
      <protection locked="0"/>
    </xf>
    <xf numFmtId="4" fontId="1" fillId="0" borderId="15" xfId="2" applyNumberFormat="1" applyFont="1" applyFill="1" applyBorder="1" applyAlignment="1" applyProtection="1">
      <alignment vertical="distributed"/>
      <protection locked="0"/>
    </xf>
    <xf numFmtId="165" fontId="1" fillId="0" borderId="29" xfId="2" applyFont="1" applyFill="1" applyBorder="1" applyAlignment="1">
      <alignment horizontal="left" vertical="distributed"/>
    </xf>
    <xf numFmtId="165" fontId="1" fillId="0" borderId="11" xfId="2" applyFont="1" applyFill="1" applyBorder="1" applyAlignment="1">
      <alignment horizontal="left" vertical="distributed"/>
    </xf>
    <xf numFmtId="4" fontId="1" fillId="0" borderId="11" xfId="2" applyNumberFormat="1" applyFont="1" applyFill="1" applyBorder="1" applyAlignment="1">
      <alignment vertical="distributed"/>
    </xf>
    <xf numFmtId="165" fontId="22" fillId="0" borderId="11" xfId="2" applyFont="1" applyFill="1" applyBorder="1" applyAlignment="1" applyProtection="1">
      <alignment horizontal="center" vertical="distributed"/>
      <protection locked="0"/>
    </xf>
    <xf numFmtId="4" fontId="1" fillId="0" borderId="11" xfId="2" applyNumberFormat="1" applyFont="1" applyFill="1" applyBorder="1" applyAlignment="1" applyProtection="1">
      <alignment vertical="distributed"/>
      <protection locked="0"/>
    </xf>
    <xf numFmtId="4" fontId="1" fillId="0" borderId="43" xfId="2" applyNumberFormat="1" applyFont="1" applyFill="1" applyBorder="1" applyAlignment="1" applyProtection="1">
      <alignment vertical="distributed"/>
      <protection locked="0"/>
    </xf>
    <xf numFmtId="4" fontId="1" fillId="0" borderId="10" xfId="2" applyNumberFormat="1" applyFont="1" applyFill="1" applyBorder="1" applyAlignment="1" applyProtection="1">
      <alignment vertical="distributed"/>
      <protection locked="0"/>
    </xf>
    <xf numFmtId="4" fontId="22" fillId="0" borderId="24" xfId="2" applyNumberFormat="1" applyFont="1" applyFill="1" applyBorder="1" applyAlignment="1" applyProtection="1">
      <protection locked="0"/>
    </xf>
    <xf numFmtId="165" fontId="1" fillId="0" borderId="8" xfId="2" applyFont="1" applyFill="1" applyBorder="1" applyAlignment="1"/>
    <xf numFmtId="165" fontId="1" fillId="0" borderId="8" xfId="2" applyFont="1" applyFill="1" applyBorder="1" applyAlignment="1">
      <alignment vertical="center"/>
    </xf>
    <xf numFmtId="0" fontId="1" fillId="0" borderId="40" xfId="0" applyFont="1" applyFill="1" applyBorder="1"/>
    <xf numFmtId="0" fontId="1" fillId="0" borderId="2" xfId="0" applyFont="1" applyFill="1" applyBorder="1" applyAlignment="1">
      <alignment horizontal="left"/>
    </xf>
    <xf numFmtId="4" fontId="22" fillId="0" borderId="2" xfId="2" applyNumberFormat="1" applyFont="1" applyFill="1" applyBorder="1" applyAlignment="1" applyProtection="1">
      <protection locked="0"/>
    </xf>
    <xf numFmtId="4" fontId="22" fillId="0" borderId="46" xfId="2" applyNumberFormat="1" applyFont="1" applyFill="1" applyBorder="1" applyAlignment="1" applyProtection="1">
      <protection locked="0"/>
    </xf>
    <xf numFmtId="4" fontId="22" fillId="0" borderId="31" xfId="2" applyNumberFormat="1" applyFont="1" applyFill="1" applyBorder="1" applyAlignment="1" applyProtection="1">
      <protection locked="0"/>
    </xf>
    <xf numFmtId="4" fontId="22" fillId="0" borderId="16" xfId="2" applyNumberFormat="1" applyFont="1" applyFill="1" applyBorder="1" applyAlignment="1" applyProtection="1">
      <protection locked="0"/>
    </xf>
    <xf numFmtId="165" fontId="1" fillId="0" borderId="38" xfId="2" applyFont="1" applyFill="1" applyBorder="1" applyAlignment="1"/>
    <xf numFmtId="165" fontId="1" fillId="0" borderId="21" xfId="2" applyFont="1" applyFill="1" applyBorder="1" applyAlignment="1">
      <alignment horizontal="left"/>
    </xf>
    <xf numFmtId="4" fontId="1" fillId="0" borderId="1" xfId="2" applyNumberFormat="1" applyFont="1" applyFill="1" applyBorder="1" applyAlignment="1" applyProtection="1">
      <alignment vertical="center"/>
      <protection locked="0"/>
    </xf>
    <xf numFmtId="165" fontId="1" fillId="0" borderId="1" xfId="2" applyFont="1" applyFill="1" applyBorder="1" applyAlignment="1" applyProtection="1">
      <alignment horizontal="center"/>
      <protection locked="0"/>
    </xf>
    <xf numFmtId="165" fontId="25" fillId="0" borderId="8" xfId="2" applyFont="1" applyFill="1" applyBorder="1" applyAlignment="1">
      <alignment horizontal="left"/>
    </xf>
    <xf numFmtId="165" fontId="25" fillId="0" borderId="1" xfId="2" applyFont="1" applyFill="1" applyBorder="1" applyAlignment="1">
      <alignment horizontal="left"/>
    </xf>
    <xf numFmtId="37" fontId="25" fillId="0" borderId="1" xfId="5" applyFont="1" applyFill="1" applyBorder="1" applyAlignment="1">
      <alignment horizontal="center"/>
    </xf>
    <xf numFmtId="0" fontId="1" fillId="0" borderId="8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left"/>
    </xf>
    <xf numFmtId="165" fontId="1" fillId="0" borderId="21" xfId="2" applyFont="1" applyFill="1" applyBorder="1" applyAlignment="1" applyProtection="1">
      <alignment horizontal="center"/>
      <protection locked="0"/>
    </xf>
    <xf numFmtId="165" fontId="1" fillId="0" borderId="8" xfId="2" applyFont="1" applyFill="1" applyBorder="1" applyAlignment="1">
      <alignment horizontal="left" vertical="center"/>
    </xf>
    <xf numFmtId="165" fontId="1" fillId="0" borderId="1" xfId="2" applyFont="1" applyFill="1" applyBorder="1" applyAlignment="1">
      <alignment horizontal="left" vertical="center"/>
    </xf>
    <xf numFmtId="165" fontId="22" fillId="0" borderId="1" xfId="2" applyFont="1" applyFill="1" applyBorder="1" applyAlignment="1" applyProtection="1">
      <alignment horizontal="center" vertical="center"/>
      <protection locked="0"/>
    </xf>
    <xf numFmtId="4" fontId="1" fillId="0" borderId="3" xfId="2" applyNumberFormat="1" applyFont="1" applyFill="1" applyBorder="1" applyAlignment="1" applyProtection="1">
      <alignment vertical="center"/>
      <protection locked="0"/>
    </xf>
    <xf numFmtId="4" fontId="1" fillId="0" borderId="0" xfId="2" applyNumberFormat="1" applyFont="1" applyFill="1" applyBorder="1" applyAlignment="1" applyProtection="1">
      <alignment vertical="center"/>
      <protection locked="0"/>
    </xf>
    <xf numFmtId="4" fontId="1" fillId="0" borderId="13" xfId="2" applyNumberFormat="1" applyFont="1" applyFill="1" applyBorder="1" applyAlignment="1" applyProtection="1">
      <alignment vertical="center"/>
      <protection locked="0"/>
    </xf>
    <xf numFmtId="165" fontId="22" fillId="0" borderId="1" xfId="2" applyFont="1" applyFill="1" applyBorder="1" applyAlignment="1">
      <alignment horizontal="left" vertical="center"/>
    </xf>
    <xf numFmtId="4" fontId="22" fillId="0" borderId="1" xfId="2" applyNumberFormat="1" applyFont="1" applyFill="1" applyBorder="1" applyAlignment="1">
      <alignment vertical="center"/>
    </xf>
    <xf numFmtId="165" fontId="22" fillId="0" borderId="1" xfId="2" applyFont="1" applyFill="1" applyBorder="1" applyAlignment="1">
      <alignment horizontal="center" vertical="center"/>
    </xf>
    <xf numFmtId="4" fontId="22" fillId="0" borderId="3" xfId="2" applyNumberFormat="1" applyFont="1" applyFill="1" applyBorder="1" applyAlignment="1">
      <alignment vertical="center"/>
    </xf>
    <xf numFmtId="4" fontId="22" fillId="0" borderId="13" xfId="2" applyNumberFormat="1" applyFont="1" applyFill="1" applyBorder="1" applyAlignment="1">
      <alignment vertical="center"/>
    </xf>
    <xf numFmtId="4" fontId="1" fillId="0" borderId="1" xfId="2" applyNumberFormat="1" applyFont="1" applyFill="1" applyBorder="1" applyAlignment="1" applyProtection="1">
      <alignment horizontal="right"/>
      <protection locked="0"/>
    </xf>
    <xf numFmtId="165" fontId="22" fillId="0" borderId="1" xfId="2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" fontId="1" fillId="0" borderId="13" xfId="2" applyNumberFormat="1" applyFont="1" applyFill="1" applyBorder="1" applyAlignment="1"/>
    <xf numFmtId="165" fontId="25" fillId="0" borderId="1" xfId="2" applyFont="1" applyFill="1" applyBorder="1" applyAlignment="1">
      <alignment horizontal="center"/>
    </xf>
    <xf numFmtId="4" fontId="1" fillId="0" borderId="3" xfId="5" applyNumberFormat="1" applyFont="1" applyFill="1" applyBorder="1" applyAlignment="1">
      <alignment vertical="center"/>
    </xf>
    <xf numFmtId="4" fontId="1" fillId="0" borderId="0" xfId="2" applyNumberFormat="1" applyFont="1" applyFill="1" applyBorder="1" applyAlignment="1">
      <alignment vertical="center"/>
    </xf>
    <xf numFmtId="4" fontId="1" fillId="0" borderId="13" xfId="2" applyNumberFormat="1" applyFont="1" applyFill="1" applyBorder="1" applyAlignment="1">
      <alignment vertical="center"/>
    </xf>
    <xf numFmtId="165" fontId="22" fillId="0" borderId="2" xfId="2" applyFont="1" applyFill="1" applyBorder="1" applyAlignment="1">
      <alignment horizontal="center"/>
    </xf>
    <xf numFmtId="4" fontId="1" fillId="0" borderId="31" xfId="2" applyNumberFormat="1" applyFont="1" applyFill="1" applyBorder="1" applyAlignment="1"/>
    <xf numFmtId="4" fontId="1" fillId="0" borderId="16" xfId="2" applyNumberFormat="1" applyFont="1" applyFill="1" applyBorder="1" applyAlignment="1"/>
    <xf numFmtId="165" fontId="1" fillId="0" borderId="41" xfId="2" applyFont="1" applyFill="1" applyBorder="1" applyAlignment="1">
      <alignment horizontal="left"/>
    </xf>
    <xf numFmtId="165" fontId="1" fillId="0" borderId="14" xfId="2" applyFont="1" applyFill="1" applyBorder="1" applyAlignment="1">
      <alignment horizontal="left"/>
    </xf>
    <xf numFmtId="4" fontId="1" fillId="0" borderId="14" xfId="2" applyNumberFormat="1" applyFont="1" applyFill="1" applyBorder="1" applyAlignment="1"/>
    <xf numFmtId="165" fontId="22" fillId="0" borderId="14" xfId="2" applyFont="1" applyFill="1" applyBorder="1" applyAlignment="1">
      <alignment horizontal="center"/>
    </xf>
    <xf numFmtId="4" fontId="1" fillId="0" borderId="14" xfId="2" applyNumberFormat="1" applyFont="1" applyFill="1" applyBorder="1" applyAlignment="1" applyProtection="1">
      <protection locked="0"/>
    </xf>
    <xf numFmtId="4" fontId="1" fillId="0" borderId="47" xfId="5" applyNumberFormat="1" applyFont="1" applyFill="1" applyBorder="1" applyAlignment="1"/>
    <xf numFmtId="4" fontId="15" fillId="0" borderId="14" xfId="5" applyNumberFormat="1" applyFont="1" applyFill="1" applyBorder="1" applyAlignment="1"/>
    <xf numFmtId="4" fontId="1" fillId="0" borderId="15" xfId="2" applyNumberFormat="1" applyFont="1" applyFill="1" applyBorder="1" applyAlignment="1"/>
    <xf numFmtId="4" fontId="22" fillId="0" borderId="7" xfId="2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5" fontId="22" fillId="0" borderId="21" xfId="2" applyFont="1" applyFill="1" applyBorder="1" applyAlignment="1">
      <alignment horizontal="center"/>
    </xf>
    <xf numFmtId="4" fontId="1" fillId="0" borderId="49" xfId="2" applyNumberFormat="1" applyFont="1" applyFill="1" applyBorder="1" applyAlignment="1"/>
    <xf numFmtId="165" fontId="1" fillId="0" borderId="8" xfId="2" applyFont="1" applyFill="1" applyBorder="1" applyAlignment="1">
      <alignment horizontal="left" vertical="top"/>
    </xf>
    <xf numFmtId="165" fontId="22" fillId="0" borderId="1" xfId="2" applyFont="1" applyFill="1" applyBorder="1" applyAlignment="1">
      <alignment horizontal="left" vertical="top"/>
    </xf>
    <xf numFmtId="4" fontId="22" fillId="0" borderId="1" xfId="2" applyNumberFormat="1" applyFont="1" applyFill="1" applyBorder="1" applyAlignment="1">
      <alignment vertical="top"/>
    </xf>
    <xf numFmtId="4" fontId="1" fillId="0" borderId="1" xfId="2" applyNumberFormat="1" applyFont="1" applyFill="1" applyBorder="1" applyAlignment="1">
      <alignment vertical="top"/>
    </xf>
    <xf numFmtId="4" fontId="1" fillId="0" borderId="3" xfId="5" applyNumberFormat="1" applyFont="1" applyFill="1" applyBorder="1" applyAlignment="1">
      <alignment vertical="top"/>
    </xf>
    <xf numFmtId="0" fontId="1" fillId="0" borderId="0" xfId="0" applyFont="1" applyAlignment="1">
      <alignment vertical="top"/>
    </xf>
    <xf numFmtId="165" fontId="22" fillId="0" borderId="1" xfId="2" applyFont="1" applyFill="1" applyBorder="1" applyAlignment="1" applyProtection="1">
      <alignment horizontal="center" vertical="center" wrapText="1"/>
      <protection locked="0"/>
    </xf>
    <xf numFmtId="165" fontId="1" fillId="0" borderId="41" xfId="2" applyFont="1" applyFill="1" applyBorder="1" applyAlignment="1">
      <alignment horizontal="left" vertical="top"/>
    </xf>
    <xf numFmtId="165" fontId="22" fillId="0" borderId="14" xfId="2" applyFont="1" applyFill="1" applyBorder="1" applyAlignment="1">
      <alignment horizontal="left" vertical="top"/>
    </xf>
    <xf numFmtId="4" fontId="22" fillId="0" borderId="14" xfId="2" applyNumberFormat="1" applyFont="1" applyFill="1" applyBorder="1" applyAlignment="1">
      <alignment vertical="top"/>
    </xf>
    <xf numFmtId="165" fontId="1" fillId="0" borderId="52" xfId="2" applyFont="1" applyFill="1" applyBorder="1" applyAlignment="1">
      <alignment horizontal="left" vertical="top"/>
    </xf>
    <xf numFmtId="165" fontId="22" fillId="0" borderId="11" xfId="2" applyFont="1" applyFill="1" applyBorder="1" applyAlignment="1">
      <alignment horizontal="left" vertical="top"/>
    </xf>
    <xf numFmtId="4" fontId="1" fillId="0" borderId="11" xfId="2" applyNumberFormat="1" applyFont="1" applyFill="1" applyBorder="1" applyAlignment="1">
      <alignment vertical="top"/>
    </xf>
    <xf numFmtId="165" fontId="22" fillId="0" borderId="11" xfId="2" applyFont="1" applyFill="1" applyBorder="1" applyAlignment="1" applyProtection="1">
      <alignment horizontal="center" vertical="top"/>
      <protection locked="0"/>
    </xf>
    <xf numFmtId="4" fontId="1" fillId="0" borderId="11" xfId="2" applyNumberFormat="1" applyFont="1" applyFill="1" applyBorder="1" applyAlignment="1" applyProtection="1">
      <alignment vertical="top"/>
      <protection locked="0"/>
    </xf>
    <xf numFmtId="4" fontId="1" fillId="0" borderId="36" xfId="5" applyNumberFormat="1" applyFont="1" applyFill="1" applyBorder="1" applyAlignment="1">
      <alignment vertical="top"/>
    </xf>
    <xf numFmtId="4" fontId="22" fillId="0" borderId="11" xfId="2" applyNumberFormat="1" applyFont="1" applyFill="1" applyBorder="1" applyAlignment="1">
      <alignment vertical="center"/>
    </xf>
    <xf numFmtId="4" fontId="22" fillId="0" borderId="35" xfId="2" applyNumberFormat="1" applyFont="1" applyFill="1" applyBorder="1" applyAlignment="1">
      <alignment vertical="center"/>
    </xf>
    <xf numFmtId="4" fontId="22" fillId="0" borderId="12" xfId="2" applyNumberFormat="1" applyFont="1" applyFill="1" applyBorder="1" applyAlignment="1">
      <alignment vertical="center"/>
    </xf>
    <xf numFmtId="165" fontId="22" fillId="0" borderId="14" xfId="2" applyFont="1" applyFill="1" applyBorder="1" applyAlignment="1">
      <alignment horizontal="left"/>
    </xf>
    <xf numFmtId="4" fontId="22" fillId="0" borderId="14" xfId="2" applyNumberFormat="1" applyFont="1" applyFill="1" applyBorder="1" applyAlignment="1"/>
    <xf numFmtId="4" fontId="22" fillId="0" borderId="14" xfId="2" applyNumberFormat="1" applyFont="1" applyFill="1" applyBorder="1" applyAlignment="1">
      <alignment vertical="center"/>
    </xf>
    <xf numFmtId="4" fontId="22" fillId="0" borderId="47" xfId="2" applyNumberFormat="1" applyFont="1" applyFill="1" applyBorder="1" applyAlignment="1">
      <alignment vertical="center"/>
    </xf>
    <xf numFmtId="4" fontId="22" fillId="0" borderId="19" xfId="2" applyNumberFormat="1" applyFont="1" applyFill="1" applyBorder="1" applyAlignment="1"/>
    <xf numFmtId="165" fontId="1" fillId="0" borderId="38" xfId="2" applyFont="1" applyFill="1" applyBorder="1" applyAlignment="1">
      <alignment horizontal="left" vertical="center"/>
    </xf>
    <xf numFmtId="165" fontId="1" fillId="0" borderId="21" xfId="2" applyFont="1" applyFill="1" applyBorder="1" applyAlignment="1">
      <alignment horizontal="left" vertical="center" wrapText="1"/>
    </xf>
    <xf numFmtId="4" fontId="1" fillId="0" borderId="21" xfId="2" applyNumberFormat="1" applyFont="1" applyFill="1" applyBorder="1" applyAlignment="1">
      <alignment vertical="center" wrapText="1"/>
    </xf>
    <xf numFmtId="165" fontId="22" fillId="0" borderId="21" xfId="2" applyFont="1" applyFill="1" applyBorder="1" applyAlignment="1" applyProtection="1">
      <alignment horizontal="center" wrapText="1"/>
      <protection locked="0"/>
    </xf>
    <xf numFmtId="4" fontId="1" fillId="0" borderId="21" xfId="2" applyNumberFormat="1" applyFont="1" applyFill="1" applyBorder="1" applyAlignment="1" applyProtection="1">
      <alignment vertical="center"/>
      <protection locked="0"/>
    </xf>
    <xf numFmtId="4" fontId="1" fillId="0" borderId="21" xfId="2" applyNumberFormat="1" applyFont="1" applyFill="1" applyBorder="1" applyAlignment="1">
      <alignment vertical="center"/>
    </xf>
    <xf numFmtId="4" fontId="1" fillId="0" borderId="45" xfId="2" applyNumberFormat="1" applyFont="1" applyFill="1" applyBorder="1" applyAlignment="1">
      <alignment vertical="center"/>
    </xf>
    <xf numFmtId="4" fontId="17" fillId="0" borderId="21" xfId="5" applyNumberFormat="1" applyFont="1" applyFill="1" applyBorder="1" applyAlignment="1"/>
    <xf numFmtId="4" fontId="1" fillId="0" borderId="39" xfId="2" applyNumberFormat="1" applyFont="1" applyFill="1" applyBorder="1" applyAlignment="1">
      <alignment vertical="center"/>
    </xf>
    <xf numFmtId="4" fontId="1" fillId="0" borderId="49" xfId="2" applyNumberFormat="1" applyFont="1" applyFill="1" applyBorder="1" applyAlignment="1">
      <alignment vertical="center"/>
    </xf>
    <xf numFmtId="165" fontId="1" fillId="0" borderId="25" xfId="2" applyFont="1" applyFill="1" applyBorder="1" applyAlignment="1">
      <alignment horizontal="left"/>
    </xf>
    <xf numFmtId="0" fontId="1" fillId="0" borderId="31" xfId="0" applyFont="1" applyFill="1" applyBorder="1" applyAlignment="1">
      <alignment horizontal="left"/>
    </xf>
    <xf numFmtId="165" fontId="22" fillId="0" borderId="31" xfId="2" applyFont="1" applyFill="1" applyBorder="1" applyAlignment="1" applyProtection="1">
      <alignment horizontal="center"/>
      <protection locked="0"/>
    </xf>
    <xf numFmtId="4" fontId="1" fillId="0" borderId="31" xfId="2" applyNumberFormat="1" applyFont="1" applyFill="1" applyBorder="1" applyAlignment="1" applyProtection="1">
      <alignment vertical="center"/>
      <protection locked="0"/>
    </xf>
    <xf numFmtId="4" fontId="17" fillId="0" borderId="31" xfId="5" applyNumberFormat="1" applyFont="1" applyFill="1" applyBorder="1" applyAlignment="1"/>
    <xf numFmtId="165" fontId="1" fillId="0" borderId="52" xfId="2" applyFont="1" applyFill="1" applyBorder="1" applyAlignment="1">
      <alignment horizontal="left" vertical="center"/>
    </xf>
    <xf numFmtId="165" fontId="1" fillId="0" borderId="11" xfId="2" applyFont="1" applyFill="1" applyBorder="1" applyAlignment="1">
      <alignment horizontal="left" vertical="center" wrapText="1"/>
    </xf>
    <xf numFmtId="4" fontId="1" fillId="0" borderId="11" xfId="2" applyNumberFormat="1" applyFont="1" applyFill="1" applyBorder="1" applyAlignment="1">
      <alignment vertical="center" wrapText="1"/>
    </xf>
    <xf numFmtId="165" fontId="22" fillId="0" borderId="11" xfId="2" applyFont="1" applyFill="1" applyBorder="1" applyAlignment="1" applyProtection="1">
      <alignment horizontal="center" wrapText="1"/>
      <protection locked="0"/>
    </xf>
    <xf numFmtId="4" fontId="1" fillId="0" borderId="11" xfId="2" applyNumberFormat="1" applyFont="1" applyFill="1" applyBorder="1" applyAlignment="1"/>
    <xf numFmtId="4" fontId="1" fillId="0" borderId="36" xfId="2" applyNumberFormat="1" applyFont="1" applyFill="1" applyBorder="1" applyAlignment="1">
      <alignment vertical="center"/>
    </xf>
    <xf numFmtId="4" fontId="1" fillId="0" borderId="11" xfId="2" applyNumberFormat="1" applyFont="1" applyFill="1" applyBorder="1" applyAlignment="1">
      <alignment vertical="center"/>
    </xf>
    <xf numFmtId="4" fontId="17" fillId="0" borderId="11" xfId="5" applyNumberFormat="1" applyFont="1" applyFill="1" applyBorder="1" applyAlignment="1"/>
    <xf numFmtId="4" fontId="1" fillId="0" borderId="35" xfId="2" applyNumberFormat="1" applyFont="1" applyFill="1" applyBorder="1" applyAlignment="1">
      <alignment vertical="center"/>
    </xf>
    <xf numFmtId="4" fontId="1" fillId="0" borderId="12" xfId="2" applyNumberFormat="1" applyFont="1" applyFill="1" applyBorder="1" applyAlignment="1">
      <alignment vertical="center"/>
    </xf>
    <xf numFmtId="165" fontId="22" fillId="0" borderId="2" xfId="2" applyFont="1" applyFill="1" applyBorder="1" applyAlignment="1" applyProtection="1">
      <alignment horizontal="center" wrapText="1"/>
      <protection locked="0"/>
    </xf>
    <xf numFmtId="4" fontId="1" fillId="0" borderId="2" xfId="2" applyNumberFormat="1" applyFont="1" applyFill="1" applyBorder="1" applyAlignment="1" applyProtection="1">
      <alignment vertical="center"/>
      <protection locked="0"/>
    </xf>
    <xf numFmtId="4" fontId="1" fillId="0" borderId="46" xfId="2" applyNumberFormat="1" applyFont="1" applyFill="1" applyBorder="1" applyAlignment="1"/>
    <xf numFmtId="165" fontId="1" fillId="0" borderId="1" xfId="2" applyFont="1" applyFill="1" applyBorder="1" applyAlignment="1">
      <alignment horizontal="left" vertical="top" wrapText="1"/>
    </xf>
    <xf numFmtId="4" fontId="22" fillId="0" borderId="3" xfId="2" applyNumberFormat="1" applyFont="1" applyFill="1" applyBorder="1" applyAlignment="1">
      <alignment vertical="top"/>
    </xf>
    <xf numFmtId="165" fontId="1" fillId="0" borderId="1" xfId="2" applyFont="1" applyFill="1" applyBorder="1" applyAlignment="1">
      <alignment horizontal="left" vertical="top"/>
    </xf>
    <xf numFmtId="165" fontId="22" fillId="0" borderId="1" xfId="2" applyFont="1" applyFill="1" applyBorder="1" applyAlignment="1" applyProtection="1">
      <alignment horizontal="center" vertical="top"/>
      <protection locked="0"/>
    </xf>
    <xf numFmtId="165" fontId="1" fillId="0" borderId="38" xfId="2" applyFont="1" applyFill="1" applyBorder="1" applyAlignment="1">
      <alignment horizontal="left" vertical="top"/>
    </xf>
    <xf numFmtId="165" fontId="1" fillId="0" borderId="21" xfId="2" applyFont="1" applyFill="1" applyBorder="1" applyAlignment="1">
      <alignment horizontal="left" vertical="top"/>
    </xf>
    <xf numFmtId="4" fontId="1" fillId="0" borderId="21" xfId="2" applyNumberFormat="1" applyFont="1" applyFill="1" applyBorder="1" applyAlignment="1">
      <alignment vertical="top"/>
    </xf>
    <xf numFmtId="165" fontId="22" fillId="0" borderId="21" xfId="2" applyFont="1" applyFill="1" applyBorder="1" applyAlignment="1" applyProtection="1">
      <alignment horizontal="center" vertical="top"/>
      <protection locked="0"/>
    </xf>
    <xf numFmtId="4" fontId="22" fillId="0" borderId="21" xfId="2" applyNumberFormat="1" applyFont="1" applyFill="1" applyBorder="1" applyAlignment="1">
      <alignment vertical="top"/>
    </xf>
    <xf numFmtId="4" fontId="22" fillId="0" borderId="45" xfId="2" applyNumberFormat="1" applyFont="1" applyFill="1" applyBorder="1" applyAlignment="1">
      <alignment vertical="top"/>
    </xf>
    <xf numFmtId="165" fontId="1" fillId="0" borderId="1" xfId="2" applyFont="1" applyFill="1" applyBorder="1" applyAlignment="1">
      <alignment horizontal="left" wrapText="1"/>
    </xf>
    <xf numFmtId="165" fontId="15" fillId="0" borderId="3" xfId="2" applyFont="1" applyFill="1" applyBorder="1" applyAlignment="1">
      <alignment horizontal="left" wrapText="1"/>
    </xf>
    <xf numFmtId="165" fontId="15" fillId="0" borderId="46" xfId="2" applyFont="1" applyFill="1" applyBorder="1" applyAlignment="1">
      <alignment wrapText="1"/>
    </xf>
    <xf numFmtId="4" fontId="17" fillId="0" borderId="2" xfId="0" applyNumberFormat="1" applyFont="1" applyFill="1" applyBorder="1" applyAlignment="1">
      <alignment wrapText="1"/>
    </xf>
    <xf numFmtId="4" fontId="22" fillId="0" borderId="46" xfId="2" applyNumberFormat="1" applyFont="1" applyFill="1" applyBorder="1" applyAlignment="1"/>
    <xf numFmtId="165" fontId="1" fillId="0" borderId="40" xfId="2" applyFont="1" applyFill="1" applyBorder="1" applyAlignment="1">
      <alignment horizontal="left" vertical="top"/>
    </xf>
    <xf numFmtId="165" fontId="1" fillId="0" borderId="2" xfId="2" applyFont="1" applyFill="1" applyBorder="1" applyAlignment="1">
      <alignment horizontal="left" vertical="top"/>
    </xf>
    <xf numFmtId="4" fontId="1" fillId="0" borderId="2" xfId="2" applyNumberFormat="1" applyFont="1" applyFill="1" applyBorder="1" applyAlignment="1">
      <alignment vertical="top"/>
    </xf>
    <xf numFmtId="165" fontId="22" fillId="0" borderId="2" xfId="2" applyFont="1" applyFill="1" applyBorder="1" applyAlignment="1" applyProtection="1">
      <alignment horizontal="center" vertical="top"/>
      <protection locked="0"/>
    </xf>
    <xf numFmtId="4" fontId="22" fillId="0" borderId="2" xfId="2" applyNumberFormat="1" applyFont="1" applyFill="1" applyBorder="1" applyAlignment="1">
      <alignment vertical="top"/>
    </xf>
    <xf numFmtId="4" fontId="22" fillId="0" borderId="46" xfId="2" applyNumberFormat="1" applyFont="1" applyFill="1" applyBorder="1" applyAlignment="1">
      <alignment vertical="top"/>
    </xf>
    <xf numFmtId="165" fontId="1" fillId="0" borderId="21" xfId="2" applyFont="1" applyFill="1" applyBorder="1" applyAlignment="1">
      <alignment horizontal="left" wrapText="1"/>
    </xf>
    <xf numFmtId="165" fontId="1" fillId="0" borderId="2" xfId="2" applyFont="1" applyFill="1" applyBorder="1" applyAlignment="1">
      <alignment horizontal="left" wrapText="1"/>
    </xf>
    <xf numFmtId="165" fontId="22" fillId="0" borderId="2" xfId="2" applyFont="1" applyFill="1" applyBorder="1" applyAlignment="1" applyProtection="1">
      <alignment horizontal="left"/>
      <protection locked="0"/>
    </xf>
    <xf numFmtId="165" fontId="1" fillId="0" borderId="53" xfId="2" applyFont="1" applyFill="1" applyBorder="1" applyAlignment="1">
      <alignment horizontal="left" vertical="top"/>
    </xf>
    <xf numFmtId="165" fontId="17" fillId="0" borderId="42" xfId="2" applyFont="1" applyFill="1" applyBorder="1"/>
    <xf numFmtId="4" fontId="1" fillId="0" borderId="42" xfId="2" applyNumberFormat="1" applyFont="1" applyFill="1" applyBorder="1" applyAlignment="1"/>
    <xf numFmtId="165" fontId="22" fillId="0" borderId="42" xfId="2" applyFont="1" applyFill="1" applyBorder="1" applyAlignment="1" applyProtection="1">
      <alignment horizontal="center" wrapText="1"/>
      <protection locked="0"/>
    </xf>
    <xf numFmtId="4" fontId="1" fillId="0" borderId="42" xfId="2" applyNumberFormat="1" applyFont="1" applyFill="1" applyBorder="1" applyAlignment="1" applyProtection="1">
      <alignment vertical="center"/>
      <protection locked="0"/>
    </xf>
    <xf numFmtId="4" fontId="22" fillId="0" borderId="42" xfId="2" applyNumberFormat="1" applyFont="1" applyFill="1" applyBorder="1" applyAlignment="1"/>
    <xf numFmtId="4" fontId="22" fillId="0" borderId="48" xfId="2" applyNumberFormat="1" applyFont="1" applyFill="1" applyBorder="1" applyAlignment="1"/>
    <xf numFmtId="4" fontId="15" fillId="0" borderId="42" xfId="5" applyNumberFormat="1" applyFont="1" applyFill="1" applyBorder="1" applyAlignment="1"/>
    <xf numFmtId="4" fontId="1" fillId="0" borderId="63" xfId="2" applyNumberFormat="1" applyFont="1" applyFill="1" applyBorder="1" applyAlignment="1"/>
    <xf numFmtId="4" fontId="1" fillId="0" borderId="50" xfId="2" applyNumberFormat="1" applyFont="1" applyFill="1" applyBorder="1" applyAlignment="1"/>
    <xf numFmtId="0" fontId="1" fillId="0" borderId="2" xfId="0" applyFont="1" applyFill="1" applyBorder="1" applyAlignment="1">
      <alignment horizontal="left" wrapText="1"/>
    </xf>
    <xf numFmtId="4" fontId="1" fillId="0" borderId="5" xfId="2" applyNumberFormat="1" applyFont="1" applyFill="1" applyBorder="1" applyAlignment="1" applyProtection="1">
      <alignment vertical="center"/>
      <protection locked="0"/>
    </xf>
    <xf numFmtId="4" fontId="1" fillId="0" borderId="21" xfId="2" applyNumberFormat="1" applyFont="1" applyFill="1" applyBorder="1" applyAlignment="1">
      <alignment wrapText="1"/>
    </xf>
    <xf numFmtId="4" fontId="1" fillId="0" borderId="45" xfId="2" applyNumberFormat="1" applyFont="1" applyFill="1" applyBorder="1" applyAlignment="1"/>
    <xf numFmtId="4" fontId="1" fillId="0" borderId="49" xfId="2" applyNumberFormat="1" applyFont="1" applyFill="1" applyBorder="1" applyAlignment="1">
      <alignment horizontal="right"/>
    </xf>
    <xf numFmtId="0" fontId="1" fillId="0" borderId="1" xfId="0" applyFont="1" applyBorder="1" applyAlignment="1"/>
    <xf numFmtId="4" fontId="1" fillId="0" borderId="1" xfId="2" applyNumberFormat="1" applyFont="1" applyBorder="1" applyAlignment="1"/>
    <xf numFmtId="4" fontId="1" fillId="0" borderId="1" xfId="0" applyNumberFormat="1" applyFont="1" applyBorder="1" applyAlignment="1"/>
    <xf numFmtId="4" fontId="1" fillId="0" borderId="3" xfId="0" applyNumberFormat="1" applyFont="1" applyBorder="1" applyAlignment="1"/>
    <xf numFmtId="0" fontId="1" fillId="0" borderId="14" xfId="0" applyFont="1" applyBorder="1" applyAlignment="1"/>
    <xf numFmtId="4" fontId="1" fillId="0" borderId="14" xfId="2" applyNumberFormat="1" applyFont="1" applyBorder="1" applyAlignment="1"/>
    <xf numFmtId="165" fontId="1" fillId="0" borderId="14" xfId="2" applyFont="1" applyBorder="1" applyAlignment="1">
      <alignment horizontal="center"/>
    </xf>
    <xf numFmtId="4" fontId="1" fillId="0" borderId="14" xfId="0" applyNumberFormat="1" applyFont="1" applyBorder="1" applyAlignment="1"/>
    <xf numFmtId="4" fontId="1" fillId="0" borderId="47" xfId="0" applyNumberFormat="1" applyFont="1" applyBorder="1" applyAlignment="1"/>
    <xf numFmtId="4" fontId="1" fillId="0" borderId="14" xfId="0" applyNumberFormat="1" applyFont="1" applyBorder="1" applyAlignment="1">
      <alignment horizontal="distributed"/>
    </xf>
    <xf numFmtId="4" fontId="1" fillId="0" borderId="26" xfId="0" applyNumberFormat="1" applyFont="1" applyBorder="1" applyAlignment="1">
      <alignment horizontal="distributed"/>
    </xf>
    <xf numFmtId="4" fontId="1" fillId="0" borderId="15" xfId="0" applyNumberFormat="1" applyFont="1" applyBorder="1" applyAlignment="1">
      <alignment horizontal="right"/>
    </xf>
    <xf numFmtId="4" fontId="1" fillId="0" borderId="0" xfId="2" applyNumberFormat="1" applyFont="1" applyBorder="1" applyAlignment="1"/>
    <xf numFmtId="0" fontId="1" fillId="0" borderId="0" xfId="0" applyFont="1" applyBorder="1" applyAlignment="1">
      <alignment horizontal="center"/>
    </xf>
    <xf numFmtId="4" fontId="1" fillId="0" borderId="0" xfId="2" applyNumberFormat="1" applyFont="1" applyAlignment="1"/>
    <xf numFmtId="0" fontId="1" fillId="0" borderId="0" xfId="0" applyFont="1" applyAlignment="1">
      <alignment horizontal="center"/>
    </xf>
    <xf numFmtId="175" fontId="57" fillId="5" borderId="57" xfId="5" applyNumberFormat="1" applyFont="1" applyFill="1" applyBorder="1"/>
    <xf numFmtId="175" fontId="57" fillId="5" borderId="44" xfId="5" applyNumberFormat="1" applyFont="1" applyFill="1" applyBorder="1"/>
    <xf numFmtId="4" fontId="57" fillId="5" borderId="37" xfId="2" applyNumberFormat="1" applyFont="1" applyFill="1" applyBorder="1" applyAlignment="1" applyProtection="1">
      <alignment vertical="center"/>
      <protection locked="0"/>
    </xf>
    <xf numFmtId="0" fontId="58" fillId="5" borderId="37" xfId="0" applyFont="1" applyFill="1" applyBorder="1" applyAlignment="1">
      <alignment horizontal="center"/>
    </xf>
    <xf numFmtId="4" fontId="57" fillId="5" borderId="14" xfId="5" applyNumberFormat="1" applyFont="1" applyFill="1" applyBorder="1" applyAlignment="1" applyProtection="1">
      <alignment horizontal="distributed" vertical="center"/>
      <protection locked="0"/>
    </xf>
    <xf numFmtId="4" fontId="57" fillId="5" borderId="37" xfId="5" applyNumberFormat="1" applyFont="1" applyFill="1" applyBorder="1" applyAlignment="1" applyProtection="1">
      <alignment horizontal="center" vertical="center" wrapText="1"/>
      <protection locked="0"/>
    </xf>
    <xf numFmtId="4" fontId="57" fillId="5" borderId="44" xfId="5" applyNumberFormat="1" applyFont="1" applyFill="1" applyBorder="1" applyAlignment="1" applyProtection="1">
      <alignment horizontal="center" vertical="center" wrapText="1"/>
      <protection locked="0"/>
    </xf>
    <xf numFmtId="4" fontId="57" fillId="5" borderId="37" xfId="2" applyNumberFormat="1" applyFont="1" applyFill="1" applyBorder="1" applyAlignment="1" applyProtection="1">
      <alignment horizontal="center" vertical="center" wrapText="1"/>
      <protection locked="0"/>
    </xf>
    <xf numFmtId="4" fontId="57" fillId="5" borderId="43" xfId="5" applyNumberFormat="1" applyFont="1" applyFill="1" applyBorder="1" applyAlignment="1" applyProtection="1">
      <alignment horizontal="center" vertical="center" wrapText="1"/>
      <protection locked="0"/>
    </xf>
    <xf numFmtId="4" fontId="57" fillId="5" borderId="10" xfId="5" applyNumberFormat="1" applyFont="1" applyFill="1" applyBorder="1" applyAlignment="1" applyProtection="1">
      <alignment horizontal="center" vertical="center" wrapText="1"/>
      <protection locked="0"/>
    </xf>
    <xf numFmtId="37" fontId="59" fillId="5" borderId="52" xfId="6" applyFont="1" applyFill="1" applyBorder="1" applyAlignment="1">
      <alignment horizontal="center" vertical="center" wrapText="1"/>
    </xf>
    <xf numFmtId="166" fontId="59" fillId="5" borderId="11" xfId="6" applyNumberFormat="1" applyFont="1" applyFill="1" applyBorder="1" applyAlignment="1">
      <alignment horizontal="center" vertical="center" wrapText="1"/>
    </xf>
    <xf numFmtId="166" fontId="60" fillId="5" borderId="11" xfId="6" applyNumberFormat="1" applyFont="1" applyFill="1" applyBorder="1" applyAlignment="1">
      <alignment horizontal="center" vertical="center" wrapText="1"/>
    </xf>
    <xf numFmtId="37" fontId="59" fillId="5" borderId="11" xfId="6" applyFont="1" applyFill="1" applyBorder="1" applyAlignment="1">
      <alignment horizontal="center" vertical="center" wrapText="1"/>
    </xf>
    <xf numFmtId="166" fontId="61" fillId="5" borderId="11" xfId="0" applyNumberFormat="1" applyFont="1" applyFill="1" applyBorder="1" applyAlignment="1" applyProtection="1">
      <alignment horizontal="center" vertical="center" wrapText="1"/>
      <protection locked="0"/>
    </xf>
    <xf numFmtId="40" fontId="61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60" fillId="5" borderId="11" xfId="6" applyNumberFormat="1" applyFont="1" applyFill="1" applyBorder="1" applyAlignment="1">
      <alignment horizontal="center" vertical="center" wrapText="1"/>
    </xf>
    <xf numFmtId="0" fontId="59" fillId="5" borderId="11" xfId="6" applyNumberFormat="1" applyFont="1" applyFill="1" applyBorder="1" applyAlignment="1">
      <alignment horizontal="center" vertical="center" wrapText="1"/>
    </xf>
    <xf numFmtId="0" fontId="60" fillId="5" borderId="11" xfId="6" applyNumberFormat="1" applyFont="1" applyFill="1" applyBorder="1" applyAlignment="1">
      <alignment horizontal="center" vertical="center" wrapText="1"/>
    </xf>
    <xf numFmtId="165" fontId="60" fillId="5" borderId="30" xfId="2" applyFont="1" applyFill="1" applyBorder="1" applyAlignment="1">
      <alignment horizontal="center" vertical="center" wrapText="1"/>
    </xf>
    <xf numFmtId="4" fontId="59" fillId="5" borderId="24" xfId="6" applyNumberFormat="1" applyFont="1" applyFill="1" applyBorder="1" applyAlignment="1">
      <alignment horizontal="center" vertical="center" wrapText="1"/>
    </xf>
    <xf numFmtId="166" fontId="59" fillId="5" borderId="24" xfId="6" applyNumberFormat="1" applyFont="1" applyFill="1" applyBorder="1" applyAlignment="1">
      <alignment horizontal="center" vertical="center" wrapText="1"/>
    </xf>
    <xf numFmtId="166" fontId="60" fillId="5" borderId="51" xfId="6" applyNumberFormat="1" applyFont="1" applyFill="1" applyBorder="1" applyAlignment="1">
      <alignment horizontal="center" vertical="center" wrapText="1"/>
    </xf>
    <xf numFmtId="166" fontId="60" fillId="5" borderId="6" xfId="6" applyNumberFormat="1" applyFont="1" applyFill="1" applyBorder="1" applyAlignment="1">
      <alignment horizontal="center" vertical="center" wrapText="1"/>
    </xf>
    <xf numFmtId="37" fontId="59" fillId="5" borderId="57" xfId="6" applyFont="1" applyFill="1" applyBorder="1" applyAlignment="1">
      <alignment horizontal="center"/>
    </xf>
    <xf numFmtId="0" fontId="57" fillId="5" borderId="37" xfId="6" applyNumberFormat="1" applyFont="1" applyFill="1" applyBorder="1" applyAlignment="1">
      <alignment horizontal="center" vertical="center" wrapText="1"/>
    </xf>
    <xf numFmtId="0" fontId="57" fillId="5" borderId="37" xfId="0" applyFont="1" applyFill="1" applyBorder="1" applyAlignment="1">
      <alignment vertical="center" wrapText="1"/>
    </xf>
    <xf numFmtId="0" fontId="57" fillId="5" borderId="56" xfId="0" applyFont="1" applyFill="1" applyBorder="1" applyAlignment="1">
      <alignment vertical="center" wrapText="1"/>
    </xf>
    <xf numFmtId="0" fontId="57" fillId="5" borderId="10" xfId="0" applyFont="1" applyFill="1" applyBorder="1" applyAlignment="1">
      <alignment horizontal="center" vertical="center" wrapText="1"/>
    </xf>
    <xf numFmtId="37" fontId="57" fillId="5" borderId="57" xfId="6" applyFont="1" applyFill="1" applyBorder="1" applyAlignment="1">
      <alignment horizontal="center"/>
    </xf>
    <xf numFmtId="164" fontId="1" fillId="0" borderId="1" xfId="0" applyNumberFormat="1" applyFont="1" applyBorder="1"/>
    <xf numFmtId="0" fontId="1" fillId="0" borderId="7" xfId="0" applyFont="1" applyBorder="1"/>
    <xf numFmtId="0" fontId="1" fillId="0" borderId="13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right"/>
    </xf>
    <xf numFmtId="9" fontId="1" fillId="0" borderId="19" xfId="0" applyNumberFormat="1" applyFont="1" applyBorder="1"/>
    <xf numFmtId="0" fontId="1" fillId="0" borderId="15" xfId="0" applyFont="1" applyBorder="1" applyAlignment="1">
      <alignment vertical="center" wrapText="1"/>
    </xf>
    <xf numFmtId="0" fontId="1" fillId="0" borderId="35" xfId="0" applyFont="1" applyBorder="1"/>
    <xf numFmtId="0" fontId="1" fillId="0" borderId="35" xfId="0" applyFont="1" applyBorder="1" applyAlignment="1">
      <alignment horizontal="right"/>
    </xf>
    <xf numFmtId="0" fontId="1" fillId="0" borderId="12" xfId="0" applyFont="1" applyBorder="1"/>
    <xf numFmtId="164" fontId="1" fillId="0" borderId="0" xfId="0" applyNumberFormat="1" applyFont="1"/>
    <xf numFmtId="37" fontId="58" fillId="5" borderId="18" xfId="6" applyFont="1" applyFill="1" applyBorder="1"/>
    <xf numFmtId="37" fontId="58" fillId="5" borderId="26" xfId="6" applyFont="1" applyFill="1" applyBorder="1"/>
    <xf numFmtId="9" fontId="58" fillId="5" borderId="26" xfId="7" applyFont="1" applyFill="1" applyBorder="1" applyAlignment="1">
      <alignment horizontal="center"/>
    </xf>
    <xf numFmtId="37" fontId="58" fillId="5" borderId="15" xfId="6" applyFont="1" applyFill="1" applyBorder="1"/>
    <xf numFmtId="0" fontId="57" fillId="5" borderId="37" xfId="6" applyNumberFormat="1" applyFont="1" applyFill="1" applyBorder="1" applyAlignment="1">
      <alignment horizontal="center" wrapText="1"/>
    </xf>
    <xf numFmtId="37" fontId="57" fillId="5" borderId="37" xfId="6" applyFont="1" applyFill="1" applyBorder="1" applyAlignment="1">
      <alignment horizontal="center"/>
    </xf>
    <xf numFmtId="9" fontId="57" fillId="5" borderId="37" xfId="7" applyFont="1" applyFill="1" applyBorder="1" applyAlignment="1">
      <alignment horizontal="center"/>
    </xf>
    <xf numFmtId="177" fontId="57" fillId="5" borderId="37" xfId="6" applyNumberFormat="1" applyFont="1" applyFill="1" applyBorder="1" applyAlignment="1">
      <alignment horizontal="center" wrapText="1"/>
    </xf>
    <xf numFmtId="9" fontId="57" fillId="5" borderId="37" xfId="7" applyFont="1" applyFill="1" applyBorder="1" applyAlignment="1">
      <alignment horizontal="center" wrapText="1"/>
    </xf>
    <xf numFmtId="9" fontId="57" fillId="5" borderId="56" xfId="7" applyFont="1" applyFill="1" applyBorder="1" applyAlignment="1">
      <alignment horizontal="center" wrapText="1"/>
    </xf>
    <xf numFmtId="0" fontId="57" fillId="5" borderId="37" xfId="6" applyNumberFormat="1" applyFont="1" applyFill="1" applyBorder="1" applyAlignment="1">
      <alignment horizontal="center"/>
    </xf>
    <xf numFmtId="177" fontId="57" fillId="5" borderId="11" xfId="6" applyNumberFormat="1" applyFont="1" applyFill="1" applyBorder="1" applyAlignment="1">
      <alignment horizontal="center" wrapText="1"/>
    </xf>
    <xf numFmtId="177" fontId="57" fillId="5" borderId="24" xfId="6" applyNumberFormat="1" applyFont="1" applyFill="1" applyBorder="1" applyAlignment="1">
      <alignment horizontal="center" wrapText="1"/>
    </xf>
    <xf numFmtId="37" fontId="1" fillId="0" borderId="0" xfId="6" applyFont="1" applyFill="1"/>
    <xf numFmtId="166" fontId="57" fillId="5" borderId="54" xfId="6" applyNumberFormat="1" applyFont="1" applyFill="1" applyBorder="1" applyAlignment="1" applyProtection="1">
      <alignment horizontal="center" vertical="top" wrapText="1"/>
      <protection locked="0"/>
    </xf>
    <xf numFmtId="166" fontId="57" fillId="5" borderId="55" xfId="6" applyNumberFormat="1" applyFont="1" applyFill="1" applyBorder="1" applyAlignment="1" applyProtection="1">
      <alignment horizontal="center" vertical="top" wrapText="1"/>
      <protection locked="0"/>
    </xf>
    <xf numFmtId="37" fontId="58" fillId="5" borderId="0" xfId="6" applyFont="1" applyFill="1" applyBorder="1"/>
    <xf numFmtId="37" fontId="58" fillId="5" borderId="13" xfId="6" applyFont="1" applyFill="1" applyBorder="1"/>
    <xf numFmtId="37" fontId="58" fillId="5" borderId="17" xfId="6" applyFont="1" applyFill="1" applyBorder="1"/>
    <xf numFmtId="37" fontId="58" fillId="5" borderId="0" xfId="6" applyFont="1" applyFill="1" applyBorder="1" applyAlignment="1">
      <alignment horizontal="right"/>
    </xf>
    <xf numFmtId="37" fontId="1" fillId="0" borderId="0" xfId="6" applyFont="1" applyFill="1" applyBorder="1"/>
    <xf numFmtId="37" fontId="58" fillId="5" borderId="26" xfId="6" applyFont="1" applyFill="1" applyBorder="1" applyAlignment="1">
      <alignment horizontal="right"/>
    </xf>
    <xf numFmtId="37" fontId="57" fillId="5" borderId="57" xfId="6" applyFont="1" applyFill="1" applyBorder="1" applyAlignment="1">
      <alignment horizontal="center" vertical="center" wrapText="1"/>
    </xf>
    <xf numFmtId="166" fontId="57" fillId="5" borderId="37" xfId="6" applyNumberFormat="1" applyFont="1" applyFill="1" applyBorder="1" applyAlignment="1">
      <alignment horizontal="center" vertical="center" wrapText="1"/>
    </xf>
    <xf numFmtId="166" fontId="57" fillId="5" borderId="44" xfId="6" applyNumberFormat="1" applyFont="1" applyFill="1" applyBorder="1" applyAlignment="1">
      <alignment horizontal="center" vertical="center" wrapText="1"/>
    </xf>
    <xf numFmtId="166" fontId="57" fillId="5" borderId="56" xfId="6" applyNumberFormat="1" applyFont="1" applyFill="1" applyBorder="1" applyAlignment="1">
      <alignment horizontal="center" vertical="center" wrapText="1"/>
    </xf>
    <xf numFmtId="37" fontId="1" fillId="0" borderId="0" xfId="6" applyFont="1" applyFill="1" applyBorder="1" applyAlignment="1">
      <alignment horizontal="center" vertical="center"/>
    </xf>
    <xf numFmtId="37" fontId="1" fillId="0" borderId="29" xfId="6" applyFont="1" applyFill="1" applyBorder="1" applyAlignment="1">
      <alignment horizontal="center" vertical="center" wrapText="1"/>
    </xf>
    <xf numFmtId="4" fontId="22" fillId="0" borderId="11" xfId="8" applyNumberFormat="1" applyFont="1" applyFill="1" applyBorder="1" applyAlignment="1">
      <alignment horizontal="right"/>
    </xf>
    <xf numFmtId="164" fontId="22" fillId="0" borderId="36" xfId="8" applyNumberFormat="1" applyFont="1" applyFill="1" applyBorder="1" applyAlignment="1">
      <alignment horizontal="right"/>
    </xf>
    <xf numFmtId="9" fontId="22" fillId="0" borderId="24" xfId="6" applyNumberFormat="1" applyFont="1" applyFill="1" applyBorder="1" applyAlignment="1"/>
    <xf numFmtId="37" fontId="1" fillId="0" borderId="12" xfId="6" applyFont="1" applyFill="1" applyBorder="1"/>
    <xf numFmtId="0" fontId="1" fillId="0" borderId="17" xfId="8" applyFont="1" applyFill="1" applyBorder="1" applyAlignment="1">
      <alignment horizontal="center" vertical="center" wrapText="1"/>
    </xf>
    <xf numFmtId="4" fontId="1" fillId="0" borderId="1" xfId="8" applyNumberFormat="1" applyFont="1" applyFill="1" applyBorder="1" applyAlignment="1">
      <alignment horizontal="right"/>
    </xf>
    <xf numFmtId="164" fontId="1" fillId="0" borderId="3" xfId="6" applyNumberFormat="1" applyFont="1" applyFill="1" applyBorder="1"/>
    <xf numFmtId="9" fontId="1" fillId="0" borderId="7" xfId="6" applyNumberFormat="1" applyFont="1" applyFill="1" applyBorder="1" applyAlignment="1"/>
    <xf numFmtId="37" fontId="1" fillId="0" borderId="13" xfId="6" applyFont="1" applyFill="1" applyBorder="1"/>
    <xf numFmtId="37" fontId="15" fillId="0" borderId="17" xfId="6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8" applyNumberFormat="1" applyFont="1" applyFill="1" applyBorder="1" applyAlignment="1">
      <alignment horizontal="right"/>
    </xf>
    <xf numFmtId="37" fontId="1" fillId="0" borderId="17" xfId="6" applyFont="1" applyFill="1" applyBorder="1" applyAlignment="1">
      <alignment horizontal="center" vertical="center" wrapText="1"/>
    </xf>
    <xf numFmtId="37" fontId="1" fillId="0" borderId="3" xfId="6" applyFont="1" applyFill="1" applyBorder="1" applyAlignment="1">
      <alignment vertical="center" wrapText="1"/>
    </xf>
    <xf numFmtId="37" fontId="1" fillId="0" borderId="5" xfId="6" applyFont="1" applyFill="1" applyBorder="1" applyAlignment="1">
      <alignment vertical="center" wrapText="1"/>
    </xf>
    <xf numFmtId="39" fontId="15" fillId="0" borderId="17" xfId="6" applyNumberFormat="1" applyFont="1" applyFill="1" applyBorder="1" applyAlignment="1" applyProtection="1">
      <alignment horizontal="center" vertical="center" wrapText="1"/>
      <protection locked="0"/>
    </xf>
    <xf numFmtId="39" fontId="15" fillId="0" borderId="3" xfId="6" applyNumberFormat="1" applyFont="1" applyFill="1" applyBorder="1" applyAlignment="1" applyProtection="1">
      <alignment vertical="center" wrapText="1"/>
      <protection locked="0"/>
    </xf>
    <xf numFmtId="0" fontId="1" fillId="0" borderId="5" xfId="8" applyFont="1" applyBorder="1" applyAlignment="1">
      <alignment vertical="center" wrapText="1"/>
    </xf>
    <xf numFmtId="165" fontId="1" fillId="0" borderId="17" xfId="2" applyFont="1" applyFill="1" applyBorder="1" applyAlignment="1">
      <alignment horizontal="center" vertical="center" wrapText="1"/>
    </xf>
    <xf numFmtId="165" fontId="1" fillId="0" borderId="3" xfId="2" applyFont="1" applyFill="1" applyBorder="1" applyAlignment="1">
      <alignment vertical="center" wrapText="1"/>
    </xf>
    <xf numFmtId="165" fontId="17" fillId="0" borderId="17" xfId="2" applyFont="1" applyFill="1" applyBorder="1" applyAlignment="1">
      <alignment horizontal="center" vertical="center" wrapText="1"/>
    </xf>
    <xf numFmtId="165" fontId="17" fillId="0" borderId="3" xfId="2" applyFont="1" applyFill="1" applyBorder="1" applyAlignment="1">
      <alignment vertical="center" wrapText="1"/>
    </xf>
    <xf numFmtId="37" fontId="27" fillId="0" borderId="13" xfId="6" applyFont="1" applyFill="1" applyBorder="1"/>
    <xf numFmtId="37" fontId="27" fillId="0" borderId="0" xfId="6" applyFont="1" applyFill="1"/>
    <xf numFmtId="0" fontId="1" fillId="0" borderId="5" xfId="8" applyFont="1" applyFill="1" applyBorder="1" applyAlignment="1">
      <alignment vertical="center" wrapText="1"/>
    </xf>
    <xf numFmtId="165" fontId="22" fillId="0" borderId="3" xfId="2" applyFont="1" applyFill="1" applyBorder="1" applyAlignment="1">
      <alignment vertical="center" wrapText="1"/>
    </xf>
    <xf numFmtId="165" fontId="15" fillId="0" borderId="17" xfId="2" applyFont="1" applyFill="1" applyBorder="1" applyAlignment="1" applyProtection="1">
      <alignment horizontal="center" vertical="center" wrapText="1"/>
      <protection locked="0"/>
    </xf>
    <xf numFmtId="0" fontId="15" fillId="0" borderId="17" xfId="8" applyFont="1" applyFill="1" applyBorder="1" applyAlignment="1">
      <alignment horizontal="center" vertical="center" wrapText="1"/>
    </xf>
    <xf numFmtId="0" fontId="17" fillId="0" borderId="17" xfId="8" applyFont="1" applyFill="1" applyBorder="1" applyAlignment="1">
      <alignment horizontal="center" vertical="center" wrapText="1"/>
    </xf>
    <xf numFmtId="2" fontId="1" fillId="0" borderId="17" xfId="8" applyNumberFormat="1" applyFont="1" applyFill="1" applyBorder="1" applyAlignment="1">
      <alignment horizontal="center" vertical="center" wrapText="1"/>
    </xf>
    <xf numFmtId="2" fontId="17" fillId="0" borderId="17" xfId="8" applyNumberFormat="1" applyFont="1" applyFill="1" applyBorder="1" applyAlignment="1">
      <alignment horizontal="center" vertical="center" wrapText="1"/>
    </xf>
    <xf numFmtId="2" fontId="27" fillId="0" borderId="17" xfId="8" applyNumberFormat="1" applyFont="1" applyFill="1" applyBorder="1" applyAlignment="1">
      <alignment horizontal="center" vertical="center" wrapText="1"/>
    </xf>
    <xf numFmtId="165" fontId="15" fillId="0" borderId="17" xfId="2" applyFont="1" applyFill="1" applyBorder="1" applyAlignment="1">
      <alignment horizontal="center" vertical="center" wrapText="1"/>
    </xf>
    <xf numFmtId="165" fontId="17" fillId="0" borderId="25" xfId="2" applyFont="1" applyFill="1" applyBorder="1" applyAlignment="1">
      <alignment horizontal="center" vertical="center" wrapText="1"/>
    </xf>
    <xf numFmtId="4" fontId="1" fillId="0" borderId="2" xfId="8" applyNumberFormat="1" applyFont="1" applyFill="1" applyBorder="1" applyAlignment="1">
      <alignment horizontal="right"/>
    </xf>
    <xf numFmtId="164" fontId="1" fillId="0" borderId="46" xfId="6" applyNumberFormat="1" applyFont="1" applyFill="1" applyBorder="1"/>
    <xf numFmtId="37" fontId="31" fillId="0" borderId="17" xfId="6" applyNumberFormat="1" applyFont="1" applyFill="1" applyBorder="1" applyAlignment="1" applyProtection="1">
      <alignment horizontal="center" vertical="center" wrapText="1"/>
      <protection locked="0"/>
    </xf>
    <xf numFmtId="39" fontId="15" fillId="0" borderId="17" xfId="6" applyNumberFormat="1" applyFont="1" applyFill="1" applyBorder="1" applyAlignment="1">
      <alignment horizontal="center" vertical="center" wrapText="1"/>
    </xf>
    <xf numFmtId="39" fontId="17" fillId="0" borderId="17" xfId="6" applyNumberFormat="1" applyFont="1" applyFill="1" applyBorder="1" applyAlignment="1" applyProtection="1">
      <alignment horizontal="center" vertical="center" wrapText="1"/>
      <protection locked="0"/>
    </xf>
    <xf numFmtId="2" fontId="22" fillId="0" borderId="17" xfId="8" applyNumberFormat="1" applyFont="1" applyFill="1" applyBorder="1" applyAlignment="1">
      <alignment horizontal="center" vertical="center" wrapText="1"/>
    </xf>
    <xf numFmtId="39" fontId="17" fillId="0" borderId="17" xfId="6" applyNumberFormat="1" applyFont="1" applyFill="1" applyBorder="1" applyAlignment="1">
      <alignment horizontal="center" vertical="center" wrapText="1"/>
    </xf>
    <xf numFmtId="39" fontId="27" fillId="0" borderId="17" xfId="6" applyNumberFormat="1" applyFont="1" applyFill="1" applyBorder="1" applyAlignment="1">
      <alignment horizontal="center" vertical="center" wrapText="1"/>
    </xf>
    <xf numFmtId="168" fontId="1" fillId="0" borderId="17" xfId="6" applyNumberFormat="1" applyFont="1" applyFill="1" applyBorder="1" applyAlignment="1">
      <alignment horizontal="center" vertical="center" wrapText="1"/>
    </xf>
    <xf numFmtId="2" fontId="1" fillId="0" borderId="25" xfId="8" applyNumberFormat="1" applyFont="1" applyFill="1" applyBorder="1" applyAlignment="1">
      <alignment horizontal="center" vertical="center" wrapText="1"/>
    </xf>
    <xf numFmtId="0" fontId="28" fillId="0" borderId="5" xfId="8" applyFont="1" applyFill="1" applyBorder="1" applyAlignment="1">
      <alignment vertical="center" wrapText="1"/>
    </xf>
    <xf numFmtId="165" fontId="27" fillId="0" borderId="3" xfId="2" applyFont="1" applyFill="1" applyBorder="1" applyAlignment="1">
      <alignment vertical="center" wrapText="1"/>
    </xf>
    <xf numFmtId="0" fontId="62" fillId="0" borderId="5" xfId="8" applyFont="1" applyFill="1" applyBorder="1" applyAlignment="1">
      <alignment vertical="center" wrapText="1"/>
    </xf>
    <xf numFmtId="0" fontId="12" fillId="0" borderId="5" xfId="8" applyFont="1" applyFill="1" applyBorder="1" applyAlignment="1">
      <alignment vertical="center" wrapText="1"/>
    </xf>
    <xf numFmtId="1" fontId="15" fillId="0" borderId="17" xfId="8" applyNumberFormat="1" applyFont="1" applyFill="1" applyBorder="1" applyAlignment="1">
      <alignment horizontal="center" vertical="center" wrapText="1"/>
    </xf>
    <xf numFmtId="2" fontId="15" fillId="0" borderId="17" xfId="8" applyNumberFormat="1" applyFont="1" applyFill="1" applyBorder="1" applyAlignment="1">
      <alignment horizontal="center" vertical="center" wrapText="1"/>
    </xf>
    <xf numFmtId="165" fontId="15" fillId="0" borderId="3" xfId="2" applyFont="1" applyFill="1" applyBorder="1" applyAlignment="1">
      <alignment vertical="center" wrapText="1"/>
    </xf>
    <xf numFmtId="37" fontId="22" fillId="0" borderId="17" xfId="6" applyFont="1" applyFill="1" applyBorder="1" applyAlignment="1">
      <alignment horizontal="center" vertical="center" wrapText="1"/>
    </xf>
    <xf numFmtId="1" fontId="22" fillId="0" borderId="17" xfId="8" applyNumberFormat="1" applyFont="1" applyFill="1" applyBorder="1" applyAlignment="1">
      <alignment horizontal="center" vertical="center" wrapText="1"/>
    </xf>
    <xf numFmtId="39" fontId="31" fillId="0" borderId="3" xfId="6" applyNumberFormat="1" applyFont="1" applyFill="1" applyBorder="1" applyAlignment="1" applyProtection="1">
      <alignment vertical="center" wrapText="1"/>
      <protection locked="0"/>
    </xf>
    <xf numFmtId="4" fontId="22" fillId="0" borderId="1" xfId="8" applyNumberFormat="1" applyFont="1" applyFill="1" applyBorder="1" applyAlignment="1">
      <alignment horizontal="right"/>
    </xf>
    <xf numFmtId="164" fontId="22" fillId="0" borderId="3" xfId="6" applyNumberFormat="1" applyFont="1" applyFill="1" applyBorder="1"/>
    <xf numFmtId="164" fontId="17" fillId="0" borderId="3" xfId="2" applyNumberFormat="1" applyFont="1" applyFill="1" applyBorder="1" applyAlignment="1">
      <alignment vertical="center" wrapText="1"/>
    </xf>
    <xf numFmtId="2" fontId="17" fillId="0" borderId="25" xfId="8" applyNumberFormat="1" applyFont="1" applyFill="1" applyBorder="1" applyAlignment="1">
      <alignment horizontal="center" vertical="center" wrapText="1"/>
    </xf>
    <xf numFmtId="37" fontId="1" fillId="0" borderId="16" xfId="6" applyFont="1" applyFill="1" applyBorder="1"/>
    <xf numFmtId="164" fontId="27" fillId="0" borderId="3" xfId="6" applyNumberFormat="1" applyFont="1" applyFill="1" applyBorder="1"/>
    <xf numFmtId="0" fontId="17" fillId="0" borderId="5" xfId="8" applyFont="1" applyFill="1" applyBorder="1" applyAlignment="1">
      <alignment vertical="center" wrapText="1"/>
    </xf>
    <xf numFmtId="0" fontId="63" fillId="0" borderId="5" xfId="8" applyFont="1" applyFill="1" applyBorder="1" applyAlignment="1">
      <alignment vertical="center" wrapText="1"/>
    </xf>
    <xf numFmtId="165" fontId="22" fillId="0" borderId="5" xfId="2" applyFont="1" applyFill="1" applyBorder="1" applyAlignment="1">
      <alignment vertical="center" wrapText="1"/>
    </xf>
    <xf numFmtId="164" fontId="1" fillId="0" borderId="3" xfId="2" applyNumberFormat="1" applyFont="1" applyFill="1" applyBorder="1" applyAlignment="1">
      <alignment vertical="center" wrapText="1"/>
    </xf>
    <xf numFmtId="164" fontId="22" fillId="0" borderId="3" xfId="2" applyNumberFormat="1" applyFont="1" applyFill="1" applyBorder="1" applyAlignment="1">
      <alignment vertical="center" wrapText="1"/>
    </xf>
    <xf numFmtId="1" fontId="22" fillId="0" borderId="18" xfId="8" applyNumberFormat="1" applyFont="1" applyFill="1" applyBorder="1" applyAlignment="1">
      <alignment horizontal="center" vertical="center" wrapText="1"/>
    </xf>
    <xf numFmtId="4" fontId="1" fillId="0" borderId="14" xfId="8" applyNumberFormat="1" applyFont="1" applyFill="1" applyBorder="1" applyAlignment="1">
      <alignment horizontal="right"/>
    </xf>
    <xf numFmtId="164" fontId="1" fillId="0" borderId="47" xfId="6" applyNumberFormat="1" applyFont="1" applyFill="1" applyBorder="1"/>
    <xf numFmtId="9" fontId="1" fillId="0" borderId="19" xfId="6" applyNumberFormat="1" applyFont="1" applyFill="1" applyBorder="1" applyAlignment="1"/>
    <xf numFmtId="37" fontId="1" fillId="0" borderId="15" xfId="6" applyFont="1" applyFill="1" applyBorder="1"/>
    <xf numFmtId="1" fontId="22" fillId="0" borderId="8" xfId="8" applyNumberFormat="1" applyFont="1" applyFill="1" applyBorder="1" applyAlignment="1">
      <alignment horizontal="right"/>
    </xf>
    <xf numFmtId="39" fontId="31" fillId="0" borderId="3" xfId="6" applyNumberFormat="1" applyFont="1" applyFill="1" applyBorder="1" applyAlignment="1" applyProtection="1">
      <alignment horizontal="left" wrapText="1"/>
      <protection locked="0"/>
    </xf>
    <xf numFmtId="0" fontId="1" fillId="0" borderId="0" xfId="8" applyFont="1" applyFill="1" applyBorder="1" applyAlignment="1">
      <alignment horizontal="left" wrapText="1"/>
    </xf>
    <xf numFmtId="37" fontId="1" fillId="0" borderId="1" xfId="6" applyFont="1" applyFill="1" applyBorder="1"/>
    <xf numFmtId="37" fontId="1" fillId="0" borderId="1" xfId="6" applyFont="1" applyFill="1" applyBorder="1" applyAlignment="1"/>
    <xf numFmtId="37" fontId="1" fillId="0" borderId="5" xfId="6" applyFont="1" applyFill="1" applyBorder="1"/>
    <xf numFmtId="2" fontId="22" fillId="0" borderId="8" xfId="8" applyNumberFormat="1" applyFont="1" applyFill="1" applyBorder="1" applyAlignment="1">
      <alignment horizontal="right"/>
    </xf>
    <xf numFmtId="39" fontId="31" fillId="0" borderId="3" xfId="6" applyNumberFormat="1" applyFont="1" applyFill="1" applyBorder="1" applyAlignment="1" applyProtection="1">
      <alignment wrapText="1"/>
      <protection locked="0"/>
    </xf>
    <xf numFmtId="0" fontId="1" fillId="0" borderId="5" xfId="8" applyFont="1" applyFill="1" applyBorder="1" applyAlignment="1">
      <alignment wrapText="1"/>
    </xf>
    <xf numFmtId="2" fontId="1" fillId="0" borderId="8" xfId="8" applyNumberFormat="1" applyFont="1" applyFill="1" applyBorder="1" applyAlignment="1">
      <alignment horizontal="right"/>
    </xf>
    <xf numFmtId="164" fontId="1" fillId="0" borderId="3" xfId="2" applyNumberFormat="1" applyFont="1" applyFill="1" applyBorder="1" applyAlignment="1">
      <alignment wrapText="1"/>
    </xf>
    <xf numFmtId="164" fontId="1" fillId="0" borderId="47" xfId="2" applyNumberFormat="1" applyFont="1" applyFill="1" applyBorder="1" applyAlignment="1">
      <alignment wrapText="1"/>
    </xf>
    <xf numFmtId="0" fontId="1" fillId="0" borderId="22" xfId="8" applyFont="1" applyFill="1" applyBorder="1" applyAlignment="1">
      <alignment wrapText="1"/>
    </xf>
    <xf numFmtId="37" fontId="1" fillId="0" borderId="14" xfId="6" applyFont="1" applyFill="1" applyBorder="1"/>
    <xf numFmtId="37" fontId="1" fillId="0" borderId="14" xfId="6" applyFont="1" applyFill="1" applyBorder="1" applyAlignment="1"/>
    <xf numFmtId="37" fontId="1" fillId="0" borderId="0" xfId="6" applyFont="1" applyFill="1" applyAlignment="1">
      <alignment horizontal="right"/>
    </xf>
    <xf numFmtId="9" fontId="59" fillId="5" borderId="11" xfId="7" applyFont="1" applyFill="1" applyBorder="1" applyAlignment="1">
      <alignment horizontal="center" vertical="center" wrapText="1"/>
    </xf>
    <xf numFmtId="166" fontId="59" fillId="5" borderId="36" xfId="6" applyNumberFormat="1" applyFont="1" applyFill="1" applyBorder="1" applyAlignment="1">
      <alignment horizontal="center" vertical="center" wrapText="1"/>
    </xf>
    <xf numFmtId="4" fontId="1" fillId="0" borderId="0" xfId="6" applyNumberFormat="1" applyFont="1" applyFill="1"/>
    <xf numFmtId="4" fontId="22" fillId="0" borderId="11" xfId="6" applyNumberFormat="1" applyFont="1" applyFill="1" applyBorder="1" applyAlignment="1">
      <alignment horizontal="center" vertical="center" wrapText="1"/>
    </xf>
    <xf numFmtId="37" fontId="1" fillId="0" borderId="52" xfId="6" applyFont="1" applyFill="1" applyBorder="1" applyAlignment="1">
      <alignment horizontal="center" vertical="center" wrapText="1"/>
    </xf>
    <xf numFmtId="4" fontId="22" fillId="0" borderId="11" xfId="8" applyNumberFormat="1" applyFont="1" applyFill="1" applyBorder="1" applyAlignment="1">
      <alignment horizontal="center"/>
    </xf>
    <xf numFmtId="4" fontId="25" fillId="0" borderId="11" xfId="8" applyNumberFormat="1" applyFont="1" applyFill="1" applyBorder="1" applyAlignment="1">
      <alignment horizontal="right"/>
    </xf>
    <xf numFmtId="4" fontId="25" fillId="0" borderId="11" xfId="6" applyNumberFormat="1" applyFont="1" applyFill="1" applyBorder="1" applyAlignment="1">
      <alignment horizontal="center" vertical="center" wrapText="1"/>
    </xf>
    <xf numFmtId="4" fontId="31" fillId="0" borderId="11" xfId="6" applyNumberFormat="1" applyFont="1" applyFill="1" applyBorder="1" applyAlignment="1">
      <alignment horizontal="center" vertical="center" wrapText="1"/>
    </xf>
    <xf numFmtId="4" fontId="25" fillId="0" borderId="11" xfId="6" applyNumberFormat="1" applyFont="1" applyFill="1" applyBorder="1" applyAlignment="1">
      <alignment horizontal="right" vertical="center" wrapText="1"/>
    </xf>
    <xf numFmtId="9" fontId="25" fillId="0" borderId="11" xfId="6" applyNumberFormat="1" applyFont="1" applyFill="1" applyBorder="1" applyAlignment="1">
      <alignment horizontal="center" vertical="center" wrapText="1"/>
    </xf>
    <xf numFmtId="39" fontId="31" fillId="0" borderId="11" xfId="6" applyNumberFormat="1" applyFont="1" applyFill="1" applyBorder="1" applyAlignment="1">
      <alignment horizontal="center" vertical="center" wrapText="1"/>
    </xf>
    <xf numFmtId="4" fontId="25" fillId="0" borderId="30" xfId="6" applyNumberFormat="1" applyFont="1" applyFill="1" applyBorder="1" applyAlignment="1">
      <alignment horizontal="center" vertical="center" wrapText="1"/>
    </xf>
    <xf numFmtId="39" fontId="31" fillId="0" borderId="11" xfId="6" applyNumberFormat="1" applyFont="1" applyFill="1" applyBorder="1" applyAlignment="1">
      <alignment horizontal="right" vertical="center" wrapText="1"/>
    </xf>
    <xf numFmtId="4" fontId="31" fillId="0" borderId="24" xfId="6" applyNumberFormat="1" applyFont="1" applyFill="1" applyBorder="1" applyAlignment="1">
      <alignment horizontal="center" vertical="center" wrapText="1"/>
    </xf>
    <xf numFmtId="4" fontId="64" fillId="0" borderId="11" xfId="6" applyNumberFormat="1" applyFont="1" applyFill="1" applyBorder="1" applyAlignment="1">
      <alignment horizontal="center" vertical="center" wrapText="1"/>
    </xf>
    <xf numFmtId="4" fontId="25" fillId="0" borderId="24" xfId="6" applyNumberFormat="1" applyFont="1" applyFill="1" applyBorder="1" applyAlignment="1">
      <alignment horizontal="center" vertical="center" wrapText="1"/>
    </xf>
    <xf numFmtId="4" fontId="64" fillId="0" borderId="30" xfId="6" applyNumberFormat="1" applyFont="1" applyFill="1" applyBorder="1" applyAlignment="1">
      <alignment horizontal="center" vertical="center" wrapText="1"/>
    </xf>
    <xf numFmtId="4" fontId="65" fillId="0" borderId="12" xfId="6" applyNumberFormat="1" applyFont="1" applyFill="1" applyBorder="1" applyAlignment="1">
      <alignment horizontal="center" vertical="center" wrapText="1"/>
    </xf>
    <xf numFmtId="9" fontId="25" fillId="0" borderId="52" xfId="7" applyFont="1" applyFill="1" applyBorder="1" applyAlignment="1">
      <alignment horizontal="center" vertical="center" wrapText="1"/>
    </xf>
    <xf numFmtId="4" fontId="31" fillId="0" borderId="11" xfId="6" applyNumberFormat="1" applyFont="1" applyFill="1" applyBorder="1" applyAlignment="1">
      <alignment horizontal="right" vertical="center" wrapText="1"/>
    </xf>
    <xf numFmtId="9" fontId="25" fillId="0" borderId="12" xfId="7" applyFont="1" applyFill="1" applyBorder="1" applyAlignment="1">
      <alignment horizontal="center" vertical="center" wrapText="1"/>
    </xf>
    <xf numFmtId="37" fontId="1" fillId="0" borderId="3" xfId="6" applyFont="1" applyFill="1" applyBorder="1" applyAlignment="1">
      <alignment horizontal="right" vertical="center" wrapText="1"/>
    </xf>
    <xf numFmtId="37" fontId="1" fillId="0" borderId="0" xfId="6" applyFont="1" applyFill="1" applyBorder="1" applyAlignment="1">
      <alignment horizontal="center" vertical="center" wrapText="1"/>
    </xf>
    <xf numFmtId="37" fontId="1" fillId="0" borderId="1" xfId="6" applyFont="1" applyFill="1" applyBorder="1" applyAlignment="1">
      <alignment horizontal="center"/>
    </xf>
    <xf numFmtId="4" fontId="1" fillId="0" borderId="1" xfId="6" applyNumberFormat="1" applyFont="1" applyFill="1" applyBorder="1" applyAlignment="1">
      <alignment horizontal="center" vertical="center" wrapText="1"/>
    </xf>
    <xf numFmtId="37" fontId="17" fillId="0" borderId="1" xfId="6" applyFont="1" applyFill="1" applyBorder="1" applyAlignment="1">
      <alignment horizontal="center"/>
    </xf>
    <xf numFmtId="4" fontId="22" fillId="0" borderId="1" xfId="6" applyNumberFormat="1" applyFont="1" applyFill="1" applyBorder="1" applyAlignment="1">
      <alignment horizontal="center"/>
    </xf>
    <xf numFmtId="4" fontId="66" fillId="0" borderId="1" xfId="6" applyNumberFormat="1" applyFont="1" applyFill="1" applyBorder="1" applyAlignment="1">
      <alignment horizontal="right"/>
    </xf>
    <xf numFmtId="39" fontId="15" fillId="0" borderId="1" xfId="6" applyNumberFormat="1" applyFont="1" applyFill="1" applyBorder="1" applyAlignment="1" applyProtection="1">
      <alignment horizontal="center"/>
      <protection locked="0"/>
    </xf>
    <xf numFmtId="39" fontId="15" fillId="0" borderId="1" xfId="6" applyNumberFormat="1" applyFont="1" applyFill="1" applyBorder="1" applyAlignment="1" applyProtection="1">
      <alignment horizontal="right"/>
      <protection locked="0"/>
    </xf>
    <xf numFmtId="4" fontId="15" fillId="0" borderId="1" xfId="6" applyNumberFormat="1" applyFont="1" applyFill="1" applyBorder="1" applyAlignment="1">
      <alignment horizontal="center"/>
    </xf>
    <xf numFmtId="39" fontId="15" fillId="0" borderId="5" xfId="6" applyNumberFormat="1" applyFont="1" applyFill="1" applyBorder="1" applyAlignment="1" applyProtection="1">
      <alignment horizontal="center"/>
      <protection locked="0"/>
    </xf>
    <xf numFmtId="39" fontId="15" fillId="0" borderId="3" xfId="6" applyNumberFormat="1" applyFont="1" applyFill="1" applyBorder="1" applyAlignment="1" applyProtection="1">
      <alignment horizontal="center"/>
      <protection locked="0"/>
    </xf>
    <xf numFmtId="39" fontId="17" fillId="0" borderId="1" xfId="6" applyNumberFormat="1" applyFont="1" applyFill="1" applyBorder="1" applyAlignment="1" applyProtection="1">
      <alignment horizontal="right"/>
      <protection locked="0"/>
    </xf>
    <xf numFmtId="37" fontId="15" fillId="0" borderId="7" xfId="6" applyFont="1" applyFill="1" applyBorder="1"/>
    <xf numFmtId="39" fontId="17" fillId="0" borderId="1" xfId="6" applyNumberFormat="1" applyFont="1" applyFill="1" applyBorder="1" applyAlignment="1" applyProtection="1">
      <alignment horizontal="center"/>
      <protection locked="0"/>
    </xf>
    <xf numFmtId="39" fontId="15" fillId="0" borderId="7" xfId="6" applyNumberFormat="1" applyFont="1" applyFill="1" applyBorder="1" applyAlignment="1" applyProtection="1">
      <alignment horizontal="center"/>
      <protection locked="0"/>
    </xf>
    <xf numFmtId="39" fontId="17" fillId="0" borderId="5" xfId="6" applyNumberFormat="1" applyFont="1" applyFill="1" applyBorder="1" applyAlignment="1" applyProtection="1">
      <alignment horizontal="center"/>
      <protection locked="0"/>
    </xf>
    <xf numFmtId="9" fontId="15" fillId="0" borderId="8" xfId="7" applyFont="1" applyFill="1" applyBorder="1" applyAlignment="1" applyProtection="1">
      <alignment horizontal="center"/>
      <protection locked="0"/>
    </xf>
    <xf numFmtId="165" fontId="1" fillId="0" borderId="1" xfId="2" applyFont="1" applyFill="1" applyBorder="1" applyAlignment="1">
      <alignment horizontal="right"/>
    </xf>
    <xf numFmtId="9" fontId="22" fillId="0" borderId="13" xfId="7" applyFont="1" applyFill="1" applyBorder="1" applyAlignment="1">
      <alignment horizontal="center" vertical="center" wrapText="1"/>
    </xf>
    <xf numFmtId="37" fontId="22" fillId="0" borderId="0" xfId="6" applyFont="1" applyFill="1"/>
    <xf numFmtId="37" fontId="31" fillId="0" borderId="8" xfId="6" applyNumberFormat="1" applyFont="1" applyFill="1" applyBorder="1" applyAlignment="1" applyProtection="1">
      <alignment horizontal="right"/>
      <protection locked="0"/>
    </xf>
    <xf numFmtId="165" fontId="31" fillId="0" borderId="1" xfId="2" applyFont="1" applyFill="1" applyBorder="1" applyAlignment="1" applyProtection="1">
      <alignment horizontal="left"/>
      <protection locked="0"/>
    </xf>
    <xf numFmtId="4" fontId="22" fillId="0" borderId="1" xfId="6" applyNumberFormat="1" applyFont="1" applyFill="1" applyBorder="1" applyAlignment="1">
      <alignment horizontal="center" vertical="center" wrapText="1"/>
    </xf>
    <xf numFmtId="165" fontId="15" fillId="0" borderId="1" xfId="2" applyFont="1" applyFill="1" applyBorder="1" applyAlignment="1" applyProtection="1">
      <alignment horizontal="left"/>
      <protection locked="0"/>
    </xf>
    <xf numFmtId="165" fontId="15" fillId="0" borderId="1" xfId="2" applyFont="1" applyFill="1" applyBorder="1" applyAlignment="1" applyProtection="1">
      <alignment horizontal="right"/>
      <protection locked="0"/>
    </xf>
    <xf numFmtId="9" fontId="15" fillId="0" borderId="1" xfId="7" applyFont="1" applyFill="1" applyBorder="1" applyAlignment="1" applyProtection="1">
      <alignment horizontal="center"/>
      <protection locked="0"/>
    </xf>
    <xf numFmtId="164" fontId="15" fillId="0" borderId="1" xfId="2" applyNumberFormat="1" applyFont="1" applyFill="1" applyBorder="1" applyAlignment="1" applyProtection="1">
      <alignment horizontal="left"/>
      <protection locked="0"/>
    </xf>
    <xf numFmtId="9" fontId="15" fillId="0" borderId="3" xfId="2" applyNumberFormat="1" applyFont="1" applyFill="1" applyBorder="1" applyAlignment="1" applyProtection="1">
      <alignment horizontal="center"/>
      <protection locked="0"/>
    </xf>
    <xf numFmtId="164" fontId="15" fillId="0" borderId="1" xfId="2" applyNumberFormat="1" applyFont="1" applyFill="1" applyBorder="1" applyAlignment="1" applyProtection="1">
      <alignment horizontal="right"/>
      <protection locked="0"/>
    </xf>
    <xf numFmtId="164" fontId="15" fillId="0" borderId="7" xfId="2" applyNumberFormat="1" applyFont="1" applyFill="1" applyBorder="1" applyAlignment="1" applyProtection="1">
      <alignment horizontal="left"/>
      <protection locked="0"/>
    </xf>
    <xf numFmtId="164" fontId="17" fillId="0" borderId="1" xfId="2" applyNumberFormat="1" applyFont="1" applyFill="1" applyBorder="1" applyAlignment="1" applyProtection="1">
      <alignment horizontal="left"/>
      <protection locked="0"/>
    </xf>
    <xf numFmtId="164" fontId="17" fillId="0" borderId="5" xfId="2" applyNumberFormat="1" applyFont="1" applyFill="1" applyBorder="1" applyAlignment="1" applyProtection="1">
      <alignment horizontal="left"/>
      <protection locked="0"/>
    </xf>
    <xf numFmtId="164" fontId="26" fillId="0" borderId="13" xfId="2" applyNumberFormat="1" applyFont="1" applyFill="1" applyBorder="1" applyAlignment="1" applyProtection="1">
      <alignment horizontal="left"/>
      <protection locked="0"/>
    </xf>
    <xf numFmtId="164" fontId="22" fillId="0" borderId="1" xfId="2" applyNumberFormat="1" applyFont="1" applyFill="1" applyBorder="1" applyAlignment="1" applyProtection="1">
      <alignment horizontal="right"/>
      <protection locked="0"/>
    </xf>
    <xf numFmtId="37" fontId="1" fillId="0" borderId="17" xfId="6" applyFont="1" applyFill="1" applyBorder="1"/>
    <xf numFmtId="37" fontId="1" fillId="0" borderId="3" xfId="6" applyFont="1" applyFill="1" applyBorder="1"/>
    <xf numFmtId="4" fontId="17" fillId="0" borderId="1" xfId="6" applyNumberFormat="1" applyFont="1" applyFill="1" applyBorder="1"/>
    <xf numFmtId="4" fontId="67" fillId="0" borderId="1" xfId="8" applyNumberFormat="1" applyFont="1" applyFill="1" applyBorder="1"/>
    <xf numFmtId="4" fontId="17" fillId="0" borderId="1" xfId="6" applyNumberFormat="1" applyFont="1" applyFill="1" applyBorder="1" applyAlignment="1">
      <alignment horizontal="right"/>
    </xf>
    <xf numFmtId="9" fontId="31" fillId="0" borderId="1" xfId="7" applyFont="1" applyFill="1" applyBorder="1" applyAlignment="1" applyProtection="1">
      <alignment horizontal="center"/>
      <protection locked="0"/>
    </xf>
    <xf numFmtId="164" fontId="17" fillId="0" borderId="1" xfId="2" applyNumberFormat="1" applyFont="1" applyFill="1" applyBorder="1" applyAlignment="1" applyProtection="1">
      <alignment horizontal="right"/>
      <protection locked="0"/>
    </xf>
    <xf numFmtId="165" fontId="1" fillId="0" borderId="0" xfId="6" applyNumberFormat="1" applyFont="1" applyFill="1" applyBorder="1" applyAlignment="1">
      <alignment horizontal="right"/>
    </xf>
    <xf numFmtId="9" fontId="22" fillId="0" borderId="7" xfId="7" applyFont="1" applyFill="1" applyBorder="1" applyAlignment="1">
      <alignment horizontal="center" vertical="center" wrapText="1"/>
    </xf>
    <xf numFmtId="39" fontId="15" fillId="0" borderId="8" xfId="6" applyNumberFormat="1" applyFont="1" applyFill="1" applyBorder="1" applyAlignment="1" applyProtection="1">
      <alignment horizontal="right"/>
      <protection locked="0"/>
    </xf>
    <xf numFmtId="165" fontId="15" fillId="0" borderId="1" xfId="2" applyFont="1" applyFill="1" applyBorder="1" applyAlignment="1" applyProtection="1">
      <alignment horizontal="center"/>
      <protection locked="0"/>
    </xf>
    <xf numFmtId="164" fontId="31" fillId="0" borderId="5" xfId="2" applyNumberFormat="1" applyFont="1" applyFill="1" applyBorder="1" applyAlignment="1" applyProtection="1">
      <alignment horizontal="left"/>
      <protection locked="0"/>
    </xf>
    <xf numFmtId="164" fontId="31" fillId="0" borderId="1" xfId="2" applyNumberFormat="1" applyFont="1" applyFill="1" applyBorder="1" applyAlignment="1" applyProtection="1">
      <alignment horizontal="left"/>
      <protection locked="0"/>
    </xf>
    <xf numFmtId="4" fontId="15" fillId="0" borderId="1" xfId="2" applyNumberFormat="1" applyFont="1" applyFill="1" applyBorder="1" applyAlignment="1" applyProtection="1">
      <alignment horizontal="right"/>
      <protection locked="0"/>
    </xf>
    <xf numFmtId="4" fontId="15" fillId="0" borderId="3" xfId="2" applyNumberFormat="1" applyFont="1" applyFill="1" applyBorder="1" applyAlignment="1" applyProtection="1">
      <alignment horizontal="right"/>
      <protection locked="0"/>
    </xf>
    <xf numFmtId="4" fontId="15" fillId="0" borderId="7" xfId="2" applyNumberFormat="1" applyFont="1" applyFill="1" applyBorder="1" applyAlignment="1" applyProtection="1">
      <alignment horizontal="right"/>
      <protection locked="0"/>
    </xf>
    <xf numFmtId="4" fontId="17" fillId="0" borderId="1" xfId="2" applyNumberFormat="1" applyFont="1" applyFill="1" applyBorder="1" applyAlignment="1" applyProtection="1">
      <alignment horizontal="right"/>
      <protection locked="0"/>
    </xf>
    <xf numFmtId="4" fontId="17" fillId="0" borderId="5" xfId="2" applyNumberFormat="1" applyFont="1" applyFill="1" applyBorder="1" applyAlignment="1" applyProtection="1">
      <alignment horizontal="right"/>
      <protection locked="0"/>
    </xf>
    <xf numFmtId="4" fontId="26" fillId="0" borderId="13" xfId="2" applyNumberFormat="1" applyFont="1" applyFill="1" applyBorder="1" applyAlignment="1" applyProtection="1">
      <alignment horizontal="right"/>
      <protection locked="0"/>
    </xf>
    <xf numFmtId="9" fontId="15" fillId="0" borderId="3" xfId="7" applyFont="1" applyFill="1" applyBorder="1" applyAlignment="1" applyProtection="1">
      <alignment horizontal="center"/>
      <protection locked="0"/>
    </xf>
    <xf numFmtId="4" fontId="22" fillId="0" borderId="7" xfId="2" applyNumberFormat="1" applyFont="1" applyFill="1" applyBorder="1" applyAlignment="1" applyProtection="1">
      <alignment horizontal="right"/>
      <protection locked="0"/>
    </xf>
    <xf numFmtId="173" fontId="1" fillId="0" borderId="0" xfId="7" applyNumberFormat="1" applyFont="1" applyFill="1"/>
    <xf numFmtId="174" fontId="1" fillId="0" borderId="0" xfId="6" applyNumberFormat="1" applyFont="1" applyFill="1"/>
    <xf numFmtId="165" fontId="1" fillId="0" borderId="8" xfId="2" applyFont="1" applyFill="1" applyBorder="1" applyAlignment="1">
      <alignment horizontal="right"/>
    </xf>
    <xf numFmtId="165" fontId="17" fillId="0" borderId="1" xfId="2" applyFont="1" applyFill="1" applyBorder="1" applyAlignment="1" applyProtection="1">
      <alignment horizontal="left"/>
      <protection locked="0"/>
    </xf>
    <xf numFmtId="9" fontId="17" fillId="0" borderId="1" xfId="7" applyFont="1" applyFill="1" applyBorder="1" applyAlignment="1" applyProtection="1">
      <alignment horizontal="center"/>
      <protection locked="0"/>
    </xf>
    <xf numFmtId="39" fontId="1" fillId="0" borderId="1" xfId="6" applyNumberFormat="1" applyFont="1" applyFill="1" applyBorder="1" applyAlignment="1" applyProtection="1">
      <alignment horizontal="right"/>
      <protection locked="0"/>
    </xf>
    <xf numFmtId="39" fontId="17" fillId="0" borderId="5" xfId="6" applyNumberFormat="1" applyFont="1" applyFill="1" applyBorder="1"/>
    <xf numFmtId="39" fontId="17" fillId="0" borderId="1" xfId="6" applyNumberFormat="1" applyFont="1" applyFill="1" applyBorder="1"/>
    <xf numFmtId="9" fontId="17" fillId="0" borderId="3" xfId="2" applyNumberFormat="1" applyFont="1" applyFill="1" applyBorder="1" applyAlignment="1" applyProtection="1">
      <alignment horizontal="center"/>
      <protection locked="0"/>
    </xf>
    <xf numFmtId="4" fontId="17" fillId="0" borderId="3" xfId="2" applyNumberFormat="1" applyFont="1" applyFill="1" applyBorder="1" applyAlignment="1" applyProtection="1">
      <alignment horizontal="right"/>
      <protection locked="0"/>
    </xf>
    <xf numFmtId="4" fontId="17" fillId="0" borderId="7" xfId="2" applyNumberFormat="1" applyFont="1" applyFill="1" applyBorder="1" applyAlignment="1" applyProtection="1">
      <alignment horizontal="right"/>
      <protection locked="0"/>
    </xf>
    <xf numFmtId="4" fontId="27" fillId="0" borderId="13" xfId="2" applyNumberFormat="1" applyFont="1" applyFill="1" applyBorder="1" applyAlignment="1" applyProtection="1">
      <alignment horizontal="right"/>
      <protection locked="0"/>
    </xf>
    <xf numFmtId="9" fontId="17" fillId="0" borderId="3" xfId="7" applyFont="1" applyFill="1" applyBorder="1" applyAlignment="1" applyProtection="1">
      <alignment horizontal="center"/>
      <protection locked="0"/>
    </xf>
    <xf numFmtId="165" fontId="1" fillId="0" borderId="3" xfId="6" applyNumberFormat="1" applyFont="1" applyFill="1" applyBorder="1" applyAlignment="1">
      <alignment vertical="center"/>
    </xf>
    <xf numFmtId="9" fontId="1" fillId="0" borderId="7" xfId="7" applyFont="1" applyFill="1" applyBorder="1" applyAlignment="1">
      <alignment horizontal="center" vertical="center" wrapText="1"/>
    </xf>
    <xf numFmtId="165" fontId="17" fillId="0" borderId="8" xfId="2" applyFont="1" applyFill="1" applyBorder="1" applyAlignment="1">
      <alignment horizontal="right"/>
    </xf>
    <xf numFmtId="4" fontId="17" fillId="0" borderId="1" xfId="6" applyNumberFormat="1" applyFont="1" applyFill="1" applyBorder="1" applyAlignment="1">
      <alignment horizontal="center" vertical="center" wrapText="1"/>
    </xf>
    <xf numFmtId="4" fontId="27" fillId="0" borderId="1" xfId="2" applyNumberFormat="1" applyFont="1" applyFill="1" applyBorder="1" applyAlignment="1" applyProtection="1">
      <alignment horizontal="right"/>
      <protection locked="0"/>
    </xf>
    <xf numFmtId="165" fontId="1" fillId="0" borderId="17" xfId="2" applyFont="1" applyFill="1" applyBorder="1" applyAlignment="1">
      <alignment horizontal="right"/>
    </xf>
    <xf numFmtId="165" fontId="1" fillId="0" borderId="3" xfId="2" applyFont="1" applyFill="1" applyBorder="1" applyAlignment="1">
      <alignment horizontal="left" wrapText="1"/>
    </xf>
    <xf numFmtId="9" fontId="1" fillId="0" borderId="3" xfId="6" applyNumberFormat="1" applyFont="1" applyFill="1" applyBorder="1" applyAlignment="1">
      <alignment horizontal="center"/>
    </xf>
    <xf numFmtId="37" fontId="22" fillId="0" borderId="7" xfId="6" applyFont="1" applyFill="1" applyBorder="1"/>
    <xf numFmtId="165" fontId="1" fillId="0" borderId="3" xfId="6" applyNumberFormat="1" applyFont="1" applyFill="1" applyBorder="1" applyAlignment="1">
      <alignment horizontal="right"/>
    </xf>
    <xf numFmtId="4" fontId="15" fillId="0" borderId="1" xfId="6" applyNumberFormat="1" applyFont="1" applyFill="1" applyBorder="1" applyAlignment="1">
      <alignment horizontal="right"/>
    </xf>
    <xf numFmtId="164" fontId="15" fillId="0" borderId="5" xfId="2" applyNumberFormat="1" applyFont="1" applyFill="1" applyBorder="1" applyAlignment="1" applyProtection="1">
      <alignment horizontal="left"/>
      <protection locked="0"/>
    </xf>
    <xf numFmtId="4" fontId="26" fillId="0" borderId="0" xfId="2" applyNumberFormat="1" applyFont="1" applyFill="1" applyBorder="1" applyAlignment="1" applyProtection="1">
      <alignment horizontal="right"/>
      <protection locked="0"/>
    </xf>
    <xf numFmtId="165" fontId="22" fillId="0" borderId="3" xfId="6" applyNumberFormat="1" applyFont="1" applyFill="1" applyBorder="1" applyAlignment="1">
      <alignment horizontal="right"/>
    </xf>
    <xf numFmtId="4" fontId="27" fillId="0" borderId="0" xfId="2" applyNumberFormat="1" applyFont="1" applyFill="1" applyBorder="1" applyAlignment="1" applyProtection="1">
      <alignment horizontal="right"/>
      <protection locked="0"/>
    </xf>
    <xf numFmtId="37" fontId="26" fillId="0" borderId="0" xfId="6" applyFont="1" applyFill="1"/>
    <xf numFmtId="165" fontId="15" fillId="0" borderId="8" xfId="2" applyFont="1" applyFill="1" applyBorder="1" applyAlignment="1" applyProtection="1">
      <alignment horizontal="right"/>
      <protection locked="0"/>
    </xf>
    <xf numFmtId="164" fontId="26" fillId="0" borderId="0" xfId="2" applyNumberFormat="1" applyFont="1" applyFill="1" applyBorder="1" applyAlignment="1" applyProtection="1">
      <alignment horizontal="left"/>
      <protection locked="0"/>
    </xf>
    <xf numFmtId="4" fontId="1" fillId="0" borderId="1" xfId="6" applyNumberFormat="1" applyFont="1" applyFill="1" applyBorder="1" applyAlignment="1">
      <alignment horizontal="right" vertical="center" wrapText="1"/>
    </xf>
    <xf numFmtId="164" fontId="17" fillId="0" borderId="1" xfId="2" applyNumberFormat="1" applyFont="1" applyFill="1" applyBorder="1"/>
    <xf numFmtId="164" fontId="15" fillId="0" borderId="5" xfId="2" applyNumberFormat="1" applyFont="1" applyFill="1" applyBorder="1"/>
    <xf numFmtId="164" fontId="15" fillId="0" borderId="1" xfId="2" applyNumberFormat="1" applyFont="1" applyFill="1" applyBorder="1"/>
    <xf numFmtId="39" fontId="17" fillId="0" borderId="5" xfId="6" applyNumberFormat="1" applyFont="1" applyFill="1" applyBorder="1" applyAlignment="1" applyProtection="1">
      <alignment horizontal="right"/>
      <protection locked="0"/>
    </xf>
    <xf numFmtId="165" fontId="17" fillId="0" borderId="1" xfId="2" applyFont="1" applyFill="1" applyBorder="1" applyAlignment="1" applyProtection="1">
      <alignment horizontal="right"/>
      <protection locked="0"/>
    </xf>
    <xf numFmtId="164" fontId="17" fillId="0" borderId="5" xfId="2" applyNumberFormat="1" applyFont="1" applyFill="1" applyBorder="1" applyAlignment="1" applyProtection="1">
      <alignment horizontal="right"/>
      <protection locked="0"/>
    </xf>
    <xf numFmtId="165" fontId="29" fillId="0" borderId="1" xfId="2" quotePrefix="1" applyFont="1" applyFill="1" applyBorder="1" applyAlignment="1" applyProtection="1">
      <alignment horizontal="left"/>
      <protection locked="0"/>
    </xf>
    <xf numFmtId="165" fontId="17" fillId="0" borderId="1" xfId="2" quotePrefix="1" applyFont="1" applyFill="1" applyBorder="1" applyAlignment="1" applyProtection="1">
      <alignment horizontal="left"/>
      <protection locked="0"/>
    </xf>
    <xf numFmtId="4" fontId="17" fillId="0" borderId="5" xfId="6" applyNumberFormat="1" applyFont="1" applyFill="1" applyBorder="1"/>
    <xf numFmtId="0" fontId="15" fillId="0" borderId="8" xfId="8" applyFont="1" applyFill="1" applyBorder="1" applyAlignment="1">
      <alignment horizontal="right"/>
    </xf>
    <xf numFmtId="165" fontId="15" fillId="0" borderId="1" xfId="2" applyFont="1" applyFill="1" applyBorder="1"/>
    <xf numFmtId="0" fontId="17" fillId="0" borderId="8" xfId="8" applyFont="1" applyFill="1" applyBorder="1" applyAlignment="1">
      <alignment horizontal="right"/>
    </xf>
    <xf numFmtId="0" fontId="15" fillId="0" borderId="8" xfId="8" applyFont="1" applyFill="1" applyBorder="1" applyAlignment="1">
      <alignment horizontal="right" vertical="top"/>
    </xf>
    <xf numFmtId="39" fontId="17" fillId="0" borderId="4" xfId="6" applyNumberFormat="1" applyFont="1" applyFill="1" applyBorder="1"/>
    <xf numFmtId="39" fontId="17" fillId="0" borderId="2" xfId="6" applyNumberFormat="1" applyFont="1" applyFill="1" applyBorder="1"/>
    <xf numFmtId="2" fontId="17" fillId="0" borderId="8" xfId="8" applyNumberFormat="1" applyFont="1" applyFill="1" applyBorder="1" applyAlignment="1">
      <alignment horizontal="right"/>
    </xf>
    <xf numFmtId="165" fontId="27" fillId="0" borderId="1" xfId="2" applyFont="1" applyFill="1" applyBorder="1"/>
    <xf numFmtId="2" fontId="27" fillId="0" borderId="8" xfId="8" applyNumberFormat="1" applyFont="1" applyFill="1" applyBorder="1" applyAlignment="1">
      <alignment horizontal="right"/>
    </xf>
    <xf numFmtId="165" fontId="15" fillId="0" borderId="8" xfId="2" applyFont="1" applyFill="1" applyBorder="1" applyAlignment="1">
      <alignment horizontal="right"/>
    </xf>
    <xf numFmtId="165" fontId="22" fillId="0" borderId="3" xfId="2" applyFont="1" applyFill="1" applyBorder="1" applyAlignment="1">
      <alignment horizontal="left" wrapText="1"/>
    </xf>
    <xf numFmtId="4" fontId="22" fillId="0" borderId="1" xfId="6" applyNumberFormat="1" applyFont="1" applyFill="1" applyBorder="1"/>
    <xf numFmtId="39" fontId="15" fillId="0" borderId="1" xfId="6" applyNumberFormat="1" applyFont="1" applyFill="1" applyBorder="1"/>
    <xf numFmtId="39" fontId="15" fillId="0" borderId="7" xfId="6" applyNumberFormat="1" applyFont="1" applyFill="1" applyBorder="1"/>
    <xf numFmtId="165" fontId="17" fillId="0" borderId="40" xfId="2" applyFont="1" applyFill="1" applyBorder="1" applyAlignment="1">
      <alignment horizontal="right" vertical="center"/>
    </xf>
    <xf numFmtId="165" fontId="1" fillId="0" borderId="46" xfId="2" applyFont="1" applyFill="1" applyBorder="1" applyAlignment="1">
      <alignment horizontal="left" vertical="center" wrapText="1"/>
    </xf>
    <xf numFmtId="0" fontId="1" fillId="0" borderId="31" xfId="8" applyFont="1" applyFill="1" applyBorder="1" applyAlignment="1">
      <alignment horizontal="left" wrapText="1"/>
    </xf>
    <xf numFmtId="165" fontId="17" fillId="0" borderId="2" xfId="2" applyFont="1" applyFill="1" applyBorder="1" applyAlignment="1" applyProtection="1">
      <alignment horizontal="left"/>
      <protection locked="0"/>
    </xf>
    <xf numFmtId="4" fontId="1" fillId="0" borderId="2" xfId="6" applyNumberFormat="1" applyFont="1" applyFill="1" applyBorder="1" applyAlignment="1">
      <alignment horizontal="center" vertical="center" wrapText="1"/>
    </xf>
    <xf numFmtId="165" fontId="17" fillId="0" borderId="2" xfId="2" applyFont="1" applyFill="1" applyBorder="1"/>
    <xf numFmtId="4" fontId="17" fillId="0" borderId="2" xfId="6" applyNumberFormat="1" applyFont="1" applyFill="1" applyBorder="1"/>
    <xf numFmtId="39" fontId="17" fillId="0" borderId="2" xfId="6" applyNumberFormat="1" applyFont="1" applyFill="1" applyBorder="1" applyAlignment="1" applyProtection="1">
      <alignment horizontal="right"/>
      <protection locked="0"/>
    </xf>
    <xf numFmtId="37" fontId="1" fillId="0" borderId="2" xfId="6" applyFont="1" applyFill="1" applyBorder="1"/>
    <xf numFmtId="164" fontId="15" fillId="0" borderId="2" xfId="2" applyNumberFormat="1" applyFont="1" applyFill="1" applyBorder="1" applyAlignment="1" applyProtection="1">
      <alignment horizontal="left"/>
      <protection locked="0"/>
    </xf>
    <xf numFmtId="164" fontId="15" fillId="0" borderId="4" xfId="2" applyNumberFormat="1" applyFont="1" applyFill="1" applyBorder="1" applyAlignment="1" applyProtection="1">
      <alignment horizontal="left"/>
      <protection locked="0"/>
    </xf>
    <xf numFmtId="164" fontId="17" fillId="0" borderId="2" xfId="2" applyNumberFormat="1" applyFont="1" applyFill="1" applyBorder="1" applyAlignment="1" applyProtection="1">
      <alignment vertical="center"/>
      <protection locked="0"/>
    </xf>
    <xf numFmtId="37" fontId="15" fillId="0" borderId="23" xfId="6" applyFont="1" applyFill="1" applyBorder="1"/>
    <xf numFmtId="164" fontId="15" fillId="0" borderId="23" xfId="2" applyNumberFormat="1" applyFont="1" applyFill="1" applyBorder="1" applyAlignment="1" applyProtection="1">
      <alignment vertical="center"/>
      <protection locked="0"/>
    </xf>
    <xf numFmtId="164" fontId="17" fillId="0" borderId="4" xfId="2" applyNumberFormat="1" applyFont="1" applyFill="1" applyBorder="1" applyAlignment="1" applyProtection="1">
      <alignment vertical="center"/>
      <protection locked="0"/>
    </xf>
    <xf numFmtId="165" fontId="17" fillId="0" borderId="8" xfId="2" applyFont="1" applyFill="1" applyBorder="1" applyAlignment="1">
      <alignment horizontal="right" vertical="center"/>
    </xf>
    <xf numFmtId="165" fontId="1" fillId="0" borderId="3" xfId="2" applyFont="1" applyFill="1" applyBorder="1" applyAlignment="1">
      <alignment horizontal="left" vertical="center" wrapText="1"/>
    </xf>
    <xf numFmtId="164" fontId="68" fillId="0" borderId="1" xfId="2" applyNumberFormat="1" applyFont="1" applyFill="1" applyBorder="1" applyAlignment="1" applyProtection="1">
      <alignment horizontal="left"/>
      <protection locked="0"/>
    </xf>
    <xf numFmtId="164" fontId="17" fillId="0" borderId="1" xfId="2" applyNumberFormat="1" applyFont="1" applyFill="1" applyBorder="1" applyAlignment="1" applyProtection="1">
      <alignment vertical="center"/>
      <protection locked="0"/>
    </xf>
    <xf numFmtId="164" fontId="17" fillId="0" borderId="21" xfId="2" applyNumberFormat="1" applyFont="1" applyFill="1" applyBorder="1" applyAlignment="1" applyProtection="1">
      <alignment vertical="center"/>
      <protection locked="0"/>
    </xf>
    <xf numFmtId="164" fontId="15" fillId="0" borderId="59" xfId="2" applyNumberFormat="1" applyFont="1" applyFill="1" applyBorder="1" applyAlignment="1" applyProtection="1">
      <alignment vertical="center"/>
      <protection locked="0"/>
    </xf>
    <xf numFmtId="164" fontId="17" fillId="0" borderId="27" xfId="2" applyNumberFormat="1" applyFont="1" applyFill="1" applyBorder="1" applyAlignment="1" applyProtection="1">
      <alignment vertical="center"/>
      <protection locked="0"/>
    </xf>
    <xf numFmtId="164" fontId="15" fillId="0" borderId="7" xfId="2" applyNumberFormat="1" applyFont="1" applyFill="1" applyBorder="1" applyAlignment="1" applyProtection="1">
      <alignment vertical="center"/>
      <protection locked="0"/>
    </xf>
    <xf numFmtId="164" fontId="17" fillId="0" borderId="5" xfId="2" applyNumberFormat="1" applyFont="1" applyFill="1" applyBorder="1" applyAlignment="1" applyProtection="1">
      <alignment vertical="center"/>
      <protection locked="0"/>
    </xf>
    <xf numFmtId="39" fontId="15" fillId="0" borderId="5" xfId="6" applyNumberFormat="1" applyFont="1" applyFill="1" applyBorder="1"/>
    <xf numFmtId="4" fontId="15" fillId="0" borderId="1" xfId="6" applyNumberFormat="1" applyFont="1" applyFill="1" applyBorder="1"/>
    <xf numFmtId="39" fontId="15" fillId="0" borderId="7" xfId="6" applyNumberFormat="1" applyFont="1" applyFill="1" applyBorder="1" applyAlignment="1" applyProtection="1">
      <alignment horizontal="right"/>
      <protection locked="0"/>
    </xf>
    <xf numFmtId="39" fontId="15" fillId="0" borderId="8" xfId="6" applyNumberFormat="1" applyFont="1" applyFill="1" applyBorder="1" applyAlignment="1">
      <alignment horizontal="right"/>
    </xf>
    <xf numFmtId="165" fontId="15" fillId="0" borderId="1" xfId="2" applyFont="1" applyFill="1" applyBorder="1" applyAlignment="1" applyProtection="1">
      <protection locked="0"/>
    </xf>
    <xf numFmtId="4" fontId="15" fillId="0" borderId="5" xfId="2" applyNumberFormat="1" applyFont="1" applyFill="1" applyBorder="1" applyAlignment="1" applyProtection="1">
      <alignment horizontal="right"/>
      <protection locked="0"/>
    </xf>
    <xf numFmtId="39" fontId="17" fillId="0" borderId="8" xfId="6" applyNumberFormat="1" applyFont="1" applyFill="1" applyBorder="1" applyAlignment="1" applyProtection="1">
      <alignment horizontal="right"/>
      <protection locked="0"/>
    </xf>
    <xf numFmtId="39" fontId="27" fillId="0" borderId="1" xfId="6" applyNumberFormat="1" applyFont="1" applyFill="1" applyBorder="1" applyAlignment="1" applyProtection="1">
      <alignment horizontal="right"/>
      <protection locked="0"/>
    </xf>
    <xf numFmtId="164" fontId="17" fillId="0" borderId="5" xfId="2" applyNumberFormat="1" applyFont="1" applyFill="1" applyBorder="1"/>
    <xf numFmtId="9" fontId="17" fillId="0" borderId="1" xfId="2" applyNumberFormat="1" applyFont="1" applyFill="1" applyBorder="1" applyAlignment="1" applyProtection="1">
      <alignment horizontal="center"/>
      <protection locked="0"/>
    </xf>
    <xf numFmtId="39" fontId="17" fillId="0" borderId="40" xfId="6" applyNumberFormat="1" applyFont="1" applyFill="1" applyBorder="1" applyAlignment="1" applyProtection="1">
      <alignment horizontal="right"/>
      <protection locked="0"/>
    </xf>
    <xf numFmtId="165" fontId="1" fillId="0" borderId="46" xfId="2" applyFont="1" applyFill="1" applyBorder="1" applyAlignment="1">
      <alignment horizontal="left" wrapText="1"/>
    </xf>
    <xf numFmtId="4" fontId="17" fillId="0" borderId="2" xfId="6" applyNumberFormat="1" applyFont="1" applyFill="1" applyBorder="1" applyAlignment="1">
      <alignment horizontal="right"/>
    </xf>
    <xf numFmtId="164" fontId="15" fillId="0" borderId="2" xfId="2" applyNumberFormat="1" applyFont="1" applyFill="1" applyBorder="1"/>
    <xf numFmtId="9" fontId="15" fillId="0" borderId="2" xfId="7" applyFont="1" applyFill="1" applyBorder="1" applyAlignment="1" applyProtection="1">
      <alignment horizontal="center"/>
      <protection locked="0"/>
    </xf>
    <xf numFmtId="4" fontId="17" fillId="0" borderId="46" xfId="2" applyNumberFormat="1" applyFont="1" applyFill="1" applyBorder="1" applyAlignment="1" applyProtection="1">
      <alignment horizontal="right"/>
      <protection locked="0"/>
    </xf>
    <xf numFmtId="4" fontId="15" fillId="0" borderId="23" xfId="2" applyNumberFormat="1" applyFont="1" applyFill="1" applyBorder="1" applyAlignment="1" applyProtection="1">
      <alignment horizontal="right"/>
      <protection locked="0"/>
    </xf>
    <xf numFmtId="39" fontId="15" fillId="0" borderId="23" xfId="6" applyNumberFormat="1" applyFont="1" applyFill="1" applyBorder="1"/>
    <xf numFmtId="4" fontId="27" fillId="0" borderId="16" xfId="2" applyNumberFormat="1" applyFont="1" applyFill="1" applyBorder="1" applyAlignment="1" applyProtection="1">
      <alignment horizontal="right"/>
      <protection locked="0"/>
    </xf>
    <xf numFmtId="9" fontId="15" fillId="0" borderId="46" xfId="7" applyFont="1" applyFill="1" applyBorder="1" applyAlignment="1" applyProtection="1">
      <alignment horizontal="center"/>
      <protection locked="0"/>
    </xf>
    <xf numFmtId="165" fontId="1" fillId="0" borderId="46" xfId="6" applyNumberFormat="1" applyFont="1" applyFill="1" applyBorder="1" applyAlignment="1">
      <alignment horizontal="right"/>
    </xf>
    <xf numFmtId="9" fontId="22" fillId="0" borderId="23" xfId="7" applyFont="1" applyFill="1" applyBorder="1" applyAlignment="1">
      <alignment horizontal="center" vertical="center" wrapText="1"/>
    </xf>
    <xf numFmtId="9" fontId="15" fillId="0" borderId="5" xfId="2" applyNumberFormat="1" applyFont="1" applyFill="1" applyBorder="1" applyAlignment="1" applyProtection="1">
      <alignment horizontal="center"/>
      <protection locked="0"/>
    </xf>
    <xf numFmtId="4" fontId="15" fillId="0" borderId="0" xfId="2" applyNumberFormat="1" applyFont="1" applyFill="1" applyBorder="1" applyAlignment="1" applyProtection="1">
      <alignment horizontal="right"/>
      <protection locked="0"/>
    </xf>
    <xf numFmtId="2" fontId="1" fillId="0" borderId="41" xfId="8" applyNumberFormat="1" applyFont="1" applyFill="1" applyBorder="1" applyAlignment="1">
      <alignment horizontal="right"/>
    </xf>
    <xf numFmtId="165" fontId="17" fillId="0" borderId="14" xfId="2" applyFont="1" applyFill="1" applyBorder="1" applyAlignment="1" applyProtection="1">
      <alignment horizontal="left"/>
      <protection locked="0"/>
    </xf>
    <xf numFmtId="4" fontId="1" fillId="0" borderId="14" xfId="6" applyNumberFormat="1" applyFont="1" applyFill="1" applyBorder="1" applyAlignment="1">
      <alignment horizontal="center" vertical="center" wrapText="1"/>
    </xf>
    <xf numFmtId="165" fontId="1" fillId="0" borderId="14" xfId="2" applyFont="1" applyFill="1" applyBorder="1"/>
    <xf numFmtId="165" fontId="17" fillId="0" borderId="14" xfId="2" applyFont="1" applyFill="1" applyBorder="1"/>
    <xf numFmtId="4" fontId="17" fillId="0" borderId="14" xfId="6" applyNumberFormat="1" applyFont="1" applyFill="1" applyBorder="1"/>
    <xf numFmtId="4" fontId="17" fillId="0" borderId="14" xfId="6" applyNumberFormat="1" applyFont="1" applyFill="1" applyBorder="1" applyAlignment="1">
      <alignment horizontal="right"/>
    </xf>
    <xf numFmtId="39" fontId="17" fillId="0" borderId="14" xfId="6" applyNumberFormat="1" applyFont="1" applyFill="1" applyBorder="1" applyAlignment="1" applyProtection="1">
      <alignment horizontal="right"/>
      <protection locked="0"/>
    </xf>
    <xf numFmtId="9" fontId="17" fillId="0" borderId="14" xfId="7" applyFont="1" applyFill="1" applyBorder="1" applyAlignment="1" applyProtection="1">
      <alignment horizontal="center"/>
      <protection locked="0"/>
    </xf>
    <xf numFmtId="164" fontId="15" fillId="0" borderId="14" xfId="2" applyNumberFormat="1" applyFont="1" applyFill="1" applyBorder="1" applyAlignment="1" applyProtection="1">
      <alignment horizontal="left"/>
      <protection locked="0"/>
    </xf>
    <xf numFmtId="39" fontId="17" fillId="0" borderId="22" xfId="6" applyNumberFormat="1" applyFont="1" applyFill="1" applyBorder="1"/>
    <xf numFmtId="39" fontId="17" fillId="0" borderId="14" xfId="6" applyNumberFormat="1" applyFont="1" applyFill="1" applyBorder="1"/>
    <xf numFmtId="9" fontId="17" fillId="0" borderId="47" xfId="2" applyNumberFormat="1" applyFont="1" applyFill="1" applyBorder="1" applyAlignment="1" applyProtection="1">
      <alignment horizontal="center"/>
      <protection locked="0"/>
    </xf>
    <xf numFmtId="4" fontId="17" fillId="0" borderId="47" xfId="2" applyNumberFormat="1" applyFont="1" applyFill="1" applyBorder="1" applyAlignment="1" applyProtection="1">
      <alignment horizontal="right"/>
      <protection locked="0"/>
    </xf>
    <xf numFmtId="4" fontId="17" fillId="0" borderId="19" xfId="2" applyNumberFormat="1" applyFont="1" applyFill="1" applyBorder="1" applyAlignment="1" applyProtection="1">
      <alignment horizontal="right"/>
      <protection locked="0"/>
    </xf>
    <xf numFmtId="4" fontId="27" fillId="0" borderId="15" xfId="2" applyNumberFormat="1" applyFont="1" applyFill="1" applyBorder="1" applyAlignment="1" applyProtection="1">
      <alignment horizontal="right"/>
      <protection locked="0"/>
    </xf>
    <xf numFmtId="9" fontId="17" fillId="0" borderId="47" xfId="7" applyFont="1" applyFill="1" applyBorder="1" applyAlignment="1" applyProtection="1">
      <alignment horizontal="center"/>
      <protection locked="0"/>
    </xf>
    <xf numFmtId="165" fontId="1" fillId="0" borderId="47" xfId="6" applyNumberFormat="1" applyFont="1" applyFill="1" applyBorder="1" applyAlignment="1">
      <alignment horizontal="right"/>
    </xf>
    <xf numFmtId="9" fontId="1" fillId="0" borderId="19" xfId="7" applyFont="1" applyFill="1" applyBorder="1" applyAlignment="1">
      <alignment horizontal="center" vertical="center" wrapText="1"/>
    </xf>
    <xf numFmtId="164" fontId="15" fillId="0" borderId="5" xfId="2" applyNumberFormat="1" applyFont="1" applyFill="1" applyBorder="1" applyAlignment="1" applyProtection="1">
      <alignment horizontal="right"/>
      <protection locked="0"/>
    </xf>
    <xf numFmtId="4" fontId="17" fillId="0" borderId="5" xfId="8" applyNumberFormat="1" applyFont="1" applyFill="1" applyBorder="1" applyAlignment="1">
      <alignment horizontal="right" wrapText="1"/>
    </xf>
    <xf numFmtId="4" fontId="17" fillId="0" borderId="1" xfId="8" applyNumberFormat="1" applyFont="1" applyFill="1" applyBorder="1" applyAlignment="1">
      <alignment horizontal="right" wrapText="1"/>
    </xf>
    <xf numFmtId="4" fontId="15" fillId="0" borderId="7" xfId="8" applyNumberFormat="1" applyFont="1" applyFill="1" applyBorder="1" applyAlignment="1">
      <alignment horizontal="right" wrapText="1"/>
    </xf>
    <xf numFmtId="4" fontId="15" fillId="0" borderId="5" xfId="8" applyNumberFormat="1" applyFont="1" applyFill="1" applyBorder="1" applyAlignment="1">
      <alignment horizontal="right" wrapText="1"/>
    </xf>
    <xf numFmtId="4" fontId="15" fillId="0" borderId="1" xfId="8" applyNumberFormat="1" applyFont="1" applyFill="1" applyBorder="1" applyAlignment="1">
      <alignment horizontal="right" wrapText="1"/>
    </xf>
    <xf numFmtId="39" fontId="17" fillId="0" borderId="8" xfId="6" applyNumberFormat="1" applyFont="1" applyFill="1" applyBorder="1" applyAlignment="1">
      <alignment horizontal="right"/>
    </xf>
    <xf numFmtId="165" fontId="69" fillId="0" borderId="1" xfId="2" applyFont="1" applyFill="1" applyBorder="1"/>
    <xf numFmtId="165" fontId="69" fillId="0" borderId="1" xfId="2" applyFont="1" applyFill="1" applyBorder="1" applyAlignment="1" applyProtection="1">
      <alignment horizontal="left"/>
      <protection locked="0"/>
    </xf>
    <xf numFmtId="39" fontId="17" fillId="0" borderId="8" xfId="6" applyNumberFormat="1" applyFont="1" applyFill="1" applyBorder="1" applyAlignment="1">
      <alignment horizontal="right" vertical="top"/>
    </xf>
    <xf numFmtId="39" fontId="27" fillId="0" borderId="8" xfId="6" applyNumberFormat="1" applyFont="1" applyFill="1" applyBorder="1" applyAlignment="1">
      <alignment horizontal="right"/>
    </xf>
    <xf numFmtId="4" fontId="17" fillId="0" borderId="7" xfId="8" applyNumberFormat="1" applyFont="1" applyFill="1" applyBorder="1" applyAlignment="1">
      <alignment horizontal="right" wrapText="1"/>
    </xf>
    <xf numFmtId="168" fontId="1" fillId="0" borderId="8" xfId="6" applyNumberFormat="1" applyFont="1" applyFill="1" applyBorder="1" applyAlignment="1">
      <alignment horizontal="right"/>
    </xf>
    <xf numFmtId="39" fontId="27" fillId="0" borderId="1" xfId="6" applyNumberFormat="1" applyFont="1" applyFill="1" applyBorder="1"/>
    <xf numFmtId="164" fontId="27" fillId="0" borderId="1" xfId="2" applyNumberFormat="1" applyFont="1" applyFill="1" applyBorder="1" applyAlignment="1" applyProtection="1">
      <alignment horizontal="right"/>
      <protection locked="0"/>
    </xf>
    <xf numFmtId="4" fontId="26" fillId="0" borderId="1" xfId="6" applyNumberFormat="1" applyFont="1" applyFill="1" applyBorder="1" applyAlignment="1">
      <alignment horizontal="center" vertical="center" wrapText="1"/>
    </xf>
    <xf numFmtId="0" fontId="28" fillId="0" borderId="0" xfId="8" applyFont="1" applyFill="1" applyBorder="1" applyAlignment="1">
      <alignment horizontal="left" wrapText="1"/>
    </xf>
    <xf numFmtId="164" fontId="17" fillId="0" borderId="1" xfId="2" applyNumberFormat="1" applyFont="1" applyFill="1" applyBorder="1" applyAlignment="1">
      <alignment horizontal="right" wrapText="1"/>
    </xf>
    <xf numFmtId="164" fontId="17" fillId="0" borderId="5" xfId="2" applyNumberFormat="1" applyFont="1" applyFill="1" applyBorder="1" applyAlignment="1">
      <alignment horizontal="right" wrapText="1"/>
    </xf>
    <xf numFmtId="39" fontId="17" fillId="0" borderId="5" xfId="6" applyNumberFormat="1" applyFont="1" applyFill="1" applyBorder="1" applyAlignment="1">
      <alignment horizontal="right"/>
    </xf>
    <xf numFmtId="39" fontId="17" fillId="0" borderId="1" xfId="6" applyNumberFormat="1" applyFont="1" applyFill="1" applyBorder="1" applyAlignment="1">
      <alignment horizontal="right"/>
    </xf>
    <xf numFmtId="165" fontId="27" fillId="0" borderId="3" xfId="2" applyFont="1" applyFill="1" applyBorder="1" applyAlignment="1">
      <alignment horizontal="left" wrapText="1"/>
    </xf>
    <xf numFmtId="0" fontId="62" fillId="0" borderId="0" xfId="8" applyFont="1" applyFill="1" applyBorder="1" applyAlignment="1">
      <alignment horizontal="left" wrapText="1"/>
    </xf>
    <xf numFmtId="39" fontId="15" fillId="0" borderId="7" xfId="6" applyNumberFormat="1" applyFont="1" applyFill="1" applyBorder="1" applyAlignment="1">
      <alignment horizontal="right"/>
    </xf>
    <xf numFmtId="4" fontId="22" fillId="0" borderId="5" xfId="2" applyNumberFormat="1" applyFont="1" applyFill="1" applyBorder="1" applyAlignment="1" applyProtection="1">
      <alignment horizontal="right"/>
      <protection locked="0"/>
    </xf>
    <xf numFmtId="4" fontId="22" fillId="0" borderId="1" xfId="2" applyNumberFormat="1" applyFont="1" applyFill="1" applyBorder="1" applyAlignment="1" applyProtection="1">
      <alignment horizontal="right"/>
      <protection locked="0"/>
    </xf>
    <xf numFmtId="4" fontId="1" fillId="0" borderId="5" xfId="2" applyNumberFormat="1" applyFont="1" applyFill="1" applyBorder="1" applyAlignment="1" applyProtection="1">
      <alignment horizontal="right"/>
      <protection locked="0"/>
    </xf>
    <xf numFmtId="0" fontId="12" fillId="0" borderId="0" xfId="8" applyFont="1" applyFill="1" applyBorder="1" applyAlignment="1">
      <alignment horizontal="left" wrapText="1"/>
    </xf>
    <xf numFmtId="165" fontId="1" fillId="0" borderId="47" xfId="2" applyFont="1" applyFill="1" applyBorder="1" applyAlignment="1">
      <alignment horizontal="left" wrapText="1"/>
    </xf>
    <xf numFmtId="0" fontId="12" fillId="0" borderId="26" xfId="8" applyFont="1" applyFill="1" applyBorder="1" applyAlignment="1">
      <alignment horizontal="left" wrapText="1"/>
    </xf>
    <xf numFmtId="165" fontId="27" fillId="0" borderId="14" xfId="2" applyFont="1" applyFill="1" applyBorder="1"/>
    <xf numFmtId="9" fontId="15" fillId="0" borderId="14" xfId="7" applyFont="1" applyFill="1" applyBorder="1" applyAlignment="1" applyProtection="1">
      <alignment horizontal="center"/>
      <protection locked="0"/>
    </xf>
    <xf numFmtId="164" fontId="15" fillId="0" borderId="22" xfId="2" applyNumberFormat="1" applyFont="1" applyFill="1" applyBorder="1"/>
    <xf numFmtId="164" fontId="15" fillId="0" borderId="14" xfId="2" applyNumberFormat="1" applyFont="1" applyFill="1" applyBorder="1"/>
    <xf numFmtId="4" fontId="15" fillId="0" borderId="19" xfId="2" applyNumberFormat="1" applyFont="1" applyFill="1" applyBorder="1" applyAlignment="1" applyProtection="1">
      <alignment horizontal="right"/>
      <protection locked="0"/>
    </xf>
    <xf numFmtId="164" fontId="17" fillId="0" borderId="14" xfId="2" applyNumberFormat="1" applyFont="1" applyFill="1" applyBorder="1"/>
    <xf numFmtId="164" fontId="15" fillId="0" borderId="19" xfId="2" applyNumberFormat="1" applyFont="1" applyFill="1" applyBorder="1"/>
    <xf numFmtId="164" fontId="17" fillId="0" borderId="22" xfId="2" applyNumberFormat="1" applyFont="1" applyFill="1" applyBorder="1"/>
    <xf numFmtId="9" fontId="15" fillId="0" borderId="47" xfId="7" applyFont="1" applyFill="1" applyBorder="1" applyAlignment="1" applyProtection="1">
      <alignment horizontal="center"/>
      <protection locked="0"/>
    </xf>
    <xf numFmtId="9" fontId="22" fillId="0" borderId="19" xfId="7" applyFont="1" applyFill="1" applyBorder="1" applyAlignment="1">
      <alignment horizontal="center" vertical="center" wrapText="1"/>
    </xf>
    <xf numFmtId="39" fontId="15" fillId="0" borderId="5" xfId="6" applyNumberFormat="1" applyFont="1" applyFill="1" applyBorder="1" applyAlignment="1" applyProtection="1">
      <alignment horizontal="right"/>
      <protection locked="0"/>
    </xf>
    <xf numFmtId="1" fontId="15" fillId="0" borderId="8" xfId="8" applyNumberFormat="1" applyFont="1" applyFill="1" applyBorder="1" applyAlignment="1">
      <alignment horizontal="right"/>
    </xf>
    <xf numFmtId="4" fontId="22" fillId="0" borderId="3" xfId="2" applyNumberFormat="1" applyFont="1" applyFill="1" applyBorder="1" applyAlignment="1" applyProtection="1">
      <alignment horizontal="right"/>
      <protection locked="0"/>
    </xf>
    <xf numFmtId="2" fontId="15" fillId="0" borderId="8" xfId="8" applyNumberFormat="1" applyFont="1" applyFill="1" applyBorder="1" applyAlignment="1">
      <alignment horizontal="right"/>
    </xf>
    <xf numFmtId="37" fontId="1" fillId="0" borderId="8" xfId="6" applyFont="1" applyFill="1" applyBorder="1" applyAlignment="1">
      <alignment horizontal="right"/>
    </xf>
    <xf numFmtId="39" fontId="22" fillId="0" borderId="1" xfId="6" applyNumberFormat="1" applyFont="1" applyFill="1" applyBorder="1" applyAlignment="1" applyProtection="1">
      <alignment horizontal="right"/>
      <protection locked="0"/>
    </xf>
    <xf numFmtId="2" fontId="1" fillId="0" borderId="17" xfId="8" applyNumberFormat="1" applyFont="1" applyFill="1" applyBorder="1" applyAlignment="1">
      <alignment horizontal="right"/>
    </xf>
    <xf numFmtId="39" fontId="17" fillId="0" borderId="0" xfId="6" applyNumberFormat="1" applyFont="1" applyFill="1" applyBorder="1"/>
    <xf numFmtId="0" fontId="1" fillId="0" borderId="5" xfId="8" applyFont="1" applyFill="1" applyBorder="1" applyAlignment="1">
      <alignment horizontal="left" wrapText="1"/>
    </xf>
    <xf numFmtId="37" fontId="22" fillId="0" borderId="8" xfId="6" applyFont="1" applyFill="1" applyBorder="1" applyAlignment="1">
      <alignment horizontal="right"/>
    </xf>
    <xf numFmtId="4" fontId="26" fillId="0" borderId="13" xfId="6" applyNumberFormat="1" applyFont="1" applyFill="1" applyBorder="1"/>
    <xf numFmtId="4" fontId="15" fillId="0" borderId="5" xfId="6" applyNumberFormat="1" applyFont="1" applyFill="1" applyBorder="1"/>
    <xf numFmtId="164" fontId="17" fillId="0" borderId="3" xfId="2" applyNumberFormat="1" applyFont="1" applyFill="1" applyBorder="1" applyAlignment="1">
      <alignment horizontal="left" wrapText="1"/>
    </xf>
    <xf numFmtId="4" fontId="31" fillId="0" borderId="5" xfId="6" applyNumberFormat="1" applyFont="1" applyFill="1" applyBorder="1"/>
    <xf numFmtId="4" fontId="31" fillId="0" borderId="1" xfId="6" applyNumberFormat="1" applyFont="1" applyFill="1" applyBorder="1"/>
    <xf numFmtId="39" fontId="27" fillId="0" borderId="1" xfId="6" applyNumberFormat="1" applyFont="1" applyFill="1" applyBorder="1" applyAlignment="1">
      <alignment horizontal="right"/>
    </xf>
    <xf numFmtId="164" fontId="15" fillId="0" borderId="7" xfId="2" applyNumberFormat="1" applyFont="1" applyFill="1" applyBorder="1"/>
    <xf numFmtId="2" fontId="17" fillId="0" borderId="41" xfId="8" applyNumberFormat="1" applyFont="1" applyFill="1" applyBorder="1" applyAlignment="1">
      <alignment horizontal="right"/>
    </xf>
    <xf numFmtId="0" fontId="1" fillId="0" borderId="26" xfId="8" applyFont="1" applyFill="1" applyBorder="1" applyAlignment="1">
      <alignment horizontal="left" wrapText="1"/>
    </xf>
    <xf numFmtId="164" fontId="17" fillId="0" borderId="14" xfId="2" applyNumberFormat="1" applyFont="1" applyFill="1" applyBorder="1" applyAlignment="1" applyProtection="1">
      <alignment horizontal="left"/>
      <protection locked="0"/>
    </xf>
    <xf numFmtId="9" fontId="15" fillId="0" borderId="3" xfId="2" applyNumberFormat="1" applyFont="1" applyFill="1" applyBorder="1" applyAlignment="1">
      <alignment horizontal="center"/>
    </xf>
    <xf numFmtId="9" fontId="15" fillId="0" borderId="3" xfId="8" applyNumberFormat="1" applyFont="1" applyFill="1" applyBorder="1" applyAlignment="1">
      <alignment horizontal="center" wrapText="1"/>
    </xf>
    <xf numFmtId="4" fontId="22" fillId="0" borderId="5" xfId="6" applyNumberFormat="1" applyFont="1" applyFill="1" applyBorder="1"/>
    <xf numFmtId="9" fontId="22" fillId="0" borderId="3" xfId="6" applyNumberFormat="1" applyFont="1" applyFill="1" applyBorder="1" applyAlignment="1">
      <alignment horizontal="center"/>
    </xf>
    <xf numFmtId="9" fontId="1" fillId="0" borderId="1" xfId="6" applyNumberFormat="1" applyFont="1" applyFill="1" applyBorder="1" applyAlignment="1">
      <alignment horizontal="center"/>
    </xf>
    <xf numFmtId="164" fontId="15" fillId="0" borderId="7" xfId="2" applyNumberFormat="1" applyFont="1" applyFill="1" applyBorder="1" applyAlignment="1" applyProtection="1">
      <alignment horizontal="right"/>
      <protection locked="0"/>
    </xf>
    <xf numFmtId="4" fontId="27" fillId="0" borderId="5" xfId="2" applyNumberFormat="1" applyFont="1" applyFill="1" applyBorder="1" applyAlignment="1" applyProtection="1">
      <alignment horizontal="right"/>
      <protection locked="0"/>
    </xf>
    <xf numFmtId="9" fontId="15" fillId="0" borderId="3" xfId="6" applyNumberFormat="1" applyFont="1" applyFill="1" applyBorder="1" applyAlignment="1">
      <alignment horizontal="center"/>
    </xf>
    <xf numFmtId="165" fontId="17" fillId="0" borderId="1" xfId="2" applyFont="1" applyFill="1" applyBorder="1" applyAlignment="1" applyProtection="1">
      <protection locked="0"/>
    </xf>
    <xf numFmtId="165" fontId="27" fillId="0" borderId="2" xfId="2" applyFont="1" applyFill="1" applyBorder="1"/>
    <xf numFmtId="4" fontId="31" fillId="0" borderId="4" xfId="6" applyNumberFormat="1" applyFont="1" applyFill="1" applyBorder="1"/>
    <xf numFmtId="4" fontId="31" fillId="0" borderId="2" xfId="6" applyNumberFormat="1" applyFont="1" applyFill="1" applyBorder="1"/>
    <xf numFmtId="9" fontId="31" fillId="0" borderId="3" xfId="6" applyNumberFormat="1" applyFont="1" applyFill="1" applyBorder="1" applyAlignment="1">
      <alignment horizontal="center"/>
    </xf>
    <xf numFmtId="4" fontId="70" fillId="0" borderId="2" xfId="6" applyNumberFormat="1" applyFont="1" applyFill="1" applyBorder="1"/>
    <xf numFmtId="4" fontId="31" fillId="0" borderId="23" xfId="6" applyNumberFormat="1" applyFont="1" applyFill="1" applyBorder="1"/>
    <xf numFmtId="4" fontId="70" fillId="0" borderId="4" xfId="6" applyNumberFormat="1" applyFont="1" applyFill="1" applyBorder="1"/>
    <xf numFmtId="164" fontId="31" fillId="0" borderId="14" xfId="2" applyNumberFormat="1" applyFont="1" applyFill="1" applyBorder="1" applyAlignment="1" applyProtection="1">
      <alignment horizontal="left"/>
      <protection locked="0"/>
    </xf>
    <xf numFmtId="4" fontId="31" fillId="0" borderId="22" xfId="6" applyNumberFormat="1" applyFont="1" applyFill="1" applyBorder="1"/>
    <xf numFmtId="4" fontId="31" fillId="0" borderId="14" xfId="6" applyNumberFormat="1" applyFont="1" applyFill="1" applyBorder="1"/>
    <xf numFmtId="4" fontId="70" fillId="0" borderId="1" xfId="6" applyNumberFormat="1" applyFont="1" applyFill="1" applyBorder="1"/>
    <xf numFmtId="4" fontId="31" fillId="0" borderId="7" xfId="6" applyNumberFormat="1" applyFont="1" applyFill="1" applyBorder="1"/>
    <xf numFmtId="4" fontId="70" fillId="0" borderId="5" xfId="6" applyNumberFormat="1" applyFont="1" applyFill="1" applyBorder="1"/>
    <xf numFmtId="165" fontId="17" fillId="0" borderId="3" xfId="2" applyFont="1" applyFill="1" applyBorder="1" applyAlignment="1">
      <alignment horizontal="left" wrapText="1"/>
    </xf>
    <xf numFmtId="0" fontId="17" fillId="0" borderId="0" xfId="8" applyFont="1" applyFill="1" applyBorder="1" applyAlignment="1">
      <alignment horizontal="left" wrapText="1"/>
    </xf>
    <xf numFmtId="4" fontId="15" fillId="0" borderId="1" xfId="6" applyNumberFormat="1" applyFont="1" applyFill="1" applyBorder="1" applyAlignment="1">
      <alignment horizontal="center" vertical="center" wrapText="1"/>
    </xf>
    <xf numFmtId="4" fontId="26" fillId="0" borderId="7" xfId="2" applyNumberFormat="1" applyFont="1" applyFill="1" applyBorder="1" applyAlignment="1" applyProtection="1">
      <alignment horizontal="right"/>
      <protection locked="0"/>
    </xf>
    <xf numFmtId="0" fontId="63" fillId="0" borderId="5" xfId="8" applyFont="1" applyFill="1" applyBorder="1" applyAlignment="1">
      <alignment horizontal="left" wrapText="1"/>
    </xf>
    <xf numFmtId="39" fontId="26" fillId="0" borderId="7" xfId="6" applyNumberFormat="1" applyFont="1" applyFill="1" applyBorder="1"/>
    <xf numFmtId="39" fontId="27" fillId="0" borderId="5" xfId="6" applyNumberFormat="1" applyFont="1" applyFill="1" applyBorder="1"/>
    <xf numFmtId="4" fontId="26" fillId="0" borderId="1" xfId="2" applyNumberFormat="1" applyFont="1" applyFill="1" applyBorder="1" applyAlignment="1" applyProtection="1">
      <alignment horizontal="right"/>
      <protection locked="0"/>
    </xf>
    <xf numFmtId="4" fontId="26" fillId="0" borderId="5" xfId="2" applyNumberFormat="1" applyFont="1" applyFill="1" applyBorder="1" applyAlignment="1" applyProtection="1">
      <alignment horizontal="right"/>
      <protection locked="0"/>
    </xf>
    <xf numFmtId="4" fontId="27" fillId="0" borderId="1" xfId="6" applyNumberFormat="1" applyFont="1" applyFill="1" applyBorder="1"/>
    <xf numFmtId="4" fontId="27" fillId="0" borderId="5" xfId="6" applyNumberFormat="1" applyFont="1" applyFill="1" applyBorder="1"/>
    <xf numFmtId="165" fontId="22" fillId="0" borderId="0" xfId="2" applyFont="1" applyFill="1" applyBorder="1" applyAlignment="1">
      <alignment horizontal="left" wrapText="1"/>
    </xf>
    <xf numFmtId="165" fontId="1" fillId="0" borderId="3" xfId="2" applyFont="1" applyFill="1" applyBorder="1" applyAlignment="1">
      <alignment vertical="top" wrapText="1"/>
    </xf>
    <xf numFmtId="2" fontId="22" fillId="0" borderId="41" xfId="8" applyNumberFormat="1" applyFont="1" applyFill="1" applyBorder="1" applyAlignment="1">
      <alignment horizontal="right"/>
    </xf>
    <xf numFmtId="4" fontId="17" fillId="0" borderId="14" xfId="2" applyNumberFormat="1" applyFont="1" applyFill="1" applyBorder="1" applyAlignment="1" applyProtection="1">
      <alignment horizontal="right"/>
      <protection locked="0"/>
    </xf>
    <xf numFmtId="4" fontId="17" fillId="0" borderId="22" xfId="2" applyNumberFormat="1" applyFont="1" applyFill="1" applyBorder="1" applyAlignment="1" applyProtection="1">
      <alignment horizontal="right"/>
      <protection locked="0"/>
    </xf>
    <xf numFmtId="4" fontId="1" fillId="0" borderId="1" xfId="8" applyNumberFormat="1" applyFont="1" applyFill="1" applyBorder="1"/>
    <xf numFmtId="39" fontId="1" fillId="0" borderId="1" xfId="6" applyNumberFormat="1" applyFont="1" applyFill="1" applyBorder="1"/>
    <xf numFmtId="172" fontId="17" fillId="0" borderId="1" xfId="2" applyNumberFormat="1" applyFont="1" applyFill="1" applyBorder="1" applyAlignment="1" applyProtection="1">
      <alignment horizontal="left"/>
      <protection locked="0"/>
    </xf>
    <xf numFmtId="172" fontId="1" fillId="0" borderId="1" xfId="6" applyNumberFormat="1" applyFont="1" applyFill="1" applyBorder="1"/>
    <xf numFmtId="164" fontId="1" fillId="0" borderId="3" xfId="2" applyNumberFormat="1" applyFont="1" applyFill="1" applyBorder="1" applyAlignment="1">
      <alignment horizontal="left" wrapText="1"/>
    </xf>
    <xf numFmtId="4" fontId="1" fillId="0" borderId="1" xfId="6" applyNumberFormat="1" applyFont="1" applyFill="1" applyBorder="1" applyAlignment="1">
      <alignment horizontal="center"/>
    </xf>
    <xf numFmtId="4" fontId="17" fillId="0" borderId="1" xfId="2" applyNumberFormat="1" applyFont="1" applyFill="1" applyBorder="1" applyAlignment="1" applyProtection="1">
      <alignment horizontal="center"/>
      <protection locked="0"/>
    </xf>
    <xf numFmtId="165" fontId="22" fillId="0" borderId="1" xfId="8" applyNumberFormat="1" applyFont="1" applyFill="1" applyBorder="1"/>
    <xf numFmtId="0" fontId="1" fillId="0" borderId="1" xfId="8" applyFont="1" applyFill="1" applyBorder="1"/>
    <xf numFmtId="165" fontId="1" fillId="0" borderId="1" xfId="8" applyNumberFormat="1" applyFont="1" applyFill="1" applyBorder="1"/>
    <xf numFmtId="9" fontId="1" fillId="0" borderId="26" xfId="8" applyNumberFormat="1" applyFont="1" applyFill="1" applyBorder="1" applyAlignment="1">
      <alignment horizontal="center"/>
    </xf>
    <xf numFmtId="4" fontId="17" fillId="0" borderId="19" xfId="8" applyNumberFormat="1" applyFont="1" applyFill="1" applyBorder="1" applyAlignment="1">
      <alignment horizontal="right" wrapText="1"/>
    </xf>
    <xf numFmtId="37" fontId="1" fillId="0" borderId="35" xfId="6" applyFont="1" applyFill="1" applyBorder="1"/>
    <xf numFmtId="37" fontId="1" fillId="0" borderId="35" xfId="6" applyFont="1" applyFill="1" applyBorder="1" applyAlignment="1">
      <alignment horizontal="right"/>
    </xf>
    <xf numFmtId="37" fontId="17" fillId="0" borderId="35" xfId="6" applyFont="1" applyFill="1" applyBorder="1"/>
    <xf numFmtId="4" fontId="1" fillId="0" borderId="35" xfId="6" applyNumberFormat="1" applyFont="1" applyFill="1" applyBorder="1"/>
    <xf numFmtId="4" fontId="1" fillId="0" borderId="35" xfId="8" applyNumberFormat="1" applyFont="1" applyFill="1" applyBorder="1"/>
    <xf numFmtId="4" fontId="1" fillId="0" borderId="35" xfId="6" applyNumberFormat="1" applyFont="1" applyFill="1" applyBorder="1" applyAlignment="1">
      <alignment horizontal="right"/>
    </xf>
    <xf numFmtId="9" fontId="1" fillId="0" borderId="35" xfId="7" applyFont="1" applyFill="1" applyBorder="1" applyAlignment="1">
      <alignment horizontal="center"/>
    </xf>
    <xf numFmtId="37" fontId="15" fillId="0" borderId="35" xfId="6" applyFont="1" applyFill="1" applyBorder="1"/>
    <xf numFmtId="37" fontId="22" fillId="0" borderId="35" xfId="6" applyFont="1" applyFill="1" applyBorder="1"/>
    <xf numFmtId="37" fontId="17" fillId="0" borderId="0" xfId="6" applyFont="1" applyFill="1"/>
    <xf numFmtId="4" fontId="1" fillId="0" borderId="0" xfId="8" applyNumberFormat="1" applyFont="1" applyFill="1"/>
    <xf numFmtId="4" fontId="1" fillId="0" borderId="0" xfId="6" applyNumberFormat="1" applyFont="1" applyFill="1" applyAlignment="1">
      <alignment horizontal="right"/>
    </xf>
    <xf numFmtId="9" fontId="1" fillId="0" borderId="0" xfId="7" applyFont="1" applyFill="1" applyAlignment="1">
      <alignment horizontal="center"/>
    </xf>
    <xf numFmtId="37" fontId="15" fillId="0" borderId="0" xfId="6" applyFont="1" applyFill="1"/>
    <xf numFmtId="0" fontId="1" fillId="0" borderId="0" xfId="8" applyFont="1" applyFill="1"/>
    <xf numFmtId="39" fontId="1" fillId="0" borderId="0" xfId="6" applyNumberFormat="1" applyFont="1" applyFill="1"/>
    <xf numFmtId="39" fontId="1" fillId="0" borderId="0" xfId="6" applyNumberFormat="1" applyFont="1" applyFill="1" applyAlignment="1">
      <alignment horizontal="right"/>
    </xf>
    <xf numFmtId="166" fontId="58" fillId="5" borderId="0" xfId="6" applyNumberFormat="1" applyFont="1" applyFill="1" applyBorder="1" applyAlignment="1" applyProtection="1">
      <alignment horizontal="center" vertical="top" wrapText="1"/>
      <protection locked="0"/>
    </xf>
    <xf numFmtId="166" fontId="57" fillId="5" borderId="0" xfId="6" applyNumberFormat="1" applyFont="1" applyFill="1" applyBorder="1" applyAlignment="1" applyProtection="1">
      <alignment horizontal="center" vertical="top" wrapText="1"/>
      <protection locked="0"/>
    </xf>
    <xf numFmtId="4" fontId="58" fillId="5" borderId="0" xfId="6" applyNumberFormat="1" applyFont="1" applyFill="1" applyBorder="1"/>
    <xf numFmtId="9" fontId="58" fillId="5" borderId="0" xfId="7" applyFont="1" applyFill="1" applyBorder="1" applyAlignment="1">
      <alignment horizontal="center"/>
    </xf>
    <xf numFmtId="9" fontId="58" fillId="5" borderId="13" xfId="7" applyFont="1" applyFill="1" applyBorder="1" applyAlignment="1">
      <alignment horizontal="center"/>
    </xf>
    <xf numFmtId="37" fontId="57" fillId="5" borderId="0" xfId="6" applyFont="1" applyFill="1" applyBorder="1" applyAlignment="1">
      <alignment horizontal="center"/>
    </xf>
    <xf numFmtId="37" fontId="58" fillId="5" borderId="0" xfId="6" applyFont="1" applyFill="1" applyBorder="1" applyAlignment="1">
      <alignment horizontal="center"/>
    </xf>
    <xf numFmtId="166" fontId="71" fillId="5" borderId="0" xfId="8" applyNumberFormat="1" applyFont="1" applyFill="1" applyBorder="1" applyAlignment="1" applyProtection="1">
      <alignment horizontal="center"/>
      <protection locked="0"/>
    </xf>
    <xf numFmtId="38" fontId="71" fillId="5" borderId="0" xfId="8" applyNumberFormat="1" applyFont="1" applyFill="1" applyBorder="1" applyAlignment="1" applyProtection="1">
      <alignment horizontal="center"/>
      <protection locked="0"/>
    </xf>
    <xf numFmtId="40" fontId="71" fillId="5" borderId="0" xfId="8" applyNumberFormat="1" applyFont="1" applyFill="1" applyBorder="1" applyAlignment="1" applyProtection="1">
      <alignment horizontal="center"/>
      <protection locked="0"/>
    </xf>
    <xf numFmtId="37" fontId="57" fillId="5" borderId="0" xfId="6" applyFont="1" applyFill="1" applyBorder="1" applyAlignment="1">
      <alignment horizontal="right"/>
    </xf>
    <xf numFmtId="9" fontId="57" fillId="5" borderId="0" xfId="7" applyFont="1" applyFill="1" applyBorder="1" applyAlignment="1">
      <alignment horizontal="center"/>
    </xf>
    <xf numFmtId="37" fontId="57" fillId="5" borderId="0" xfId="6" applyFont="1" applyFill="1" applyBorder="1"/>
    <xf numFmtId="166" fontId="58" fillId="5" borderId="37" xfId="6" applyNumberFormat="1" applyFont="1" applyFill="1" applyBorder="1" applyAlignment="1">
      <alignment horizontal="center" vertical="center" wrapText="1"/>
    </xf>
    <xf numFmtId="37" fontId="57" fillId="5" borderId="37" xfId="6" applyFont="1" applyFill="1" applyBorder="1" applyAlignment="1">
      <alignment horizontal="center" vertical="center" wrapText="1"/>
    </xf>
    <xf numFmtId="166" fontId="71" fillId="5" borderId="37" xfId="8" applyNumberFormat="1" applyFont="1" applyFill="1" applyBorder="1" applyAlignment="1" applyProtection="1">
      <alignment horizontal="center" vertical="center" wrapText="1"/>
      <protection locked="0"/>
    </xf>
    <xf numFmtId="40" fontId="71" fillId="5" borderId="37" xfId="8" applyNumberFormat="1" applyFont="1" applyFill="1" applyBorder="1" applyAlignment="1" applyProtection="1">
      <alignment horizontal="center" vertical="center" wrapText="1"/>
      <protection locked="0"/>
    </xf>
    <xf numFmtId="4" fontId="57" fillId="5" borderId="37" xfId="6" applyNumberFormat="1" applyFont="1" applyFill="1" applyBorder="1" applyAlignment="1">
      <alignment horizontal="center" vertical="center" wrapText="1"/>
    </xf>
    <xf numFmtId="9" fontId="57" fillId="5" borderId="37" xfId="7" applyFont="1" applyFill="1" applyBorder="1" applyAlignment="1">
      <alignment horizontal="center" vertical="center" wrapText="1"/>
    </xf>
    <xf numFmtId="166" fontId="57" fillId="5" borderId="58" xfId="6" applyNumberFormat="1" applyFont="1" applyFill="1" applyBorder="1" applyAlignment="1">
      <alignment horizontal="center" vertical="center" wrapText="1"/>
    </xf>
    <xf numFmtId="2" fontId="57" fillId="5" borderId="37" xfId="6" applyNumberFormat="1" applyFont="1" applyFill="1" applyBorder="1" applyAlignment="1">
      <alignment horizontal="center" vertical="center" wrapText="1"/>
    </xf>
    <xf numFmtId="4" fontId="57" fillId="5" borderId="56" xfId="6" applyNumberFormat="1" applyFont="1" applyFill="1" applyBorder="1" applyAlignment="1">
      <alignment horizontal="center" vertical="center" wrapText="1"/>
    </xf>
    <xf numFmtId="4" fontId="57" fillId="5" borderId="10" xfId="6" applyNumberFormat="1" applyFont="1" applyFill="1" applyBorder="1" applyAlignment="1">
      <alignment horizontal="center" vertical="center" wrapText="1"/>
    </xf>
    <xf numFmtId="9" fontId="57" fillId="5" borderId="44" xfId="7" applyFont="1" applyFill="1" applyBorder="1" applyAlignment="1">
      <alignment horizontal="center" vertical="center" wrapText="1"/>
    </xf>
    <xf numFmtId="9" fontId="57" fillId="5" borderId="56" xfId="7" applyFont="1" applyFill="1" applyBorder="1" applyAlignment="1">
      <alignment horizontal="center" vertical="center" wrapText="1"/>
    </xf>
    <xf numFmtId="0" fontId="57" fillId="5" borderId="57" xfId="8" applyFont="1" applyFill="1" applyBorder="1" applyAlignment="1">
      <alignment horizontal="center" vertical="center" wrapText="1"/>
    </xf>
    <xf numFmtId="0" fontId="57" fillId="5" borderId="37" xfId="8" applyFont="1" applyFill="1" applyBorder="1" applyAlignment="1">
      <alignment horizontal="center" vertical="center" wrapText="1"/>
    </xf>
    <xf numFmtId="0" fontId="57" fillId="5" borderId="56" xfId="8" applyFont="1" applyFill="1" applyBorder="1" applyAlignment="1">
      <alignment horizontal="center" vertical="center" wrapText="1"/>
    </xf>
    <xf numFmtId="0" fontId="57" fillId="5" borderId="29" xfId="4" applyFont="1" applyFill="1" applyBorder="1" applyAlignment="1">
      <alignment horizontal="center"/>
    </xf>
    <xf numFmtId="0" fontId="57" fillId="5" borderId="35" xfId="4" applyFont="1" applyFill="1" applyBorder="1" applyAlignment="1">
      <alignment horizontal="center"/>
    </xf>
    <xf numFmtId="0" fontId="57" fillId="5" borderId="12" xfId="4" applyFont="1" applyFill="1" applyBorder="1" applyAlignment="1">
      <alignment horizontal="center"/>
    </xf>
    <xf numFmtId="0" fontId="57" fillId="5" borderId="17" xfId="4" applyFont="1" applyFill="1" applyBorder="1" applyAlignment="1">
      <alignment horizontal="center"/>
    </xf>
    <xf numFmtId="0" fontId="57" fillId="5" borderId="0" xfId="4" applyFont="1" applyFill="1" applyBorder="1" applyAlignment="1">
      <alignment horizontal="center"/>
    </xf>
    <xf numFmtId="0" fontId="57" fillId="5" borderId="13" xfId="4" applyFont="1" applyFill="1" applyBorder="1" applyAlignment="1">
      <alignment horizontal="center"/>
    </xf>
    <xf numFmtId="0" fontId="57" fillId="5" borderId="18" xfId="4" applyFont="1" applyFill="1" applyBorder="1" applyAlignment="1">
      <alignment horizontal="center"/>
    </xf>
    <xf numFmtId="0" fontId="57" fillId="5" borderId="26" xfId="4" applyFont="1" applyFill="1" applyBorder="1" applyAlignment="1">
      <alignment horizontal="center"/>
    </xf>
    <xf numFmtId="0" fontId="57" fillId="5" borderId="15" xfId="4" applyFont="1" applyFill="1" applyBorder="1" applyAlignment="1">
      <alignment horizontal="center"/>
    </xf>
    <xf numFmtId="0" fontId="57" fillId="5" borderId="0" xfId="0" applyFont="1" applyFill="1" applyBorder="1" applyAlignment="1">
      <alignment horizontal="center"/>
    </xf>
    <xf numFmtId="175" fontId="57" fillId="5" borderId="26" xfId="5" applyNumberFormat="1" applyFont="1" applyFill="1" applyBorder="1" applyAlignment="1" applyProtection="1">
      <alignment horizontal="center"/>
      <protection locked="0"/>
    </xf>
    <xf numFmtId="175" fontId="57" fillId="5" borderId="0" xfId="5" applyNumberFormat="1" applyFont="1" applyFill="1" applyBorder="1" applyAlignment="1" applyProtection="1">
      <alignment horizontal="center"/>
      <protection locked="0"/>
    </xf>
    <xf numFmtId="165" fontId="1" fillId="0" borderId="21" xfId="2" applyFont="1" applyFill="1" applyBorder="1" applyAlignment="1">
      <alignment horizontal="center" vertical="center" wrapText="1"/>
    </xf>
    <xf numFmtId="165" fontId="1" fillId="0" borderId="2" xfId="2" applyFont="1" applyFill="1" applyBorder="1" applyAlignment="1">
      <alignment horizontal="center" vertical="center" wrapText="1"/>
    </xf>
    <xf numFmtId="4" fontId="1" fillId="0" borderId="45" xfId="2" applyNumberFormat="1" applyFont="1" applyFill="1" applyBorder="1" applyAlignment="1">
      <alignment horizontal="center" wrapText="1"/>
    </xf>
    <xf numFmtId="4" fontId="1" fillId="0" borderId="46" xfId="2" applyNumberFormat="1" applyFont="1" applyFill="1" applyBorder="1" applyAlignment="1">
      <alignment horizontal="center" wrapText="1"/>
    </xf>
    <xf numFmtId="4" fontId="57" fillId="5" borderId="28" xfId="0" applyNumberFormat="1" applyFont="1" applyFill="1" applyBorder="1" applyAlignment="1">
      <alignment horizontal="center"/>
    </xf>
    <xf numFmtId="4" fontId="57" fillId="5" borderId="43" xfId="0" applyNumberFormat="1" applyFont="1" applyFill="1" applyBorder="1" applyAlignment="1">
      <alignment horizontal="center"/>
    </xf>
    <xf numFmtId="4" fontId="57" fillId="5" borderId="10" xfId="0" applyNumberFormat="1" applyFont="1" applyFill="1" applyBorder="1" applyAlignment="1">
      <alignment horizontal="center"/>
    </xf>
    <xf numFmtId="37" fontId="15" fillId="0" borderId="0" xfId="6" applyFont="1" applyFill="1" applyBorder="1" applyAlignment="1">
      <alignment horizontal="center"/>
    </xf>
    <xf numFmtId="37" fontId="8" fillId="0" borderId="0" xfId="6" applyFont="1" applyFill="1" applyBorder="1" applyAlignment="1">
      <alignment horizontal="center"/>
    </xf>
    <xf numFmtId="165" fontId="9" fillId="0" borderId="1" xfId="2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65" fontId="9" fillId="0" borderId="14" xfId="2" applyFont="1" applyFill="1" applyBorder="1" applyAlignment="1">
      <alignment horizontal="left" wrapText="1"/>
    </xf>
    <xf numFmtId="0" fontId="9" fillId="0" borderId="47" xfId="0" applyFont="1" applyFill="1" applyBorder="1" applyAlignment="1">
      <alignment horizontal="left" wrapText="1"/>
    </xf>
    <xf numFmtId="166" fontId="8" fillId="0" borderId="54" xfId="6" applyNumberFormat="1" applyFont="1" applyFill="1" applyBorder="1" applyAlignment="1" applyProtection="1">
      <alignment horizontal="center" vertical="top" wrapText="1"/>
      <protection locked="0"/>
    </xf>
    <xf numFmtId="166" fontId="8" fillId="0" borderId="55" xfId="6" applyNumberFormat="1" applyFont="1" applyFill="1" applyBorder="1" applyAlignment="1" applyProtection="1">
      <alignment horizontal="center" vertical="top" wrapText="1"/>
      <protection locked="0"/>
    </xf>
    <xf numFmtId="39" fontId="6" fillId="0" borderId="1" xfId="6" applyNumberFormat="1" applyFont="1" applyFill="1" applyBorder="1" applyAlignment="1" applyProtection="1">
      <alignment horizontal="left" wrapText="1"/>
      <protection locked="0"/>
    </xf>
    <xf numFmtId="37" fontId="8" fillId="0" borderId="11" xfId="6" applyFont="1" applyFill="1" applyBorder="1" applyAlignment="1">
      <alignment horizontal="center" vertical="center" wrapText="1"/>
    </xf>
    <xf numFmtId="37" fontId="8" fillId="0" borderId="36" xfId="6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37" fontId="59" fillId="5" borderId="36" xfId="6" applyFont="1" applyFill="1" applyBorder="1" applyAlignment="1">
      <alignment horizontal="center" vertical="center" wrapText="1"/>
    </xf>
    <xf numFmtId="0" fontId="60" fillId="5" borderId="35" xfId="0" applyFont="1" applyFill="1" applyBorder="1" applyAlignment="1">
      <alignment horizontal="center" vertical="center" wrapText="1"/>
    </xf>
    <xf numFmtId="39" fontId="8" fillId="0" borderId="1" xfId="6" applyNumberFormat="1" applyFont="1" applyFill="1" applyBorder="1" applyAlignment="1" applyProtection="1">
      <alignment horizontal="left" wrapText="1"/>
      <protection locked="0"/>
    </xf>
    <xf numFmtId="0" fontId="7" fillId="0" borderId="3" xfId="0" applyFont="1" applyFill="1" applyBorder="1" applyAlignment="1">
      <alignment horizontal="left" wrapText="1"/>
    </xf>
    <xf numFmtId="165" fontId="8" fillId="0" borderId="3" xfId="2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39" fontId="9" fillId="0" borderId="1" xfId="6" applyNumberFormat="1" applyFont="1" applyFill="1" applyBorder="1" applyAlignment="1" applyProtection="1">
      <alignment horizontal="left" wrapText="1"/>
      <protection locked="0"/>
    </xf>
    <xf numFmtId="165" fontId="9" fillId="0" borderId="3" xfId="2" applyFont="1" applyFill="1" applyBorder="1" applyAlignment="1">
      <alignment horizontal="left" wrapText="1"/>
    </xf>
    <xf numFmtId="165" fontId="9" fillId="0" borderId="5" xfId="2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 wrapText="1"/>
    </xf>
    <xf numFmtId="164" fontId="9" fillId="0" borderId="14" xfId="2" applyNumberFormat="1" applyFont="1" applyFill="1" applyBorder="1" applyAlignment="1">
      <alignment horizontal="left" wrapText="1"/>
    </xf>
    <xf numFmtId="0" fontId="39" fillId="0" borderId="47" xfId="0" applyFont="1" applyFill="1" applyBorder="1" applyAlignment="1">
      <alignment horizontal="left" wrapText="1"/>
    </xf>
    <xf numFmtId="164" fontId="9" fillId="0" borderId="1" xfId="2" applyNumberFormat="1" applyFont="1" applyFill="1" applyBorder="1" applyAlignment="1">
      <alignment horizontal="left" wrapText="1"/>
    </xf>
    <xf numFmtId="0" fontId="39" fillId="0" borderId="3" xfId="0" applyFont="1" applyFill="1" applyBorder="1" applyAlignment="1">
      <alignment horizontal="left" wrapText="1"/>
    </xf>
    <xf numFmtId="164" fontId="8" fillId="0" borderId="1" xfId="2" applyNumberFormat="1" applyFont="1" applyFill="1" applyBorder="1" applyAlignment="1">
      <alignment horizontal="left" wrapText="1"/>
    </xf>
    <xf numFmtId="164" fontId="8" fillId="0" borderId="3" xfId="2" applyNumberFormat="1" applyFont="1" applyFill="1" applyBorder="1" applyAlignment="1">
      <alignment horizontal="left" wrapText="1"/>
    </xf>
    <xf numFmtId="0" fontId="57" fillId="5" borderId="0" xfId="0" applyFont="1" applyFill="1" applyAlignment="1">
      <alignment horizontal="center" wrapText="1"/>
    </xf>
    <xf numFmtId="37" fontId="45" fillId="0" borderId="0" xfId="6" applyFont="1" applyAlignment="1">
      <alignment vertical="top" wrapText="1"/>
    </xf>
    <xf numFmtId="37" fontId="45" fillId="0" borderId="0" xfId="6" applyFont="1" applyAlignment="1">
      <alignment horizontal="left"/>
    </xf>
    <xf numFmtId="37" fontId="22" fillId="0" borderId="0" xfId="6" applyFont="1" applyAlignment="1">
      <alignment horizontal="center"/>
    </xf>
    <xf numFmtId="37" fontId="59" fillId="5" borderId="29" xfId="6" applyFont="1" applyFill="1" applyBorder="1" applyAlignment="1">
      <alignment horizontal="center"/>
    </xf>
    <xf numFmtId="37" fontId="59" fillId="5" borderId="35" xfId="6" applyFont="1" applyFill="1" applyBorder="1" applyAlignment="1">
      <alignment horizontal="center"/>
    </xf>
    <xf numFmtId="37" fontId="59" fillId="5" borderId="12" xfId="6" applyFont="1" applyFill="1" applyBorder="1" applyAlignment="1">
      <alignment horizontal="center"/>
    </xf>
    <xf numFmtId="37" fontId="59" fillId="5" borderId="17" xfId="6" applyFont="1" applyFill="1" applyBorder="1" applyAlignment="1">
      <alignment horizontal="center"/>
    </xf>
    <xf numFmtId="37" fontId="59" fillId="5" borderId="0" xfId="6" applyFont="1" applyFill="1" applyBorder="1" applyAlignment="1">
      <alignment horizontal="center"/>
    </xf>
    <xf numFmtId="37" fontId="59" fillId="5" borderId="13" xfId="6" applyFont="1" applyFill="1" applyBorder="1" applyAlignment="1">
      <alignment horizontal="center"/>
    </xf>
    <xf numFmtId="37" fontId="43" fillId="0" borderId="0" xfId="6" applyFont="1" applyAlignment="1">
      <alignment horizontal="left"/>
    </xf>
    <xf numFmtId="37" fontId="1" fillId="0" borderId="29" xfId="6" applyFont="1" applyFill="1" applyBorder="1" applyAlignment="1">
      <alignment horizontal="center"/>
    </xf>
    <xf numFmtId="37" fontId="1" fillId="0" borderId="35" xfId="6" applyFont="1" applyFill="1" applyBorder="1" applyAlignment="1">
      <alignment horizontal="center"/>
    </xf>
    <xf numFmtId="37" fontId="1" fillId="0" borderId="12" xfId="6" applyFont="1" applyFill="1" applyBorder="1" applyAlignment="1">
      <alignment horizontal="center"/>
    </xf>
    <xf numFmtId="39" fontId="15" fillId="0" borderId="3" xfId="6" applyNumberFormat="1" applyFont="1" applyFill="1" applyBorder="1" applyAlignment="1" applyProtection="1">
      <alignment horizontal="left" vertical="center" wrapText="1"/>
      <protection locked="0"/>
    </xf>
    <xf numFmtId="39" fontId="15" fillId="0" borderId="5" xfId="6" applyNumberFormat="1" applyFont="1" applyFill="1" applyBorder="1" applyAlignment="1" applyProtection="1">
      <alignment horizontal="left" vertical="center" wrapText="1"/>
      <protection locked="0"/>
    </xf>
    <xf numFmtId="165" fontId="15" fillId="0" borderId="3" xfId="2" applyFont="1" applyFill="1" applyBorder="1" applyAlignment="1">
      <alignment horizontal="left" vertical="center" wrapText="1"/>
    </xf>
    <xf numFmtId="165" fontId="15" fillId="0" borderId="5" xfId="2" applyFont="1" applyFill="1" applyBorder="1" applyAlignment="1">
      <alignment horizontal="left" vertical="center" wrapText="1"/>
    </xf>
    <xf numFmtId="165" fontId="22" fillId="0" borderId="3" xfId="2" applyFont="1" applyFill="1" applyBorder="1" applyAlignment="1">
      <alignment horizontal="left" vertical="center" wrapText="1"/>
    </xf>
    <xf numFmtId="165" fontId="22" fillId="0" borderId="5" xfId="2" applyFont="1" applyFill="1" applyBorder="1" applyAlignment="1">
      <alignment horizontal="left" vertical="center" wrapText="1"/>
    </xf>
    <xf numFmtId="164" fontId="22" fillId="0" borderId="3" xfId="2" applyNumberFormat="1" applyFont="1" applyFill="1" applyBorder="1" applyAlignment="1">
      <alignment horizontal="left" vertical="center" wrapText="1"/>
    </xf>
    <xf numFmtId="164" fontId="22" fillId="0" borderId="5" xfId="2" applyNumberFormat="1" applyFont="1" applyFill="1" applyBorder="1" applyAlignment="1">
      <alignment horizontal="left" vertical="center" wrapText="1"/>
    </xf>
    <xf numFmtId="37" fontId="22" fillId="0" borderId="36" xfId="6" applyFont="1" applyFill="1" applyBorder="1" applyAlignment="1">
      <alignment horizontal="center" vertical="center" wrapText="1"/>
    </xf>
    <xf numFmtId="37" fontId="22" fillId="0" borderId="30" xfId="6" applyFont="1" applyFill="1" applyBorder="1" applyAlignment="1">
      <alignment horizontal="center" vertical="center" wrapText="1"/>
    </xf>
    <xf numFmtId="39" fontId="15" fillId="0" borderId="47" xfId="6" applyNumberFormat="1" applyFont="1" applyFill="1" applyBorder="1" applyAlignment="1" applyProtection="1">
      <alignment horizontal="left" vertical="center" wrapText="1"/>
      <protection locked="0"/>
    </xf>
    <xf numFmtId="39" fontId="15" fillId="0" borderId="22" xfId="6" applyNumberFormat="1" applyFont="1" applyFill="1" applyBorder="1" applyAlignment="1" applyProtection="1">
      <alignment horizontal="left" vertical="center" wrapText="1"/>
      <protection locked="0"/>
    </xf>
    <xf numFmtId="37" fontId="57" fillId="5" borderId="29" xfId="6" applyFont="1" applyFill="1" applyBorder="1" applyAlignment="1">
      <alignment horizontal="center"/>
    </xf>
    <xf numFmtId="37" fontId="57" fillId="5" borderId="35" xfId="6" applyFont="1" applyFill="1" applyBorder="1" applyAlignment="1">
      <alignment horizontal="center"/>
    </xf>
    <xf numFmtId="37" fontId="57" fillId="5" borderId="12" xfId="6" applyFont="1" applyFill="1" applyBorder="1" applyAlignment="1">
      <alignment horizontal="center"/>
    </xf>
    <xf numFmtId="37" fontId="57" fillId="5" borderId="17" xfId="6" applyFont="1" applyFill="1" applyBorder="1" applyAlignment="1">
      <alignment horizontal="center"/>
    </xf>
    <xf numFmtId="37" fontId="57" fillId="5" borderId="0" xfId="6" applyFont="1" applyFill="1" applyBorder="1" applyAlignment="1">
      <alignment horizontal="center"/>
    </xf>
    <xf numFmtId="37" fontId="57" fillId="5" borderId="13" xfId="6" applyFont="1" applyFill="1" applyBorder="1" applyAlignment="1">
      <alignment horizontal="center"/>
    </xf>
    <xf numFmtId="37" fontId="1" fillId="0" borderId="3" xfId="6" applyFont="1" applyFill="1" applyBorder="1" applyAlignment="1">
      <alignment horizontal="center" vertical="center" wrapText="1"/>
    </xf>
    <xf numFmtId="37" fontId="1" fillId="0" borderId="5" xfId="6" applyFont="1" applyFill="1" applyBorder="1" applyAlignment="1">
      <alignment horizontal="center" vertical="center" wrapText="1"/>
    </xf>
    <xf numFmtId="37" fontId="57" fillId="5" borderId="44" xfId="6" applyFont="1" applyFill="1" applyBorder="1" applyAlignment="1">
      <alignment horizontal="center" vertical="center" wrapText="1"/>
    </xf>
    <xf numFmtId="37" fontId="57" fillId="5" borderId="58" xfId="6" applyFont="1" applyFill="1" applyBorder="1" applyAlignment="1">
      <alignment horizontal="center" vertical="center" wrapText="1"/>
    </xf>
    <xf numFmtId="165" fontId="5" fillId="0" borderId="1" xfId="2" applyFont="1" applyFill="1" applyBorder="1" applyAlignment="1">
      <alignment horizontal="left" wrapText="1"/>
    </xf>
    <xf numFmtId="0" fontId="5" fillId="0" borderId="3" xfId="8" applyFont="1" applyFill="1" applyBorder="1" applyAlignment="1">
      <alignment horizontal="left" wrapText="1"/>
    </xf>
    <xf numFmtId="165" fontId="5" fillId="0" borderId="3" xfId="2" applyFont="1" applyFill="1" applyBorder="1" applyAlignment="1">
      <alignment horizontal="center"/>
    </xf>
    <xf numFmtId="165" fontId="5" fillId="0" borderId="5" xfId="2" applyFont="1" applyFill="1" applyBorder="1" applyAlignment="1">
      <alignment horizontal="center"/>
    </xf>
    <xf numFmtId="164" fontId="4" fillId="0" borderId="1" xfId="2" applyNumberFormat="1" applyFont="1" applyFill="1" applyBorder="1" applyAlignment="1">
      <alignment horizontal="left" wrapText="1"/>
    </xf>
    <xf numFmtId="164" fontId="4" fillId="0" borderId="3" xfId="2" applyNumberFormat="1" applyFont="1" applyFill="1" applyBorder="1" applyAlignment="1">
      <alignment horizontal="left" wrapText="1"/>
    </xf>
    <xf numFmtId="165" fontId="4" fillId="0" borderId="1" xfId="2" applyFont="1" applyFill="1" applyBorder="1" applyAlignment="1">
      <alignment horizontal="left" wrapText="1"/>
    </xf>
    <xf numFmtId="0" fontId="50" fillId="0" borderId="3" xfId="8" applyFont="1" applyFill="1" applyBorder="1" applyAlignment="1">
      <alignment horizontal="left" wrapText="1"/>
    </xf>
    <xf numFmtId="164" fontId="5" fillId="0" borderId="14" xfId="2" applyNumberFormat="1" applyFont="1" applyFill="1" applyBorder="1" applyAlignment="1">
      <alignment horizontal="left" wrapText="1"/>
    </xf>
    <xf numFmtId="0" fontId="1" fillId="0" borderId="47" xfId="8" applyFill="1" applyBorder="1" applyAlignment="1">
      <alignment horizontal="left" wrapText="1"/>
    </xf>
    <xf numFmtId="164" fontId="5" fillId="0" borderId="1" xfId="2" applyNumberFormat="1" applyFont="1" applyFill="1" applyBorder="1" applyAlignment="1">
      <alignment horizontal="left" wrapText="1"/>
    </xf>
    <xf numFmtId="0" fontId="1" fillId="0" borderId="3" xfId="8" applyFill="1" applyBorder="1" applyAlignment="1">
      <alignment horizontal="left" wrapText="1"/>
    </xf>
    <xf numFmtId="165" fontId="4" fillId="0" borderId="3" xfId="2" applyFont="1" applyFill="1" applyBorder="1" applyAlignment="1">
      <alignment horizontal="left" wrapText="1"/>
    </xf>
    <xf numFmtId="0" fontId="9" fillId="0" borderId="3" xfId="8" applyFont="1" applyFill="1" applyBorder="1" applyAlignment="1">
      <alignment horizontal="left" wrapText="1"/>
    </xf>
    <xf numFmtId="165" fontId="5" fillId="0" borderId="3" xfId="2" applyFont="1" applyFill="1" applyBorder="1" applyAlignment="1">
      <alignment horizontal="left" wrapText="1"/>
    </xf>
    <xf numFmtId="165" fontId="5" fillId="0" borderId="5" xfId="2" applyFont="1" applyFill="1" applyBorder="1" applyAlignment="1">
      <alignment horizontal="left" wrapText="1"/>
    </xf>
    <xf numFmtId="0" fontId="3" fillId="0" borderId="3" xfId="8" applyFont="1" applyFill="1" applyBorder="1" applyAlignment="1">
      <alignment horizontal="left" wrapText="1"/>
    </xf>
    <xf numFmtId="165" fontId="9" fillId="0" borderId="2" xfId="2" applyFont="1" applyFill="1" applyBorder="1" applyAlignment="1">
      <alignment horizontal="left" wrapText="1"/>
    </xf>
    <xf numFmtId="0" fontId="9" fillId="0" borderId="46" xfId="8" applyFont="1" applyFill="1" applyBorder="1" applyAlignment="1">
      <alignment horizontal="left" wrapText="1"/>
    </xf>
    <xf numFmtId="0" fontId="11" fillId="0" borderId="3" xfId="8" applyFont="1" applyFill="1" applyBorder="1" applyAlignment="1">
      <alignment horizontal="left" wrapText="1"/>
    </xf>
    <xf numFmtId="0" fontId="5" fillId="0" borderId="1" xfId="8" applyFont="1" applyFill="1" applyBorder="1" applyAlignment="1">
      <alignment horizontal="left" wrapText="1"/>
    </xf>
    <xf numFmtId="165" fontId="4" fillId="0" borderId="2" xfId="2" applyFont="1" applyFill="1" applyBorder="1" applyAlignment="1">
      <alignment horizontal="left" wrapText="1"/>
    </xf>
    <xf numFmtId="0" fontId="50" fillId="0" borderId="46" xfId="8" applyFont="1" applyFill="1" applyBorder="1" applyAlignment="1">
      <alignment horizontal="left" wrapText="1"/>
    </xf>
    <xf numFmtId="0" fontId="5" fillId="0" borderId="5" xfId="8" applyFont="1" applyFill="1" applyBorder="1" applyAlignment="1">
      <alignment horizontal="left" wrapText="1"/>
    </xf>
    <xf numFmtId="165" fontId="5" fillId="0" borderId="2" xfId="2" applyFont="1" applyFill="1" applyBorder="1" applyAlignment="1">
      <alignment horizontal="left" wrapText="1"/>
    </xf>
    <xf numFmtId="0" fontId="5" fillId="0" borderId="46" xfId="8" applyFont="1" applyFill="1" applyBorder="1" applyAlignment="1">
      <alignment horizontal="left" wrapText="1"/>
    </xf>
    <xf numFmtId="37" fontId="59" fillId="5" borderId="18" xfId="6" applyFont="1" applyFill="1" applyBorder="1" applyAlignment="1">
      <alignment horizontal="center"/>
    </xf>
    <xf numFmtId="37" fontId="59" fillId="5" borderId="26" xfId="6" applyFont="1" applyFill="1" applyBorder="1" applyAlignment="1">
      <alignment horizontal="center"/>
    </xf>
    <xf numFmtId="37" fontId="59" fillId="5" borderId="15" xfId="6" applyFont="1" applyFill="1" applyBorder="1" applyAlignment="1">
      <alignment horizontal="center"/>
    </xf>
    <xf numFmtId="0" fontId="60" fillId="5" borderId="35" xfId="8" applyFont="1" applyFill="1" applyBorder="1" applyAlignment="1">
      <alignment horizontal="center" vertical="center" wrapText="1"/>
    </xf>
    <xf numFmtId="37" fontId="4" fillId="0" borderId="11" xfId="6" applyFont="1" applyFill="1" applyBorder="1" applyAlignment="1">
      <alignment horizontal="center" vertical="center" wrapText="1"/>
    </xf>
    <xf numFmtId="37" fontId="4" fillId="0" borderId="36" xfId="6" applyFont="1" applyFill="1" applyBorder="1" applyAlignment="1">
      <alignment horizontal="center" vertical="center" wrapText="1"/>
    </xf>
    <xf numFmtId="164" fontId="1" fillId="0" borderId="14" xfId="2" applyNumberFormat="1" applyFont="1" applyFill="1" applyBorder="1" applyAlignment="1">
      <alignment horizontal="left" wrapText="1"/>
    </xf>
    <xf numFmtId="0" fontId="1" fillId="0" borderId="47" xfId="8" applyFont="1" applyFill="1" applyBorder="1" applyAlignment="1">
      <alignment horizontal="left" wrapText="1"/>
    </xf>
    <xf numFmtId="164" fontId="22" fillId="0" borderId="1" xfId="2" applyNumberFormat="1" applyFont="1" applyFill="1" applyBorder="1" applyAlignment="1">
      <alignment horizontal="left" wrapText="1"/>
    </xf>
    <xf numFmtId="0" fontId="28" fillId="0" borderId="3" xfId="8" applyFont="1" applyFill="1" applyBorder="1" applyAlignment="1">
      <alignment horizontal="left" wrapText="1"/>
    </xf>
    <xf numFmtId="164" fontId="1" fillId="0" borderId="1" xfId="2" applyNumberFormat="1" applyFont="1" applyFill="1" applyBorder="1" applyAlignment="1">
      <alignment horizontal="left" wrapText="1"/>
    </xf>
    <xf numFmtId="0" fontId="1" fillId="0" borderId="3" xfId="8" applyFont="1" applyFill="1" applyBorder="1" applyAlignment="1">
      <alignment horizontal="left" wrapText="1"/>
    </xf>
    <xf numFmtId="39" fontId="31" fillId="0" borderId="1" xfId="6" applyNumberFormat="1" applyFont="1" applyFill="1" applyBorder="1" applyAlignment="1" applyProtection="1">
      <alignment horizontal="left" wrapText="1"/>
      <protection locked="0"/>
    </xf>
    <xf numFmtId="165" fontId="17" fillId="0" borderId="1" xfId="2" applyFont="1" applyFill="1" applyBorder="1" applyAlignment="1">
      <alignment horizontal="left" wrapText="1"/>
    </xf>
    <xf numFmtId="0" fontId="17" fillId="0" borderId="3" xfId="8" applyFont="1" applyFill="1" applyBorder="1" applyAlignment="1">
      <alignment horizontal="left" wrapText="1"/>
    </xf>
    <xf numFmtId="164" fontId="22" fillId="0" borderId="3" xfId="2" applyNumberFormat="1" applyFont="1" applyFill="1" applyBorder="1" applyAlignment="1">
      <alignment horizontal="left" wrapText="1"/>
    </xf>
    <xf numFmtId="165" fontId="1" fillId="0" borderId="1" xfId="2" applyFont="1" applyFill="1" applyBorder="1" applyAlignment="1">
      <alignment horizontal="left" wrapText="1"/>
    </xf>
    <xf numFmtId="165" fontId="15" fillId="0" borderId="1" xfId="2" applyFont="1" applyFill="1" applyBorder="1" applyAlignment="1">
      <alignment horizontal="left" wrapText="1"/>
    </xf>
    <xf numFmtId="165" fontId="15" fillId="0" borderId="3" xfId="2" applyFont="1" applyFill="1" applyBorder="1" applyAlignment="1">
      <alignment horizontal="left" wrapText="1"/>
    </xf>
    <xf numFmtId="0" fontId="63" fillId="0" borderId="3" xfId="8" applyFont="1" applyFill="1" applyBorder="1" applyAlignment="1">
      <alignment horizontal="left" wrapText="1"/>
    </xf>
    <xf numFmtId="165" fontId="22" fillId="0" borderId="1" xfId="2" applyFont="1" applyFill="1" applyBorder="1" applyAlignment="1">
      <alignment horizontal="left" wrapText="1"/>
    </xf>
    <xf numFmtId="165" fontId="1" fillId="0" borderId="3" xfId="2" applyFont="1" applyFill="1" applyBorder="1" applyAlignment="1">
      <alignment horizontal="center"/>
    </xf>
    <xf numFmtId="165" fontId="1" fillId="0" borderId="5" xfId="2" applyFont="1" applyFill="1" applyBorder="1" applyAlignment="1">
      <alignment horizontal="center"/>
    </xf>
    <xf numFmtId="165" fontId="22" fillId="0" borderId="3" xfId="2" applyFont="1" applyFill="1" applyBorder="1" applyAlignment="1">
      <alignment horizontal="left" wrapText="1"/>
    </xf>
    <xf numFmtId="0" fontId="1" fillId="0" borderId="1" xfId="8" applyFont="1" applyFill="1" applyBorder="1" applyAlignment="1">
      <alignment horizontal="left" wrapText="1"/>
    </xf>
    <xf numFmtId="165" fontId="1" fillId="0" borderId="3" xfId="2" applyFont="1" applyFill="1" applyBorder="1" applyAlignment="1">
      <alignment horizontal="left" wrapText="1"/>
    </xf>
    <xf numFmtId="0" fontId="12" fillId="0" borderId="3" xfId="8" applyFont="1" applyFill="1" applyBorder="1" applyAlignment="1">
      <alignment horizontal="left" wrapText="1"/>
    </xf>
    <xf numFmtId="165" fontId="1" fillId="0" borderId="5" xfId="2" applyFont="1" applyFill="1" applyBorder="1" applyAlignment="1">
      <alignment horizontal="left" wrapText="1"/>
    </xf>
    <xf numFmtId="0" fontId="1" fillId="0" borderId="5" xfId="8" applyFont="1" applyFill="1" applyBorder="1" applyAlignment="1">
      <alignment horizontal="left" wrapText="1"/>
    </xf>
    <xf numFmtId="165" fontId="1" fillId="0" borderId="14" xfId="2" applyFont="1" applyFill="1" applyBorder="1" applyAlignment="1">
      <alignment horizontal="left" wrapText="1"/>
    </xf>
    <xf numFmtId="166" fontId="57" fillId="5" borderId="54" xfId="6" applyNumberFormat="1" applyFont="1" applyFill="1" applyBorder="1" applyAlignment="1" applyProtection="1">
      <alignment horizontal="center" vertical="top" wrapText="1"/>
      <protection locked="0"/>
    </xf>
    <xf numFmtId="166" fontId="57" fillId="5" borderId="55" xfId="6" applyNumberFormat="1" applyFont="1" applyFill="1" applyBorder="1" applyAlignment="1" applyProtection="1">
      <alignment horizontal="center" vertical="top" wrapText="1"/>
      <protection locked="0"/>
    </xf>
    <xf numFmtId="0" fontId="58" fillId="5" borderId="43" xfId="8" applyFont="1" applyFill="1" applyBorder="1" applyAlignment="1">
      <alignment horizontal="center" vertical="center" wrapText="1"/>
    </xf>
    <xf numFmtId="37" fontId="22" fillId="0" borderId="11" xfId="6" applyFont="1" applyFill="1" applyBorder="1" applyAlignment="1">
      <alignment horizontal="center" vertical="center" wrapText="1"/>
    </xf>
    <xf numFmtId="39" fontId="15" fillId="0" borderId="1" xfId="6" applyNumberFormat="1" applyFont="1" applyFill="1" applyBorder="1" applyAlignment="1" applyProtection="1">
      <alignment horizontal="left" wrapText="1"/>
      <protection locked="0"/>
    </xf>
    <xf numFmtId="0" fontId="57" fillId="5" borderId="0" xfId="8" applyFont="1" applyFill="1" applyAlignment="1">
      <alignment horizontal="center" vertical="center" wrapText="1"/>
    </xf>
    <xf numFmtId="0" fontId="57" fillId="5" borderId="0" xfId="8" applyFont="1" applyFill="1" applyBorder="1" applyAlignment="1">
      <alignment horizontal="center" vertical="center" wrapText="1"/>
    </xf>
    <xf numFmtId="0" fontId="1" fillId="0" borderId="0" xfId="8" applyFont="1" applyBorder="1" applyAlignment="1">
      <alignment horizontal="left" vertical="center" wrapText="1"/>
    </xf>
    <xf numFmtId="0" fontId="25" fillId="0" borderId="0" xfId="8" applyFont="1" applyBorder="1" applyAlignment="1">
      <alignment horizontal="right"/>
    </xf>
    <xf numFmtId="0" fontId="25" fillId="0" borderId="0" xfId="8" applyFont="1" applyBorder="1"/>
    <xf numFmtId="164" fontId="22" fillId="0" borderId="0" xfId="8" applyNumberFormat="1" applyFont="1" applyBorder="1" applyAlignment="1">
      <alignment horizontal="center"/>
    </xf>
  </cellXfs>
  <cellStyles count="9">
    <cellStyle name="Euro" xfId="1"/>
    <cellStyle name="Millares" xfId="2" builtinId="3"/>
    <cellStyle name="Millares [0]" xfId="3" builtinId="6"/>
    <cellStyle name="Normal" xfId="0" builtinId="0"/>
    <cellStyle name="Normal 2" xfId="8"/>
    <cellStyle name="Normal_Estiming2000ajustado" xfId="4"/>
    <cellStyle name="Normal_Libro1" xfId="5"/>
    <cellStyle name="Normal_presup2000ajustado" xfId="6"/>
    <cellStyle name="Porcentaje" xfId="7" builtinId="5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rias\Configuraci&#243;n%20local\Archivos%20temporales%20de%20Internet\Content.Outlook\RZ7J08AS\Presupuesto%20Ordinario%202011-prueba%20con%20ajus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avarro/AppData/Local/Microsoft/Windows/Temporary%20Internet%20Files/OLK2B7A/Copia%20de%20Presupuesto%202016-corregido%20con%20planilla%203%25%20miles%20colon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artinez/AppData/Local/Microsoft/Windows/Temporary%20Internet%20Files/Content.Outlook/LRZ881OI/Presupuesto%202016-corregido%20con%20planilla%203%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alvo/AppData/Local/Microsoft/Windows/Temporary%20Internet%20Files/Content.Outlook/29ACJHKV/Detalle%20de%20ingresos%20y%20egresos%20comparativos%202018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 09"/>
      <sheetName val="PRESINGRESOS  2011 MILES ¢"/>
      <sheetName val="Serie Histór.ing.2011"/>
      <sheetName val="Compar.Ing.2009-11"/>
      <sheetName val="Egresos Prog.miles ¢  "/>
      <sheetName val="Egresos en miles de ¢"/>
      <sheetName val="egresos analisis horizontal"/>
      <sheetName val="EGRESOS ANALISIS VERTICAL"/>
      <sheetName val="anexo 7 evolución gasto 0 a 11"/>
      <sheetName val="RESUMEN INSTITUCIONAL)"/>
      <sheetName val="PAO AYP -06"/>
      <sheetName val="LimGto-2011"/>
      <sheetName val="OYAR-2010"/>
      <sheetName val="Anexo 8 Contrat.Adm.Púb."/>
      <sheetName val="detalle"/>
      <sheetName val="graficos"/>
      <sheetName val="recortes de presupuesto"/>
      <sheetName val="RESUMEN INSTITUCIONAL % VERTICA"/>
      <sheetName val="RESUMEN INSTITUCIONAL %"/>
      <sheetName val="Egresos  2011 ¢"/>
      <sheetName val="INGRESOS  2011 EN ¢ "/>
      <sheetName val="anexo 2 DIETAS2011"/>
      <sheetName val="ORGANIGRAMA-09"/>
      <sheetName val="DEUDA 2008 "/>
      <sheetName val="indice total"/>
      <sheetName val="FODA"/>
      <sheetName val="Prog.2 2008 "/>
      <sheetName val="distrib. MAPI 2008"/>
    </sheetNames>
    <sheetDataSet>
      <sheetData sheetId="0" refreshError="1"/>
      <sheetData sheetId="1" refreshError="1"/>
      <sheetData sheetId="2" refreshError="1"/>
      <sheetData sheetId="3" refreshError="1">
        <row r="18">
          <cell r="B18">
            <v>0</v>
          </cell>
        </row>
        <row r="71">
          <cell r="B7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en colones"/>
      <sheetName val="Límite de Gasto"/>
      <sheetName val="detalle de equilibrio"/>
      <sheetName val="Origen y Aplicación de Rec."/>
      <sheetName val="Egresos -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AO7">
            <v>51713989.078000002</v>
          </cell>
        </row>
        <row r="9">
          <cell r="Z9">
            <v>1872506.6</v>
          </cell>
        </row>
        <row r="12">
          <cell r="AG12">
            <v>212002.91</v>
          </cell>
          <cell r="AM12">
            <v>179426.158</v>
          </cell>
          <cell r="AO12">
            <v>215251.75099999999</v>
          </cell>
        </row>
        <row r="15">
          <cell r="AG15">
            <v>2500</v>
          </cell>
          <cell r="AM15">
            <v>4000</v>
          </cell>
          <cell r="AO15">
            <v>4000</v>
          </cell>
        </row>
        <row r="18">
          <cell r="AG18">
            <v>1500</v>
          </cell>
          <cell r="AO18">
            <v>8500</v>
          </cell>
        </row>
        <row r="19">
          <cell r="AG19">
            <v>3000</v>
          </cell>
        </row>
        <row r="25">
          <cell r="AG25">
            <v>86616.592000000004</v>
          </cell>
          <cell r="AM25">
            <v>35191.050000000003</v>
          </cell>
          <cell r="AO25">
            <v>60412.392</v>
          </cell>
        </row>
        <row r="26">
          <cell r="AG26">
            <v>50345.553</v>
          </cell>
          <cell r="AM26">
            <v>10467.494000000001</v>
          </cell>
          <cell r="AO26">
            <v>32472.357</v>
          </cell>
        </row>
        <row r="29">
          <cell r="AG29">
            <v>105373.224</v>
          </cell>
          <cell r="AM29">
            <v>91028.383000000002</v>
          </cell>
          <cell r="AO29">
            <v>97230.937999999995</v>
          </cell>
        </row>
        <row r="32">
          <cell r="AG32">
            <v>19113.829000000002</v>
          </cell>
          <cell r="AM32">
            <v>16176.763000000001</v>
          </cell>
          <cell r="AO32">
            <v>19406.738000000001</v>
          </cell>
        </row>
        <row r="33">
          <cell r="AG33">
            <v>17363.036</v>
          </cell>
          <cell r="AM33">
            <v>14695.001</v>
          </cell>
          <cell r="AO33">
            <v>17629.116000000002</v>
          </cell>
        </row>
        <row r="37">
          <cell r="AG37">
            <v>21197.759999999998</v>
          </cell>
          <cell r="AM37">
            <v>15731.328</v>
          </cell>
          <cell r="AO37">
            <v>16099.392</v>
          </cell>
        </row>
        <row r="46">
          <cell r="AG46">
            <v>45235.834000000003</v>
          </cell>
          <cell r="AM46">
            <v>32036.859</v>
          </cell>
          <cell r="AO46">
            <v>41284.305999999997</v>
          </cell>
        </row>
        <row r="47">
          <cell r="AG47">
            <v>2445.181</v>
          </cell>
          <cell r="AM47">
            <v>1731.721</v>
          </cell>
          <cell r="AO47">
            <v>2231.5830000000001</v>
          </cell>
        </row>
        <row r="48">
          <cell r="AG48">
            <v>7335.54</v>
          </cell>
          <cell r="AM48">
            <v>5195.1670000000004</v>
          </cell>
          <cell r="AO48">
            <v>6694.7529999999997</v>
          </cell>
        </row>
        <row r="49">
          <cell r="AG49">
            <v>24451.802</v>
          </cell>
          <cell r="AM49">
            <v>17317.221000000001</v>
          </cell>
          <cell r="AO49">
            <v>22315.842000000001</v>
          </cell>
        </row>
        <row r="50">
          <cell r="AG50">
            <v>2445.1819999999998</v>
          </cell>
          <cell r="AM50">
            <v>1731.721</v>
          </cell>
          <cell r="AO50">
            <v>2231.5839999999998</v>
          </cell>
        </row>
        <row r="53">
          <cell r="Z53">
            <v>68882.316000000006</v>
          </cell>
          <cell r="AG53">
            <v>24843.031999999999</v>
          </cell>
          <cell r="AM53">
            <v>17594.294999999998</v>
          </cell>
          <cell r="AO53">
            <v>22672.894</v>
          </cell>
        </row>
        <row r="54">
          <cell r="Z54">
            <v>20339.266</v>
          </cell>
          <cell r="AG54">
            <v>7335.54</v>
          </cell>
          <cell r="AM54">
            <v>5195.1670000000004</v>
          </cell>
          <cell r="AO54">
            <v>6694.7529999999997</v>
          </cell>
        </row>
        <row r="55">
          <cell r="Z55">
            <v>40678.535000000003</v>
          </cell>
          <cell r="AG55">
            <v>14671.081</v>
          </cell>
          <cell r="AM55">
            <v>10390.333000000001</v>
          </cell>
          <cell r="AO55">
            <v>13389.504999999999</v>
          </cell>
        </row>
        <row r="56">
          <cell r="Z56">
            <v>51850.417999999998</v>
          </cell>
          <cell r="AG56">
            <v>19401.441999999999</v>
          </cell>
          <cell r="AM56">
            <v>13853.777</v>
          </cell>
          <cell r="AO56">
            <v>17272.673999999999</v>
          </cell>
        </row>
        <row r="67">
          <cell r="AO67">
            <v>6000</v>
          </cell>
        </row>
        <row r="70">
          <cell r="AO70">
            <v>1000</v>
          </cell>
        </row>
        <row r="76">
          <cell r="AO76">
            <v>9000</v>
          </cell>
        </row>
        <row r="80">
          <cell r="AG80">
            <v>1598.4</v>
          </cell>
          <cell r="AO80">
            <v>17600</v>
          </cell>
        </row>
        <row r="81">
          <cell r="AO81">
            <v>215000</v>
          </cell>
        </row>
        <row r="82">
          <cell r="AG82">
            <v>800</v>
          </cell>
          <cell r="AM82">
            <v>1520</v>
          </cell>
          <cell r="AO82">
            <v>6000</v>
          </cell>
        </row>
        <row r="84">
          <cell r="AO84">
            <v>1700000</v>
          </cell>
        </row>
        <row r="85">
          <cell r="AO85">
            <v>1500</v>
          </cell>
        </row>
        <row r="89">
          <cell r="AG89">
            <v>44000</v>
          </cell>
          <cell r="AO89">
            <v>815395.93099999998</v>
          </cell>
        </row>
        <row r="90">
          <cell r="AG90">
            <v>180000</v>
          </cell>
          <cell r="AM90">
            <v>108000</v>
          </cell>
          <cell r="AO90">
            <v>550202.21</v>
          </cell>
        </row>
        <row r="91">
          <cell r="AG91">
            <v>194000</v>
          </cell>
          <cell r="AM91">
            <v>3000</v>
          </cell>
          <cell r="AO91">
            <v>16500</v>
          </cell>
        </row>
        <row r="92">
          <cell r="AO92">
            <v>26000</v>
          </cell>
        </row>
        <row r="93">
          <cell r="AM93">
            <v>15000</v>
          </cell>
          <cell r="AO93">
            <v>14000</v>
          </cell>
        </row>
        <row r="94">
          <cell r="AG94">
            <v>112000</v>
          </cell>
          <cell r="AO94">
            <v>20200</v>
          </cell>
        </row>
        <row r="97">
          <cell r="AG97">
            <v>6240</v>
          </cell>
          <cell r="AM97">
            <v>350</v>
          </cell>
          <cell r="AO97">
            <v>920</v>
          </cell>
        </row>
        <row r="98">
          <cell r="AG98">
            <v>10000</v>
          </cell>
          <cell r="AM98">
            <v>6000</v>
          </cell>
          <cell r="AO98">
            <v>7030</v>
          </cell>
        </row>
        <row r="103">
          <cell r="AO103">
            <v>611546.11100000003</v>
          </cell>
        </row>
        <row r="104">
          <cell r="AO104">
            <v>450</v>
          </cell>
        </row>
        <row r="105">
          <cell r="AO105">
            <v>248</v>
          </cell>
        </row>
        <row r="108">
          <cell r="AG108">
            <v>79800</v>
          </cell>
          <cell r="AO108">
            <v>7000</v>
          </cell>
        </row>
        <row r="109">
          <cell r="AO109">
            <v>1420</v>
          </cell>
        </row>
        <row r="122">
          <cell r="AG122">
            <v>80</v>
          </cell>
          <cell r="AO122">
            <v>2000</v>
          </cell>
        </row>
        <row r="123">
          <cell r="AG123">
            <v>80</v>
          </cell>
          <cell r="AO123">
            <v>620</v>
          </cell>
        </row>
        <row r="128">
          <cell r="AM128">
            <v>500</v>
          </cell>
        </row>
        <row r="140">
          <cell r="AG140">
            <v>5200</v>
          </cell>
          <cell r="AM140">
            <v>2285</v>
          </cell>
          <cell r="AO140">
            <v>8500</v>
          </cell>
        </row>
        <row r="141">
          <cell r="AM141">
            <v>750</v>
          </cell>
          <cell r="AO141">
            <v>100</v>
          </cell>
        </row>
        <row r="144">
          <cell r="AO144">
            <v>750</v>
          </cell>
        </row>
        <row r="150">
          <cell r="AO150">
            <v>3000</v>
          </cell>
        </row>
        <row r="160">
          <cell r="AG160">
            <v>3190</v>
          </cell>
          <cell r="AM160">
            <v>1370</v>
          </cell>
          <cell r="AO160">
            <v>4600</v>
          </cell>
        </row>
        <row r="162">
          <cell r="AG162">
            <v>2020</v>
          </cell>
          <cell r="AM162">
            <v>1200</v>
          </cell>
          <cell r="AO162">
            <v>9900</v>
          </cell>
        </row>
        <row r="164">
          <cell r="AG164">
            <v>40</v>
          </cell>
          <cell r="AM164">
            <v>125</v>
          </cell>
        </row>
        <row r="166">
          <cell r="AG166">
            <v>100</v>
          </cell>
        </row>
        <row r="167">
          <cell r="AM167">
            <v>650</v>
          </cell>
          <cell r="AO167">
            <v>750</v>
          </cell>
        </row>
        <row r="178">
          <cell r="AO178">
            <v>1664893.68</v>
          </cell>
        </row>
        <row r="188">
          <cell r="AO188">
            <v>21476038</v>
          </cell>
        </row>
        <row r="191">
          <cell r="AO191">
            <v>500000</v>
          </cell>
        </row>
        <row r="198">
          <cell r="AG198">
            <v>5000</v>
          </cell>
        </row>
        <row r="200">
          <cell r="AM200">
            <v>1500</v>
          </cell>
        </row>
        <row r="201">
          <cell r="AG201">
            <v>20500</v>
          </cell>
          <cell r="AM201">
            <v>3100</v>
          </cell>
          <cell r="AO201">
            <v>5650</v>
          </cell>
        </row>
        <row r="202">
          <cell r="AG202">
            <v>1500</v>
          </cell>
          <cell r="AO202">
            <v>12000</v>
          </cell>
        </row>
        <row r="204">
          <cell r="AM204">
            <v>1210</v>
          </cell>
          <cell r="AO204">
            <v>750</v>
          </cell>
        </row>
        <row r="217">
          <cell r="B217" t="str">
            <v>El Nazareno (Hojancha)</v>
          </cell>
          <cell r="AM217">
            <v>1232500</v>
          </cell>
        </row>
        <row r="224">
          <cell r="A224" t="str">
            <v>5.02.06.59</v>
          </cell>
          <cell r="B224" t="str">
            <v>Bono Colectivo Finca San Juan</v>
          </cell>
          <cell r="AM224">
            <v>200000</v>
          </cell>
        </row>
        <row r="225">
          <cell r="A225" t="str">
            <v>5.02.06.60</v>
          </cell>
          <cell r="B225" t="str">
            <v>Finca Boschini Obras de Estabilización</v>
          </cell>
          <cell r="AM225">
            <v>390000</v>
          </cell>
        </row>
        <row r="226">
          <cell r="A226" t="str">
            <v>5.02.06.61</v>
          </cell>
          <cell r="B226" t="str">
            <v>Finca Boschini Etapa 1-BANHVI</v>
          </cell>
          <cell r="AM226">
            <v>1649715.513</v>
          </cell>
        </row>
        <row r="227">
          <cell r="B227" t="str">
            <v>El Estero</v>
          </cell>
          <cell r="AM227">
            <v>1458000</v>
          </cell>
        </row>
        <row r="228">
          <cell r="B228" t="str">
            <v>Duarco-Cocorí</v>
          </cell>
          <cell r="AM228">
            <v>1140000</v>
          </cell>
        </row>
        <row r="229">
          <cell r="B229" t="str">
            <v xml:space="preserve">Premio Nobel </v>
          </cell>
          <cell r="AM229">
            <v>304000</v>
          </cell>
        </row>
        <row r="231">
          <cell r="AM231">
            <v>10000</v>
          </cell>
        </row>
        <row r="234">
          <cell r="AM234">
            <v>1100000</v>
          </cell>
        </row>
        <row r="241">
          <cell r="AG241">
            <v>3500</v>
          </cell>
          <cell r="AO241">
            <v>3000</v>
          </cell>
        </row>
        <row r="255">
          <cell r="AO255">
            <v>900000</v>
          </cell>
        </row>
        <row r="259">
          <cell r="AG259">
            <v>12300</v>
          </cell>
          <cell r="AM259">
            <v>5500</v>
          </cell>
          <cell r="AO259">
            <v>12300</v>
          </cell>
        </row>
        <row r="263">
          <cell r="AM263">
            <v>2500</v>
          </cell>
          <cell r="AO263">
            <v>5000</v>
          </cell>
        </row>
        <row r="272">
          <cell r="AM272">
            <v>35000</v>
          </cell>
          <cell r="AO272">
            <v>40000</v>
          </cell>
        </row>
        <row r="275">
          <cell r="AO275">
            <v>4363871.8140000002</v>
          </cell>
        </row>
        <row r="276">
          <cell r="AO276">
            <v>1000000</v>
          </cell>
        </row>
        <row r="277">
          <cell r="AM277">
            <v>406681.82199999999</v>
          </cell>
        </row>
        <row r="278">
          <cell r="A278" t="str">
            <v>7.02.01.09</v>
          </cell>
          <cell r="B278" t="str">
            <v>Casos Individuales Art.59 Proyecto BRI-BRI</v>
          </cell>
          <cell r="AM278">
            <v>450000</v>
          </cell>
        </row>
        <row r="280">
          <cell r="A280" t="str">
            <v>7.02.01.11</v>
          </cell>
          <cell r="B280" t="str">
            <v>Casos Individuales Art.59 Los Lirios</v>
          </cell>
          <cell r="AM280">
            <v>305223.04700000002</v>
          </cell>
        </row>
        <row r="281">
          <cell r="A281" t="str">
            <v>7.02.01.12</v>
          </cell>
          <cell r="B281" t="str">
            <v>Casos Individuales Art.59 Juan Rafael Mora</v>
          </cell>
          <cell r="AM281">
            <v>552500</v>
          </cell>
        </row>
        <row r="291">
          <cell r="AO291">
            <v>15961539.323000001</v>
          </cell>
        </row>
        <row r="297">
          <cell r="AG297">
            <v>97969.513999999981</v>
          </cell>
          <cell r="AM297">
            <v>1606907.439</v>
          </cell>
          <cell r="AO297">
            <v>1104773.4310000001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en colones"/>
      <sheetName val="Límite de Gasto"/>
      <sheetName val="detalle de equilibrio"/>
      <sheetName val="Origen y Aplicación de Rec."/>
      <sheetName val="Egresos -2015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Z12">
            <v>681107.72199999995</v>
          </cell>
        </row>
        <row r="15">
          <cell r="Z15">
            <v>12500</v>
          </cell>
        </row>
        <row r="18">
          <cell r="Z18">
            <v>40733.315000000002</v>
          </cell>
        </row>
        <row r="19">
          <cell r="Z19">
            <v>16090.037</v>
          </cell>
        </row>
        <row r="21">
          <cell r="Z21">
            <v>27724.618999999999</v>
          </cell>
        </row>
        <row r="23">
          <cell r="Z23">
            <v>685478.55099999998</v>
          </cell>
        </row>
        <row r="24">
          <cell r="Z24">
            <v>262654.76899999997</v>
          </cell>
        </row>
        <row r="25">
          <cell r="Z25">
            <v>206263.538</v>
          </cell>
        </row>
        <row r="26">
          <cell r="Z26">
            <v>56391.231</v>
          </cell>
        </row>
        <row r="28">
          <cell r="Z28">
            <v>237253.024</v>
          </cell>
        </row>
        <row r="29">
          <cell r="Z29">
            <v>194589.77299999999</v>
          </cell>
        </row>
        <row r="30">
          <cell r="Z30">
            <v>42663.250999999997</v>
          </cell>
        </row>
        <row r="32">
          <cell r="Z32">
            <v>61407.534</v>
          </cell>
        </row>
        <row r="33">
          <cell r="Z33">
            <v>55782.713000000003</v>
          </cell>
        </row>
        <row r="35">
          <cell r="Z35">
            <v>68380.510999999999</v>
          </cell>
        </row>
        <row r="36">
          <cell r="Z36">
            <v>3261.192</v>
          </cell>
        </row>
        <row r="37">
          <cell r="Z37">
            <v>49661.375999999997</v>
          </cell>
        </row>
        <row r="45">
          <cell r="Z45">
            <v>227121.821</v>
          </cell>
        </row>
        <row r="46">
          <cell r="Z46">
            <v>125425.48299999999</v>
          </cell>
        </row>
        <row r="47">
          <cell r="Z47">
            <v>6779.7579999999998</v>
          </cell>
        </row>
        <row r="48">
          <cell r="Z48">
            <v>20339.266</v>
          </cell>
        </row>
        <row r="49">
          <cell r="Z49">
            <v>67797.558999999994</v>
          </cell>
        </row>
        <row r="50">
          <cell r="Z50">
            <v>6779.7550000000001</v>
          </cell>
        </row>
        <row r="63">
          <cell r="Z63">
            <v>1224920.8259999999</v>
          </cell>
        </row>
        <row r="66">
          <cell r="Z66">
            <v>4200</v>
          </cell>
        </row>
        <row r="67">
          <cell r="Z67">
            <v>8304</v>
          </cell>
        </row>
        <row r="68">
          <cell r="Z68">
            <v>700</v>
          </cell>
        </row>
        <row r="69">
          <cell r="Z69">
            <v>700</v>
          </cell>
        </row>
        <row r="70">
          <cell r="Z70">
            <v>350</v>
          </cell>
        </row>
        <row r="73">
          <cell r="Z73">
            <v>14400</v>
          </cell>
        </row>
        <row r="74">
          <cell r="Z74">
            <v>69600</v>
          </cell>
        </row>
        <row r="75">
          <cell r="Z75">
            <v>420</v>
          </cell>
        </row>
        <row r="76">
          <cell r="Z76">
            <v>100000</v>
          </cell>
        </row>
        <row r="77">
          <cell r="Z77">
            <v>31500</v>
          </cell>
        </row>
        <row r="80">
          <cell r="Z80">
            <v>16672.400000000001</v>
          </cell>
        </row>
        <row r="81">
          <cell r="Z81">
            <v>7150</v>
          </cell>
        </row>
        <row r="82">
          <cell r="Z82">
            <v>7924</v>
          </cell>
        </row>
        <row r="83">
          <cell r="Z83">
            <v>350</v>
          </cell>
        </row>
        <row r="84">
          <cell r="Z84">
            <v>34650</v>
          </cell>
        </row>
        <row r="85">
          <cell r="Z85">
            <v>1390</v>
          </cell>
        </row>
        <row r="88">
          <cell r="Z88">
            <v>0</v>
          </cell>
        </row>
        <row r="89">
          <cell r="Z89">
            <v>94496.775999999998</v>
          </cell>
        </row>
        <row r="90">
          <cell r="Z90">
            <v>29200</v>
          </cell>
        </row>
        <row r="91">
          <cell r="Z91">
            <v>82600</v>
          </cell>
        </row>
        <row r="92">
          <cell r="Z92">
            <v>120000</v>
          </cell>
        </row>
        <row r="93">
          <cell r="Z93">
            <v>205200</v>
          </cell>
        </row>
        <row r="94">
          <cell r="Z94">
            <v>33960</v>
          </cell>
        </row>
        <row r="97">
          <cell r="Z97">
            <v>2065</v>
          </cell>
        </row>
        <row r="98">
          <cell r="Z98">
            <v>12295</v>
          </cell>
        </row>
        <row r="103">
          <cell r="Z103">
            <v>151986.71</v>
          </cell>
        </row>
        <row r="104">
          <cell r="Z104">
            <v>2000</v>
          </cell>
        </row>
        <row r="105">
          <cell r="Z105">
            <v>1500</v>
          </cell>
        </row>
        <row r="108">
          <cell r="Z108">
            <v>27000</v>
          </cell>
        </row>
        <row r="109">
          <cell r="Z109">
            <v>1250</v>
          </cell>
        </row>
        <row r="110">
          <cell r="Z110">
            <v>0</v>
          </cell>
        </row>
        <row r="117">
          <cell r="Z117">
            <v>32500</v>
          </cell>
        </row>
        <row r="120">
          <cell r="Z120">
            <v>10000</v>
          </cell>
        </row>
        <row r="121">
          <cell r="Z121">
            <v>5390.97</v>
          </cell>
        </row>
        <row r="122">
          <cell r="Z122">
            <v>11600</v>
          </cell>
        </row>
        <row r="123">
          <cell r="Z123">
            <v>45883</v>
          </cell>
        </row>
        <row r="124">
          <cell r="Z124">
            <v>8952.9699999999993</v>
          </cell>
        </row>
        <row r="127">
          <cell r="Z127">
            <v>40000</v>
          </cell>
        </row>
        <row r="128">
          <cell r="Z128">
            <v>6550</v>
          </cell>
        </row>
        <row r="131">
          <cell r="Z131">
            <v>430</v>
          </cell>
        </row>
        <row r="132">
          <cell r="Z132">
            <v>1400</v>
          </cell>
        </row>
        <row r="133">
          <cell r="Z133">
            <v>350</v>
          </cell>
        </row>
        <row r="138">
          <cell r="Z138">
            <v>6120</v>
          </cell>
        </row>
        <row r="139">
          <cell r="Z139">
            <v>720</v>
          </cell>
        </row>
        <row r="140">
          <cell r="Z140">
            <v>11753</v>
          </cell>
        </row>
        <row r="141">
          <cell r="Z141">
            <v>366</v>
          </cell>
        </row>
        <row r="144">
          <cell r="Z144">
            <v>2520</v>
          </cell>
        </row>
        <row r="147">
          <cell r="Z147">
            <v>2250</v>
          </cell>
        </row>
        <row r="148">
          <cell r="Z148">
            <v>350</v>
          </cell>
        </row>
        <row r="149">
          <cell r="Z149">
            <v>2800</v>
          </cell>
        </row>
        <row r="150">
          <cell r="Z150">
            <v>12940</v>
          </cell>
        </row>
        <row r="151">
          <cell r="Z151">
            <v>2400</v>
          </cell>
        </row>
        <row r="152">
          <cell r="Z152">
            <v>700</v>
          </cell>
        </row>
        <row r="153">
          <cell r="Z153">
            <v>1475</v>
          </cell>
        </row>
        <row r="156">
          <cell r="Z156">
            <v>2250</v>
          </cell>
        </row>
        <row r="157">
          <cell r="Z157">
            <v>3940</v>
          </cell>
        </row>
        <row r="160">
          <cell r="Z160">
            <v>12609</v>
          </cell>
        </row>
        <row r="161">
          <cell r="Z161">
            <v>800</v>
          </cell>
        </row>
        <row r="162">
          <cell r="Z162">
            <v>17828</v>
          </cell>
        </row>
        <row r="163">
          <cell r="Z163">
            <v>2495</v>
          </cell>
        </row>
        <row r="164">
          <cell r="Z164">
            <v>3850</v>
          </cell>
        </row>
        <row r="165">
          <cell r="Z165">
            <v>5850</v>
          </cell>
        </row>
        <row r="166">
          <cell r="Z166">
            <v>120</v>
          </cell>
        </row>
        <row r="167">
          <cell r="Z167">
            <v>1050</v>
          </cell>
        </row>
        <row r="198">
          <cell r="Z198">
            <v>2600</v>
          </cell>
        </row>
        <row r="199">
          <cell r="Z199">
            <v>25000</v>
          </cell>
        </row>
        <row r="200">
          <cell r="Z200">
            <v>19420</v>
          </cell>
        </row>
        <row r="201">
          <cell r="Z201">
            <v>28200</v>
          </cell>
        </row>
        <row r="202">
          <cell r="Z202">
            <v>186200</v>
          </cell>
        </row>
        <row r="203">
          <cell r="Z203">
            <v>5000</v>
          </cell>
        </row>
        <row r="204">
          <cell r="Z204">
            <v>22200</v>
          </cell>
        </row>
        <row r="207">
          <cell r="Z207">
            <v>940000</v>
          </cell>
        </row>
        <row r="231">
          <cell r="Z231">
            <v>0</v>
          </cell>
        </row>
        <row r="241">
          <cell r="Z241">
            <v>142300</v>
          </cell>
        </row>
        <row r="245">
          <cell r="Z245">
            <v>534614.99800000002</v>
          </cell>
        </row>
        <row r="247">
          <cell r="Z247">
            <v>100000</v>
          </cell>
        </row>
        <row r="249">
          <cell r="Z249">
            <v>100000</v>
          </cell>
        </row>
        <row r="253">
          <cell r="Z253">
            <v>2000</v>
          </cell>
        </row>
        <row r="254">
          <cell r="Z254">
            <v>7000</v>
          </cell>
        </row>
        <row r="255">
          <cell r="Z255">
            <v>414.99799999999999</v>
          </cell>
        </row>
        <row r="259">
          <cell r="Z259">
            <v>33800</v>
          </cell>
        </row>
        <row r="262">
          <cell r="Z262">
            <v>365000</v>
          </cell>
        </row>
        <row r="263">
          <cell r="Z263">
            <v>1400</v>
          </cell>
        </row>
        <row r="266">
          <cell r="Z266">
            <v>25000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en miles de colones"/>
      <sheetName val="Ingresos en colones"/>
      <sheetName val="Límite de Gasto"/>
      <sheetName val="Clasificador Funcional"/>
      <sheetName val="Egresos"/>
      <sheetName val="Ingresos"/>
      <sheetName val="Evolución Gasto"/>
      <sheetName val="Egresos Analísis Vertical"/>
      <sheetName val="Comparativo de Ingresos"/>
      <sheetName val="serie Histórica de Ingresos"/>
      <sheetName val="Clasificador Económico"/>
      <sheetName val="Directriz-009-H"/>
      <sheetName val="evolucion del Gasto"/>
      <sheetName val="Contratación administ."/>
      <sheetName val="Egresos -2015 "/>
    </sheetNames>
    <sheetDataSet>
      <sheetData sheetId="0"/>
      <sheetData sheetId="1">
        <row r="155">
          <cell r="C155">
            <v>1488294844.2392001</v>
          </cell>
        </row>
        <row r="161">
          <cell r="C161">
            <v>292887803.04920006</v>
          </cell>
          <cell r="H161" t="str">
            <v xml:space="preserve">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AK350"/>
  <sheetViews>
    <sheetView zoomScaleNormal="100" workbookViewId="0">
      <selection activeCell="N21" sqref="N21"/>
    </sheetView>
  </sheetViews>
  <sheetFormatPr baseColWidth="10" defaultColWidth="27.33203125" defaultRowHeight="13.2" x14ac:dyDescent="0.25"/>
  <cols>
    <col min="1" max="1" width="21" style="901" bestFit="1" customWidth="1"/>
    <col min="2" max="2" width="60.88671875" style="901" customWidth="1"/>
    <col min="3" max="3" width="18.21875" style="901" bestFit="1" customWidth="1"/>
    <col min="4" max="4" width="20.6640625" style="298" hidden="1" customWidth="1"/>
    <col min="5" max="5" width="26.44140625" style="298" hidden="1" customWidth="1"/>
    <col min="6" max="6" width="16.5546875" style="298" hidden="1" customWidth="1"/>
    <col min="7" max="7" width="17.44140625" style="298" hidden="1" customWidth="1"/>
    <col min="8" max="8" width="25.33203125" style="68" hidden="1" customWidth="1"/>
    <col min="9" max="10" width="30.6640625" style="68" hidden="1" customWidth="1"/>
    <col min="11" max="11" width="8.109375" style="298" hidden="1" customWidth="1"/>
    <col min="12" max="12" width="9.109375" style="964" customWidth="1"/>
    <col min="13" max="13" width="9.109375" style="963" hidden="1" customWidth="1"/>
    <col min="14" max="23" width="27.33203125" style="901"/>
    <col min="24" max="24" width="16.33203125" style="901" bestFit="1" customWidth="1"/>
    <col min="25" max="36" width="27.33203125" style="901"/>
    <col min="37" max="37" width="6.6640625" style="901" bestFit="1" customWidth="1"/>
    <col min="38" max="16384" width="27.33203125" style="901"/>
  </cols>
  <sheetData>
    <row r="1" spans="1:37" x14ac:dyDescent="0.25">
      <c r="A1" s="1882" t="s">
        <v>518</v>
      </c>
      <c r="B1" s="1883"/>
      <c r="C1" s="1883"/>
      <c r="D1" s="1883"/>
      <c r="E1" s="1883"/>
      <c r="F1" s="1883"/>
      <c r="G1" s="1883"/>
      <c r="H1" s="1883"/>
      <c r="I1" s="1883"/>
      <c r="J1" s="1883"/>
      <c r="K1" s="1883"/>
      <c r="L1" s="1883"/>
      <c r="M1" s="1884"/>
    </row>
    <row r="2" spans="1:37" ht="16.5" customHeight="1" x14ac:dyDescent="0.25">
      <c r="A2" s="1885" t="s">
        <v>788</v>
      </c>
      <c r="B2" s="1886"/>
      <c r="C2" s="1886"/>
      <c r="D2" s="1886"/>
      <c r="E2" s="1886"/>
      <c r="F2" s="1886"/>
      <c r="G2" s="1886"/>
      <c r="H2" s="1886"/>
      <c r="I2" s="1886"/>
      <c r="J2" s="1886"/>
      <c r="K2" s="1886"/>
      <c r="L2" s="1886"/>
      <c r="M2" s="1887"/>
    </row>
    <row r="3" spans="1:37" ht="13.8" thickBot="1" x14ac:dyDescent="0.3">
      <c r="A3" s="1888" t="s">
        <v>762</v>
      </c>
      <c r="B3" s="1889"/>
      <c r="C3" s="1889"/>
      <c r="D3" s="1889"/>
      <c r="E3" s="1889"/>
      <c r="F3" s="1889"/>
      <c r="G3" s="1889"/>
      <c r="H3" s="1889"/>
      <c r="I3" s="1889"/>
      <c r="J3" s="1889"/>
      <c r="K3" s="1889"/>
      <c r="L3" s="1889"/>
      <c r="M3" s="1890"/>
    </row>
    <row r="4" spans="1:37" ht="43.5" customHeight="1" thickBot="1" x14ac:dyDescent="0.3">
      <c r="A4" s="132"/>
      <c r="B4" s="138"/>
      <c r="C4" s="100" t="s">
        <v>380</v>
      </c>
      <c r="D4" s="49" t="s">
        <v>764</v>
      </c>
      <c r="E4" s="49" t="s">
        <v>633</v>
      </c>
      <c r="F4" s="49" t="s">
        <v>634</v>
      </c>
      <c r="G4" s="49" t="s">
        <v>635</v>
      </c>
      <c r="H4" s="155" t="s">
        <v>636</v>
      </c>
      <c r="I4" s="281" t="s">
        <v>765</v>
      </c>
      <c r="J4" s="280" t="s">
        <v>622</v>
      </c>
      <c r="K4" s="451" t="s">
        <v>381</v>
      </c>
      <c r="L4" s="456" t="s">
        <v>486</v>
      </c>
      <c r="M4" s="902" t="s">
        <v>486</v>
      </c>
    </row>
    <row r="5" spans="1:37" ht="16.5" customHeight="1" x14ac:dyDescent="0.25">
      <c r="A5" s="971" t="s">
        <v>13</v>
      </c>
      <c r="B5" s="972" t="s">
        <v>14</v>
      </c>
      <c r="C5" s="973"/>
      <c r="D5" s="974"/>
      <c r="E5" s="974"/>
      <c r="F5" s="974"/>
      <c r="G5" s="974"/>
      <c r="H5" s="975"/>
      <c r="I5" s="976"/>
      <c r="J5" s="975"/>
      <c r="K5" s="977"/>
      <c r="L5" s="978" t="s">
        <v>486</v>
      </c>
      <c r="M5" s="903"/>
      <c r="N5" s="904"/>
    </row>
    <row r="6" spans="1:37" s="909" customFormat="1" ht="21" customHeight="1" x14ac:dyDescent="0.25">
      <c r="A6" s="905"/>
      <c r="B6" s="906" t="s">
        <v>380</v>
      </c>
      <c r="C6" s="80">
        <f>SUM(C8+C92)</f>
        <v>65065338341</v>
      </c>
      <c r="D6" s="50">
        <f t="shared" ref="D6:J6" si="0">D8+D93+D121</f>
        <v>21077740694</v>
      </c>
      <c r="E6" s="50" t="e">
        <f t="shared" si="0"/>
        <v>#REF!</v>
      </c>
      <c r="F6" s="50">
        <f t="shared" si="0"/>
        <v>1009788233</v>
      </c>
      <c r="G6" s="50">
        <f t="shared" si="0"/>
        <v>6119256872</v>
      </c>
      <c r="H6" s="83">
        <f t="shared" si="0"/>
        <v>52518957408</v>
      </c>
      <c r="I6" s="260">
        <f t="shared" si="0"/>
        <v>43987597647</v>
      </c>
      <c r="J6" s="83">
        <f t="shared" si="0"/>
        <v>8531359761</v>
      </c>
      <c r="K6" s="452" t="e">
        <f>K8+K93</f>
        <v>#REF!</v>
      </c>
      <c r="L6" s="457">
        <f>C6/$C$6</f>
        <v>1</v>
      </c>
      <c r="M6" s="907">
        <f>C6/C6</f>
        <v>1</v>
      </c>
      <c r="N6" s="908"/>
    </row>
    <row r="7" spans="1:37" x14ac:dyDescent="0.25">
      <c r="A7" s="910"/>
      <c r="B7" s="911"/>
      <c r="C7" s="912"/>
      <c r="D7" s="539"/>
      <c r="E7" s="539"/>
      <c r="F7" s="539"/>
      <c r="G7" s="539"/>
      <c r="H7" s="84"/>
      <c r="J7" s="84"/>
      <c r="K7" s="908"/>
      <c r="L7" s="462"/>
      <c r="M7" s="913"/>
      <c r="X7" s="914">
        <f>17167703.13-18353272.56</f>
        <v>-1185569.4299999997</v>
      </c>
    </row>
    <row r="8" spans="1:37" x14ac:dyDescent="0.25">
      <c r="A8" s="107" t="s">
        <v>382</v>
      </c>
      <c r="B8" s="379" t="s">
        <v>383</v>
      </c>
      <c r="C8" s="250">
        <f t="shared" ref="C8:K8" si="1">C10</f>
        <v>19572167504</v>
      </c>
      <c r="D8" s="50">
        <f>SUM(D10)</f>
        <v>2957842078</v>
      </c>
      <c r="E8" s="50" t="e">
        <f t="shared" si="1"/>
        <v>#REF!</v>
      </c>
      <c r="F8" s="50">
        <f>SUM(F10)</f>
        <v>1009788233</v>
      </c>
      <c r="G8" s="50">
        <f t="shared" si="1"/>
        <v>229844831</v>
      </c>
      <c r="H8" s="83">
        <f t="shared" si="1"/>
        <v>16860979539</v>
      </c>
      <c r="I8" s="260">
        <f>I10</f>
        <v>16614325426</v>
      </c>
      <c r="J8" s="83">
        <f>J10</f>
        <v>246654113</v>
      </c>
      <c r="K8" s="452" t="e">
        <f t="shared" si="1"/>
        <v>#REF!</v>
      </c>
      <c r="L8" s="457">
        <f>C8/$C$6</f>
        <v>0.30080789561754845</v>
      </c>
      <c r="M8" s="907">
        <f>C8/$C$6</f>
        <v>0.30080789561754845</v>
      </c>
      <c r="N8" s="904"/>
      <c r="AK8" s="904" t="e">
        <f>SUM(D8-#REF!-D75)</f>
        <v>#REF!</v>
      </c>
    </row>
    <row r="9" spans="1:37" x14ac:dyDescent="0.25">
      <c r="A9" s="107"/>
      <c r="B9" s="139"/>
      <c r="C9" s="81"/>
      <c r="D9" s="50"/>
      <c r="E9" s="50"/>
      <c r="F9" s="50"/>
      <c r="G9" s="50"/>
      <c r="H9" s="83"/>
      <c r="I9" s="260"/>
      <c r="J9" s="83"/>
      <c r="K9" s="452"/>
      <c r="L9" s="457"/>
      <c r="M9" s="913"/>
    </row>
    <row r="10" spans="1:37" x14ac:dyDescent="0.25">
      <c r="A10" s="107" t="s">
        <v>384</v>
      </c>
      <c r="B10" s="140" t="s">
        <v>385</v>
      </c>
      <c r="C10" s="82">
        <f>SUM(C12+C35+C73+C79)</f>
        <v>19572167504</v>
      </c>
      <c r="D10" s="81">
        <f>SUM(D12+D35+D73+D79)</f>
        <v>2957842078</v>
      </c>
      <c r="E10" s="81" t="e">
        <f t="shared" ref="E10:J10" si="2">SUM(E12+E35+E73+E79)</f>
        <v>#REF!</v>
      </c>
      <c r="F10" s="81">
        <f t="shared" si="2"/>
        <v>1009788233</v>
      </c>
      <c r="G10" s="81">
        <f t="shared" si="2"/>
        <v>229844831</v>
      </c>
      <c r="H10" s="273">
        <f t="shared" ref="H10:I10" si="3">SUM(H12+H35+H73+H79)</f>
        <v>16860979539</v>
      </c>
      <c r="I10" s="273">
        <f t="shared" si="3"/>
        <v>16614325426</v>
      </c>
      <c r="J10" s="81">
        <f t="shared" si="2"/>
        <v>246654113</v>
      </c>
      <c r="K10" s="109" t="e">
        <f>SUM(K12+K35+K73+K80)</f>
        <v>#REF!</v>
      </c>
      <c r="L10" s="457">
        <f>C10/$C$6</f>
        <v>0.30080789561754845</v>
      </c>
      <c r="M10" s="907">
        <f t="shared" ref="M10:M74" si="4">C10/$C$6</f>
        <v>0.30080789561754845</v>
      </c>
    </row>
    <row r="11" spans="1:37" x14ac:dyDescent="0.25">
      <c r="A11" s="107"/>
      <c r="B11" s="140"/>
      <c r="C11" s="82"/>
      <c r="D11" s="539"/>
      <c r="E11" s="539"/>
      <c r="F11" s="539"/>
      <c r="G11" s="539"/>
      <c r="H11" s="84"/>
      <c r="J11" s="84"/>
      <c r="K11" s="908"/>
      <c r="L11" s="457"/>
      <c r="M11" s="913"/>
      <c r="N11" s="904"/>
    </row>
    <row r="12" spans="1:37" x14ac:dyDescent="0.25">
      <c r="A12" s="107" t="s">
        <v>386</v>
      </c>
      <c r="B12" s="140" t="s">
        <v>387</v>
      </c>
      <c r="C12" s="82">
        <f t="shared" ref="C12:H12" si="5">SUM(C18+C21+C24+C29)</f>
        <v>3040322530</v>
      </c>
      <c r="D12" s="82">
        <f>SUM(D18+D21+D24+D29)</f>
        <v>1190272216</v>
      </c>
      <c r="E12" s="82">
        <f t="shared" si="5"/>
        <v>0</v>
      </c>
      <c r="F12" s="82">
        <f t="shared" si="5"/>
        <v>1009788233</v>
      </c>
      <c r="G12" s="82">
        <f t="shared" si="5"/>
        <v>180483983</v>
      </c>
      <c r="H12" s="274">
        <f t="shared" si="5"/>
        <v>1850050314</v>
      </c>
      <c r="I12" s="80">
        <f>I14+I18+I24</f>
        <v>1850050314</v>
      </c>
      <c r="J12" s="101">
        <f>J14+J18+J24</f>
        <v>0</v>
      </c>
      <c r="K12" s="452">
        <f>K14+K18+K24</f>
        <v>0</v>
      </c>
      <c r="L12" s="457">
        <f>C12/$C$6</f>
        <v>4.672722232021629E-2</v>
      </c>
      <c r="M12" s="907">
        <f t="shared" si="4"/>
        <v>4.672722232021629E-2</v>
      </c>
      <c r="N12" s="904"/>
    </row>
    <row r="13" spans="1:37" x14ac:dyDescent="0.25">
      <c r="A13" s="107"/>
      <c r="B13" s="140"/>
      <c r="C13" s="79" t="s">
        <v>0</v>
      </c>
      <c r="D13" s="539"/>
      <c r="E13" s="539"/>
      <c r="F13" s="539"/>
      <c r="G13" s="539"/>
      <c r="H13" s="84"/>
      <c r="J13" s="84"/>
      <c r="K13" s="908"/>
      <c r="L13" s="457"/>
      <c r="M13" s="913"/>
      <c r="N13" s="904"/>
      <c r="X13" s="904">
        <f>SUM(D6+H6)</f>
        <v>73596698102</v>
      </c>
    </row>
    <row r="14" spans="1:37" hidden="1" x14ac:dyDescent="0.25">
      <c r="A14" s="905" t="s">
        <v>388</v>
      </c>
      <c r="B14" s="283" t="s">
        <v>389</v>
      </c>
      <c r="C14" s="915">
        <f>D14+H14</f>
        <v>0</v>
      </c>
      <c r="D14" s="539">
        <f>SUM(E14:G14)</f>
        <v>0</v>
      </c>
      <c r="E14" s="539">
        <f t="shared" ref="E14:K14" si="6">E15</f>
        <v>0</v>
      </c>
      <c r="F14" s="539">
        <f t="shared" si="6"/>
        <v>0</v>
      </c>
      <c r="G14" s="539">
        <f t="shared" si="6"/>
        <v>0</v>
      </c>
      <c r="H14" s="84">
        <f t="shared" si="6"/>
        <v>0</v>
      </c>
      <c r="I14" s="68">
        <f t="shared" si="6"/>
        <v>0</v>
      </c>
      <c r="J14" s="84">
        <f t="shared" si="6"/>
        <v>0</v>
      </c>
      <c r="K14" s="908">
        <f t="shared" si="6"/>
        <v>0</v>
      </c>
      <c r="L14" s="458">
        <f>C14/$C$6</f>
        <v>0</v>
      </c>
      <c r="M14" s="913">
        <f t="shared" si="4"/>
        <v>0</v>
      </c>
      <c r="N14" s="904"/>
    </row>
    <row r="15" spans="1:37" ht="16.5" hidden="1" customHeight="1" x14ac:dyDescent="0.25">
      <c r="A15" s="905" t="s">
        <v>390</v>
      </c>
      <c r="B15" s="283" t="s">
        <v>391</v>
      </c>
      <c r="C15" s="915">
        <f>D15+H15</f>
        <v>0</v>
      </c>
      <c r="D15" s="539">
        <f>SUM(E15:G15)</f>
        <v>0</v>
      </c>
      <c r="E15" s="539"/>
      <c r="F15" s="539"/>
      <c r="G15" s="539"/>
      <c r="H15" s="84"/>
      <c r="J15" s="84"/>
      <c r="K15" s="908"/>
      <c r="L15" s="457">
        <f>C15/$C$6</f>
        <v>0</v>
      </c>
      <c r="M15" s="913">
        <f t="shared" si="4"/>
        <v>0</v>
      </c>
      <c r="X15" s="904">
        <f>SUM(D8+H8)</f>
        <v>19818821617</v>
      </c>
    </row>
    <row r="16" spans="1:37" ht="12.75" hidden="1" customHeight="1" x14ac:dyDescent="0.25">
      <c r="A16" s="905" t="s">
        <v>392</v>
      </c>
      <c r="B16" s="283" t="s">
        <v>393</v>
      </c>
      <c r="C16" s="82">
        <f>D16+H16+K16</f>
        <v>0</v>
      </c>
      <c r="D16" s="539"/>
      <c r="E16" s="539"/>
      <c r="F16" s="539"/>
      <c r="G16" s="539"/>
      <c r="H16" s="84"/>
      <c r="J16" s="84"/>
      <c r="K16" s="908"/>
      <c r="L16" s="457">
        <f>C16/$C$6</f>
        <v>0</v>
      </c>
      <c r="M16" s="913">
        <f t="shared" si="4"/>
        <v>0</v>
      </c>
    </row>
    <row r="17" spans="1:37" hidden="1" x14ac:dyDescent="0.25">
      <c r="A17" s="905"/>
      <c r="B17" s="283"/>
      <c r="C17" s="79" t="s">
        <v>0</v>
      </c>
      <c r="D17" s="539"/>
      <c r="E17" s="539"/>
      <c r="F17" s="539"/>
      <c r="G17" s="539"/>
      <c r="H17" s="84"/>
      <c r="J17" s="84"/>
      <c r="K17" s="908"/>
      <c r="L17" s="457"/>
      <c r="M17" s="913" t="e">
        <f t="shared" si="4"/>
        <v>#VALUE!</v>
      </c>
      <c r="N17" s="904"/>
    </row>
    <row r="18" spans="1:37" x14ac:dyDescent="0.25">
      <c r="A18" s="905" t="s">
        <v>394</v>
      </c>
      <c r="B18" s="140" t="s">
        <v>395</v>
      </c>
      <c r="C18" s="915">
        <f>+C19</f>
        <v>1796297230</v>
      </c>
      <c r="D18" s="916"/>
      <c r="E18" s="916">
        <f t="shared" ref="E18:K18" si="7">E19+E21</f>
        <v>0</v>
      </c>
      <c r="F18" s="916">
        <f t="shared" si="7"/>
        <v>0</v>
      </c>
      <c r="G18" s="916"/>
      <c r="H18" s="87">
        <f>SUM(H19)</f>
        <v>1796297230</v>
      </c>
      <c r="I18" s="134">
        <f>SUM(I19)</f>
        <v>1796297230</v>
      </c>
      <c r="J18" s="87">
        <f>SUM(J19)</f>
        <v>0</v>
      </c>
      <c r="K18" s="917">
        <f t="shared" si="7"/>
        <v>0</v>
      </c>
      <c r="L18" s="457">
        <f>C18/$C$6</f>
        <v>2.7607590704989676E-2</v>
      </c>
      <c r="M18" s="907">
        <f t="shared" si="4"/>
        <v>2.7607590704989676E-2</v>
      </c>
      <c r="N18" s="904"/>
    </row>
    <row r="19" spans="1:37" x14ac:dyDescent="0.25">
      <c r="A19" s="905" t="s">
        <v>396</v>
      </c>
      <c r="B19" s="283" t="s">
        <v>397</v>
      </c>
      <c r="C19" s="111">
        <f>SUM(D19+I19)</f>
        <v>1796297230</v>
      </c>
      <c r="D19" s="539"/>
      <c r="E19" s="539"/>
      <c r="F19" s="539"/>
      <c r="G19" s="539"/>
      <c r="H19" s="84">
        <f>SUM(I19:J19)</f>
        <v>1796297230</v>
      </c>
      <c r="I19" s="68">
        <v>1796297230</v>
      </c>
      <c r="J19" s="84"/>
      <c r="K19" s="908"/>
      <c r="L19" s="457">
        <f>C19/$C$6</f>
        <v>2.7607590704989676E-2</v>
      </c>
      <c r="M19" s="913">
        <f t="shared" si="4"/>
        <v>2.7607590704989676E-2</v>
      </c>
      <c r="N19" s="904"/>
      <c r="X19" s="914">
        <f>1694346.99-4714954.23</f>
        <v>-3020607.24</v>
      </c>
      <c r="AK19" s="904"/>
    </row>
    <row r="20" spans="1:37" x14ac:dyDescent="0.25">
      <c r="A20" s="905"/>
      <c r="B20" s="283"/>
      <c r="C20" s="79" t="s">
        <v>0</v>
      </c>
      <c r="D20" s="539"/>
      <c r="E20" s="539"/>
      <c r="F20" s="539"/>
      <c r="G20" s="539"/>
      <c r="H20" s="84"/>
      <c r="J20" s="84"/>
      <c r="K20" s="908"/>
      <c r="L20" s="457"/>
      <c r="M20" s="913"/>
      <c r="N20" s="914"/>
    </row>
    <row r="21" spans="1:37" x14ac:dyDescent="0.25">
      <c r="A21" s="905" t="s">
        <v>398</v>
      </c>
      <c r="B21" s="140" t="s">
        <v>99</v>
      </c>
      <c r="C21" s="82">
        <f>SUM(C22)</f>
        <v>7200000</v>
      </c>
      <c r="D21" s="54">
        <f t="shared" ref="D21:K21" si="8">D22</f>
        <v>7200000</v>
      </c>
      <c r="E21" s="916">
        <f t="shared" si="8"/>
        <v>0</v>
      </c>
      <c r="F21" s="916">
        <f t="shared" si="8"/>
        <v>0</v>
      </c>
      <c r="G21" s="916">
        <f t="shared" si="8"/>
        <v>7200000</v>
      </c>
      <c r="H21" s="102">
        <f t="shared" si="8"/>
        <v>0</v>
      </c>
      <c r="I21" s="135">
        <f t="shared" si="8"/>
        <v>0</v>
      </c>
      <c r="J21" s="102">
        <f t="shared" si="8"/>
        <v>0</v>
      </c>
      <c r="K21" s="917">
        <f t="shared" si="8"/>
        <v>0</v>
      </c>
      <c r="L21" s="457">
        <f>C21/$C$6</f>
        <v>1.1065799677034834E-4</v>
      </c>
      <c r="M21" s="907">
        <f t="shared" si="4"/>
        <v>1.1065799677034834E-4</v>
      </c>
    </row>
    <row r="22" spans="1:37" x14ac:dyDescent="0.25">
      <c r="A22" s="905" t="s">
        <v>399</v>
      </c>
      <c r="B22" s="283" t="s">
        <v>766</v>
      </c>
      <c r="C22" s="111">
        <f>SUM(D22+I22)</f>
        <v>7200000</v>
      </c>
      <c r="D22" s="539">
        <f>SUM(E22:G22)+J22</f>
        <v>7200000</v>
      </c>
      <c r="E22" s="539"/>
      <c r="F22" s="539"/>
      <c r="G22" s="539">
        <v>7200000</v>
      </c>
      <c r="H22" s="84"/>
      <c r="J22" s="84"/>
      <c r="K22" s="908"/>
      <c r="L22" s="457">
        <f>C22/$C$6</f>
        <v>1.1065799677034834E-4</v>
      </c>
      <c r="M22" s="913">
        <f t="shared" si="4"/>
        <v>1.1065799677034834E-4</v>
      </c>
    </row>
    <row r="23" spans="1:37" x14ac:dyDescent="0.25">
      <c r="A23" s="905"/>
      <c r="B23" s="283"/>
      <c r="C23" s="79" t="s">
        <v>0</v>
      </c>
      <c r="D23" s="539"/>
      <c r="E23" s="539"/>
      <c r="F23" s="539"/>
      <c r="G23" s="539"/>
      <c r="H23" s="84"/>
      <c r="J23" s="84"/>
      <c r="K23" s="908"/>
      <c r="L23" s="457"/>
      <c r="M23" s="913"/>
      <c r="N23" s="904"/>
    </row>
    <row r="24" spans="1:37" x14ac:dyDescent="0.25">
      <c r="A24" s="905" t="s">
        <v>400</v>
      </c>
      <c r="B24" s="140" t="s">
        <v>401</v>
      </c>
      <c r="C24" s="82">
        <f>SUM(C25+C26+C27)</f>
        <v>1225305300</v>
      </c>
      <c r="D24" s="82">
        <f>SUM(D25+D26)</f>
        <v>1171552216</v>
      </c>
      <c r="E24" s="82">
        <f>SUM(E25+E26)</f>
        <v>0</v>
      </c>
      <c r="F24" s="82">
        <f>SUM(F25+F26)</f>
        <v>1009788233</v>
      </c>
      <c r="G24" s="82">
        <f>SUM(G25+G26)</f>
        <v>161763983</v>
      </c>
      <c r="H24" s="91">
        <f>SUM(H27)</f>
        <v>53753084</v>
      </c>
      <c r="I24" s="79">
        <f>SUM(I25:I27)</f>
        <v>53753084</v>
      </c>
      <c r="J24" s="91">
        <f>SUM(J25:J26)</f>
        <v>0</v>
      </c>
      <c r="K24" s="90"/>
      <c r="L24" s="457">
        <f>C24/$C$6</f>
        <v>1.8831920823623709E-2</v>
      </c>
      <c r="M24" s="907">
        <f t="shared" si="4"/>
        <v>1.8831920823623709E-2</v>
      </c>
      <c r="N24" s="918"/>
    </row>
    <row r="25" spans="1:37" x14ac:dyDescent="0.25">
      <c r="A25" s="905" t="s">
        <v>571</v>
      </c>
      <c r="B25" s="283" t="s">
        <v>767</v>
      </c>
      <c r="C25" s="111">
        <f>SUM(D25+I25)</f>
        <v>161763983</v>
      </c>
      <c r="D25" s="539">
        <f>SUM(E25:G25)+J25</f>
        <v>161763983</v>
      </c>
      <c r="E25" s="919"/>
      <c r="F25" s="919"/>
      <c r="G25" s="919">
        <v>161763983</v>
      </c>
      <c r="H25" s="84"/>
      <c r="J25" s="84"/>
      <c r="K25" s="908"/>
      <c r="L25" s="457">
        <f>C25/$C$6</f>
        <v>2.4861775428295396E-3</v>
      </c>
      <c r="M25" s="913">
        <f t="shared" si="4"/>
        <v>2.4861775428295396E-3</v>
      </c>
      <c r="N25" s="904"/>
    </row>
    <row r="26" spans="1:37" x14ac:dyDescent="0.25">
      <c r="A26" s="905" t="s">
        <v>572</v>
      </c>
      <c r="B26" s="283" t="s">
        <v>526</v>
      </c>
      <c r="C26" s="111">
        <f>SUM(D26+I26)</f>
        <v>1009788233</v>
      </c>
      <c r="D26" s="539">
        <f>SUM(E26:G26)+J26</f>
        <v>1009788233</v>
      </c>
      <c r="E26" s="919"/>
      <c r="F26" s="919">
        <f>417400000+592388233</f>
        <v>1009788233</v>
      </c>
      <c r="G26" s="919"/>
      <c r="H26" s="84"/>
      <c r="J26" s="84"/>
      <c r="K26" s="908"/>
      <c r="L26" s="457"/>
      <c r="M26" s="913">
        <f t="shared" si="4"/>
        <v>1.5519603198062466E-2</v>
      </c>
      <c r="N26" s="904"/>
    </row>
    <row r="27" spans="1:37" ht="12.75" customHeight="1" x14ac:dyDescent="0.25">
      <c r="A27" s="905"/>
      <c r="B27" s="283" t="s">
        <v>781</v>
      </c>
      <c r="C27" s="111">
        <f>SUM(D27+I27)</f>
        <v>53753084</v>
      </c>
      <c r="D27" s="919"/>
      <c r="E27" s="55"/>
      <c r="F27" s="55"/>
      <c r="G27" s="55"/>
      <c r="H27" s="84">
        <f>SUM(I27)</f>
        <v>53753084</v>
      </c>
      <c r="I27" s="68">
        <v>53753084</v>
      </c>
      <c r="J27" s="84"/>
      <c r="K27" s="908"/>
      <c r="L27" s="457"/>
      <c r="M27" s="913">
        <f t="shared" si="4"/>
        <v>8.2614008273170316E-4</v>
      </c>
    </row>
    <row r="28" spans="1:37" ht="12.75" customHeight="1" x14ac:dyDescent="0.25">
      <c r="A28" s="905"/>
      <c r="B28" s="140"/>
      <c r="C28" s="915"/>
      <c r="D28" s="919"/>
      <c r="E28" s="55"/>
      <c r="F28" s="55"/>
      <c r="G28" s="55"/>
      <c r="H28" s="84"/>
      <c r="J28" s="84"/>
      <c r="K28" s="908"/>
      <c r="L28" s="457"/>
      <c r="M28" s="913"/>
    </row>
    <row r="29" spans="1:37" x14ac:dyDescent="0.25">
      <c r="A29" s="905" t="s">
        <v>573</v>
      </c>
      <c r="B29" s="140" t="s">
        <v>402</v>
      </c>
      <c r="C29" s="82">
        <f>SUM(D29)</f>
        <v>11520000</v>
      </c>
      <c r="D29" s="55">
        <f>SUM(E29:G29)</f>
        <v>11520000</v>
      </c>
      <c r="E29" s="50">
        <f t="shared" ref="E29:K30" si="9">E30</f>
        <v>0</v>
      </c>
      <c r="F29" s="50">
        <f t="shared" si="9"/>
        <v>0</v>
      </c>
      <c r="G29" s="50">
        <f t="shared" si="9"/>
        <v>11520000</v>
      </c>
      <c r="H29" s="83">
        <f t="shared" si="9"/>
        <v>0</v>
      </c>
      <c r="I29" s="260">
        <f t="shared" si="9"/>
        <v>0</v>
      </c>
      <c r="J29" s="83">
        <f t="shared" si="9"/>
        <v>0</v>
      </c>
      <c r="K29" s="452">
        <f t="shared" si="9"/>
        <v>0</v>
      </c>
      <c r="L29" s="457">
        <f>C29/$C$6</f>
        <v>1.7705279483255735E-4</v>
      </c>
      <c r="M29" s="907">
        <f t="shared" si="4"/>
        <v>1.7705279483255735E-4</v>
      </c>
    </row>
    <row r="30" spans="1:37" x14ac:dyDescent="0.25">
      <c r="A30" s="905" t="s">
        <v>574</v>
      </c>
      <c r="B30" s="140" t="s">
        <v>403</v>
      </c>
      <c r="C30" s="915">
        <f>SUM(D30)</f>
        <v>11520000</v>
      </c>
      <c r="D30" s="919">
        <f>SUM(E30:G30)</f>
        <v>11520000</v>
      </c>
      <c r="E30" s="539">
        <f t="shared" si="9"/>
        <v>0</v>
      </c>
      <c r="F30" s="539">
        <f t="shared" si="9"/>
        <v>0</v>
      </c>
      <c r="G30" s="539">
        <f t="shared" si="9"/>
        <v>11520000</v>
      </c>
      <c r="H30" s="84">
        <f t="shared" si="9"/>
        <v>0</v>
      </c>
      <c r="I30" s="68">
        <f t="shared" si="9"/>
        <v>0</v>
      </c>
      <c r="J30" s="84">
        <f t="shared" si="9"/>
        <v>0</v>
      </c>
      <c r="K30" s="908">
        <f t="shared" si="9"/>
        <v>0</v>
      </c>
      <c r="L30" s="457">
        <f>C30/$C$6</f>
        <v>1.7705279483255735E-4</v>
      </c>
      <c r="M30" s="913">
        <f t="shared" si="4"/>
        <v>1.7705279483255735E-4</v>
      </c>
    </row>
    <row r="31" spans="1:37" x14ac:dyDescent="0.25">
      <c r="A31" s="905" t="s">
        <v>575</v>
      </c>
      <c r="B31" s="283" t="s">
        <v>763</v>
      </c>
      <c r="C31" s="111">
        <f>SUM(D31+I31)</f>
        <v>11520000</v>
      </c>
      <c r="D31" s="539">
        <f>SUM(E31:G31)+J31</f>
        <v>11520000</v>
      </c>
      <c r="E31" s="539"/>
      <c r="F31" s="539"/>
      <c r="G31" s="539">
        <v>11520000</v>
      </c>
      <c r="H31" s="84"/>
      <c r="J31" s="84"/>
      <c r="K31" s="908"/>
      <c r="L31" s="457">
        <f>C31/$C$6</f>
        <v>1.7705279483255735E-4</v>
      </c>
      <c r="M31" s="913">
        <f t="shared" si="4"/>
        <v>1.7705279483255735E-4</v>
      </c>
    </row>
    <row r="32" spans="1:37" hidden="1" x14ac:dyDescent="0.25">
      <c r="A32" s="905" t="s">
        <v>576</v>
      </c>
      <c r="B32" s="283" t="s">
        <v>526</v>
      </c>
      <c r="C32" s="915">
        <f>SUM(D32)</f>
        <v>0</v>
      </c>
      <c r="D32" s="919">
        <f>SUM(E32:G32)</f>
        <v>0</v>
      </c>
      <c r="E32" s="539"/>
      <c r="F32" s="539"/>
      <c r="G32" s="539"/>
      <c r="H32" s="84"/>
      <c r="J32" s="84"/>
      <c r="K32" s="908"/>
      <c r="L32" s="457"/>
      <c r="M32" s="913">
        <f t="shared" si="4"/>
        <v>0</v>
      </c>
    </row>
    <row r="33" spans="1:14" hidden="1" x14ac:dyDescent="0.25">
      <c r="A33" s="905" t="s">
        <v>577</v>
      </c>
      <c r="B33" s="283" t="s">
        <v>578</v>
      </c>
      <c r="C33" s="915">
        <f>SUM(D33)</f>
        <v>0</v>
      </c>
      <c r="D33" s="919">
        <f>SUM(E33:G33)</f>
        <v>0</v>
      </c>
      <c r="E33" s="539"/>
      <c r="F33" s="539"/>
      <c r="G33" s="539"/>
      <c r="H33" s="84"/>
      <c r="J33" s="84"/>
      <c r="K33" s="908"/>
      <c r="L33" s="457"/>
      <c r="M33" s="913">
        <f t="shared" si="4"/>
        <v>0</v>
      </c>
      <c r="N33" s="904"/>
    </row>
    <row r="34" spans="1:14" x14ac:dyDescent="0.25">
      <c r="A34" s="905"/>
      <c r="B34" s="283"/>
      <c r="C34" s="79" t="s">
        <v>0</v>
      </c>
      <c r="D34" s="539"/>
      <c r="E34" s="539"/>
      <c r="F34" s="539"/>
      <c r="G34" s="539"/>
      <c r="H34" s="84"/>
      <c r="J34" s="84"/>
      <c r="K34" s="908"/>
      <c r="L34" s="457"/>
      <c r="M34" s="913"/>
    </row>
    <row r="35" spans="1:14" x14ac:dyDescent="0.25">
      <c r="A35" s="107" t="s">
        <v>404</v>
      </c>
      <c r="B35" s="140" t="s">
        <v>405</v>
      </c>
      <c r="C35" s="80">
        <f>SUM(C36+C46+C57)</f>
        <v>14996603342</v>
      </c>
      <c r="D35" s="80">
        <f>SUM(D36+D46+D57)</f>
        <v>1365554901</v>
      </c>
      <c r="E35" s="80">
        <f>SUM(E36+E46+E57)</f>
        <v>1365554901</v>
      </c>
      <c r="F35" s="80">
        <f>SUM(F36+F46+F57)</f>
        <v>0</v>
      </c>
      <c r="G35" s="80">
        <f>SUM(G36+G46+G57)</f>
        <v>0</v>
      </c>
      <c r="H35" s="83">
        <f>H36+H46+H57</f>
        <v>13631048441</v>
      </c>
      <c r="I35" s="260">
        <f>I36+I46+I57</f>
        <v>13631048441</v>
      </c>
      <c r="J35" s="83">
        <f>J36+J46+J57</f>
        <v>0</v>
      </c>
      <c r="K35" s="452" t="e">
        <f>SUM(#REF!)</f>
        <v>#REF!</v>
      </c>
      <c r="L35" s="457">
        <f t="shared" ref="L35:L42" si="10">C35/$C$6</f>
        <v>0.230485289470171</v>
      </c>
      <c r="M35" s="907">
        <f t="shared" si="4"/>
        <v>0.230485289470171</v>
      </c>
    </row>
    <row r="36" spans="1:14" x14ac:dyDescent="0.25">
      <c r="A36" s="905" t="s">
        <v>406</v>
      </c>
      <c r="B36" s="140" t="s">
        <v>407</v>
      </c>
      <c r="C36" s="82">
        <f>SUM(C37)</f>
        <v>7226261433</v>
      </c>
      <c r="D36" s="82">
        <f>SUM(D37)</f>
        <v>190151585</v>
      </c>
      <c r="E36" s="82">
        <f>SUM(E37)</f>
        <v>190151585</v>
      </c>
      <c r="F36" s="82">
        <f>SUM(F37)</f>
        <v>0</v>
      </c>
      <c r="G36" s="82">
        <f>SUM(G37)</f>
        <v>0</v>
      </c>
      <c r="H36" s="83">
        <f>SUM(H40)</f>
        <v>7036109848</v>
      </c>
      <c r="I36" s="260">
        <f>SUM(I38:I42)</f>
        <v>7036109848</v>
      </c>
      <c r="J36" s="83">
        <f>SUM(J38:J42)</f>
        <v>0</v>
      </c>
      <c r="K36" s="908">
        <f>SUM(K38:K42)</f>
        <v>0</v>
      </c>
      <c r="L36" s="457">
        <f t="shared" si="10"/>
        <v>0.11106161309925094</v>
      </c>
      <c r="M36" s="907">
        <f t="shared" si="4"/>
        <v>0.11106161309925094</v>
      </c>
    </row>
    <row r="37" spans="1:14" x14ac:dyDescent="0.25">
      <c r="A37" s="905" t="s">
        <v>487</v>
      </c>
      <c r="B37" s="283" t="s">
        <v>488</v>
      </c>
      <c r="C37" s="915">
        <f>SUM(C38:C44)</f>
        <v>7226261433</v>
      </c>
      <c r="D37" s="539">
        <f>SUM(D38:D44)</f>
        <v>190151585</v>
      </c>
      <c r="E37" s="539">
        <f>SUM(E38+E39+E40+E43+E44)</f>
        <v>190151585</v>
      </c>
      <c r="F37" s="539">
        <f>SUM(F38:F42)</f>
        <v>0</v>
      </c>
      <c r="G37" s="539">
        <f>SUM(G38:G42)</f>
        <v>0</v>
      </c>
      <c r="H37" s="84"/>
      <c r="J37" s="84"/>
      <c r="K37" s="908">
        <f>SUM(K38:K42)</f>
        <v>0</v>
      </c>
      <c r="L37" s="457">
        <f t="shared" si="10"/>
        <v>0.11106161309925094</v>
      </c>
      <c r="M37" s="907">
        <f t="shared" si="4"/>
        <v>0.11106161309925094</v>
      </c>
    </row>
    <row r="38" spans="1:14" x14ac:dyDescent="0.25">
      <c r="A38" s="905"/>
      <c r="B38" s="283" t="s">
        <v>519</v>
      </c>
      <c r="C38" s="111">
        <f t="shared" ref="C38:C44" si="11">SUM(D38+I38)</f>
        <v>90952762</v>
      </c>
      <c r="D38" s="539">
        <f>SUM(E38:G38)+J38</f>
        <v>90952762</v>
      </c>
      <c r="E38" s="539">
        <f>90952762</f>
        <v>90952762</v>
      </c>
      <c r="F38" s="547"/>
      <c r="G38" s="547"/>
      <c r="H38" s="84"/>
      <c r="J38" s="84"/>
      <c r="K38" s="453"/>
      <c r="L38" s="457">
        <f t="shared" si="10"/>
        <v>1.3978681171736473E-3</v>
      </c>
      <c r="M38" s="913">
        <f t="shared" si="4"/>
        <v>1.3978681171736473E-3</v>
      </c>
    </row>
    <row r="39" spans="1:14" x14ac:dyDescent="0.25">
      <c r="A39" s="905"/>
      <c r="B39" s="283" t="s">
        <v>409</v>
      </c>
      <c r="C39" s="111">
        <f t="shared" si="11"/>
        <v>18761399</v>
      </c>
      <c r="D39" s="539">
        <f>SUM(E39:G39)+J39</f>
        <v>18761399</v>
      </c>
      <c r="E39" s="539">
        <v>18761399</v>
      </c>
      <c r="F39" s="539">
        <v>0</v>
      </c>
      <c r="G39" s="539">
        <v>0</v>
      </c>
      <c r="H39" s="84"/>
      <c r="J39" s="84"/>
      <c r="K39" s="453"/>
      <c r="L39" s="457">
        <f t="shared" si="10"/>
        <v>2.8834705971516895E-4</v>
      </c>
      <c r="M39" s="913">
        <f t="shared" si="4"/>
        <v>2.8834705971516895E-4</v>
      </c>
    </row>
    <row r="40" spans="1:14" x14ac:dyDescent="0.25">
      <c r="A40" s="905"/>
      <c r="B40" s="283" t="s">
        <v>408</v>
      </c>
      <c r="C40" s="111">
        <f t="shared" si="11"/>
        <v>7036109848</v>
      </c>
      <c r="D40" s="539">
        <f>SUM(E40:G40)+J40</f>
        <v>0</v>
      </c>
      <c r="E40" s="58"/>
      <c r="F40" s="58"/>
      <c r="G40" s="58"/>
      <c r="H40" s="84">
        <f>SUM(I40:J40)</f>
        <v>7036109848</v>
      </c>
      <c r="I40" s="68">
        <v>7036109848</v>
      </c>
      <c r="J40" s="84"/>
      <c r="K40" s="67"/>
      <c r="L40" s="457">
        <f t="shared" si="10"/>
        <v>0.10813914178275003</v>
      </c>
      <c r="M40" s="913">
        <f t="shared" si="4"/>
        <v>0.10813914178275003</v>
      </c>
    </row>
    <row r="41" spans="1:14" hidden="1" x14ac:dyDescent="0.25">
      <c r="A41" s="905"/>
      <c r="B41" s="920" t="s">
        <v>421</v>
      </c>
      <c r="C41" s="111">
        <f t="shared" si="11"/>
        <v>0</v>
      </c>
      <c r="D41" s="539">
        <f>SUM(E41:G41)</f>
        <v>0</v>
      </c>
      <c r="E41" s="52"/>
      <c r="F41" s="52"/>
      <c r="G41" s="52"/>
      <c r="H41" s="84"/>
      <c r="J41" s="84"/>
      <c r="K41" s="908">
        <v>0</v>
      </c>
      <c r="L41" s="457">
        <f t="shared" si="10"/>
        <v>0</v>
      </c>
      <c r="M41" s="913">
        <f t="shared" si="4"/>
        <v>0</v>
      </c>
    </row>
    <row r="42" spans="1:14" hidden="1" x14ac:dyDescent="0.25">
      <c r="A42" s="905"/>
      <c r="B42" s="920" t="s">
        <v>422</v>
      </c>
      <c r="C42" s="111">
        <f t="shared" si="11"/>
        <v>0</v>
      </c>
      <c r="D42" s="539">
        <f>SUM(E42:G42)</f>
        <v>0</v>
      </c>
      <c r="E42" s="52">
        <v>0</v>
      </c>
      <c r="F42" s="52">
        <v>0</v>
      </c>
      <c r="G42" s="52">
        <v>0</v>
      </c>
      <c r="H42" s="84"/>
      <c r="J42" s="84"/>
      <c r="K42" s="908"/>
      <c r="L42" s="457">
        <f t="shared" si="10"/>
        <v>0</v>
      </c>
      <c r="M42" s="913">
        <f t="shared" si="4"/>
        <v>0</v>
      </c>
    </row>
    <row r="43" spans="1:14" x14ac:dyDescent="0.25">
      <c r="A43" s="905"/>
      <c r="B43" s="920" t="s">
        <v>646</v>
      </c>
      <c r="C43" s="111">
        <f t="shared" si="11"/>
        <v>6062424</v>
      </c>
      <c r="D43" s="539">
        <f>SUM(E43:G43)+J43</f>
        <v>6062424</v>
      </c>
      <c r="E43" s="52">
        <v>6062424</v>
      </c>
      <c r="F43" s="52"/>
      <c r="G43" s="52"/>
      <c r="H43" s="84"/>
      <c r="J43" s="84"/>
      <c r="K43" s="908"/>
      <c r="L43" s="457"/>
      <c r="M43" s="913">
        <f t="shared" si="4"/>
        <v>9.3174402140622532E-5</v>
      </c>
    </row>
    <row r="44" spans="1:14" x14ac:dyDescent="0.25">
      <c r="A44" s="905"/>
      <c r="B44" s="920" t="s">
        <v>471</v>
      </c>
      <c r="C44" s="111">
        <f t="shared" si="11"/>
        <v>74375000</v>
      </c>
      <c r="D44" s="539">
        <f>SUM(E44:G44)+J44</f>
        <v>74375000</v>
      </c>
      <c r="E44" s="52">
        <v>74375000</v>
      </c>
      <c r="F44" s="52"/>
      <c r="G44" s="52"/>
      <c r="H44" s="84"/>
      <c r="J44" s="84"/>
      <c r="K44" s="908"/>
      <c r="L44" s="457"/>
      <c r="M44" s="913">
        <f t="shared" si="4"/>
        <v>1.1430817374714802E-3</v>
      </c>
      <c r="N44" s="904"/>
    </row>
    <row r="45" spans="1:14" x14ac:dyDescent="0.25">
      <c r="A45" s="905"/>
      <c r="B45" s="283"/>
      <c r="C45" s="921" t="s">
        <v>0</v>
      </c>
      <c r="D45" s="539"/>
      <c r="E45" s="539"/>
      <c r="F45" s="539"/>
      <c r="G45" s="539"/>
      <c r="H45" s="84"/>
      <c r="J45" s="84"/>
      <c r="K45" s="908"/>
      <c r="L45" s="457"/>
      <c r="M45" s="913"/>
    </row>
    <row r="46" spans="1:14" x14ac:dyDescent="0.25">
      <c r="A46" s="905" t="s">
        <v>411</v>
      </c>
      <c r="B46" s="283" t="s">
        <v>412</v>
      </c>
      <c r="C46" s="80">
        <f>SUM(C47:C55)</f>
        <v>7511661908</v>
      </c>
      <c r="D46" s="80">
        <f>SUM(D47:D50)</f>
        <v>1091455710</v>
      </c>
      <c r="E46" s="50">
        <f>SUM(E47:E50)</f>
        <v>1091455710</v>
      </c>
      <c r="F46" s="539">
        <f>SUM(F47:F49)</f>
        <v>0</v>
      </c>
      <c r="G46" s="50">
        <f>SUM(G47:G54)</f>
        <v>0</v>
      </c>
      <c r="H46" s="83">
        <f>SUM(H47:H55)</f>
        <v>6420206198</v>
      </c>
      <c r="I46" s="260">
        <f>SUM(I47:I55)</f>
        <v>6420206198</v>
      </c>
      <c r="J46" s="83">
        <f>SUM(J47:J55)</f>
        <v>0</v>
      </c>
      <c r="K46" s="908"/>
      <c r="L46" s="457">
        <f t="shared" ref="L46:L49" si="12">C46/$C$6</f>
        <v>0.11544798043825176</v>
      </c>
      <c r="M46" s="907">
        <f t="shared" si="4"/>
        <v>0.11544798043825176</v>
      </c>
    </row>
    <row r="47" spans="1:14" x14ac:dyDescent="0.25">
      <c r="A47" s="905"/>
      <c r="B47" s="283" t="s">
        <v>418</v>
      </c>
      <c r="C47" s="111">
        <f>SUM(D47+I47)</f>
        <v>665006087</v>
      </c>
      <c r="D47" s="539">
        <f>SUM(E47:G47)+J47</f>
        <v>665006087</v>
      </c>
      <c r="E47" s="539">
        <f>439311525+146164642+79529920</f>
        <v>665006087</v>
      </c>
      <c r="F47" s="539"/>
      <c r="G47" s="539"/>
      <c r="H47" s="84"/>
      <c r="J47" s="84"/>
      <c r="K47" s="908"/>
      <c r="L47" s="457">
        <f t="shared" si="12"/>
        <v>1.0220589087153887E-2</v>
      </c>
      <c r="M47" s="913">
        <f t="shared" si="4"/>
        <v>1.0220589087153887E-2</v>
      </c>
      <c r="N47" s="904"/>
    </row>
    <row r="48" spans="1:14" hidden="1" x14ac:dyDescent="0.25">
      <c r="A48" s="905"/>
      <c r="B48" s="922" t="s">
        <v>413</v>
      </c>
      <c r="C48" s="111">
        <f>SUM(D48+I48)</f>
        <v>0</v>
      </c>
      <c r="D48" s="539">
        <f>SUM(E48:G48)</f>
        <v>0</v>
      </c>
      <c r="E48" s="539"/>
      <c r="F48" s="539"/>
      <c r="G48" s="539"/>
      <c r="H48" s="84"/>
      <c r="J48" s="84"/>
      <c r="K48" s="453"/>
      <c r="L48" s="457">
        <f t="shared" si="12"/>
        <v>0</v>
      </c>
      <c r="M48" s="913">
        <f t="shared" si="4"/>
        <v>0</v>
      </c>
    </row>
    <row r="49" spans="1:14" x14ac:dyDescent="0.25">
      <c r="A49" s="905"/>
      <c r="B49" s="287" t="s">
        <v>489</v>
      </c>
      <c r="C49" s="111">
        <f>SUM(D49+I49)</f>
        <v>316893788</v>
      </c>
      <c r="D49" s="539">
        <f>SUM(E49:G49)+J49</f>
        <v>316893788</v>
      </c>
      <c r="E49" s="539">
        <v>316893788</v>
      </c>
      <c r="F49" s="539"/>
      <c r="G49" s="539"/>
      <c r="H49" s="84"/>
      <c r="J49" s="84"/>
      <c r="K49" s="453"/>
      <c r="L49" s="457">
        <f t="shared" si="12"/>
        <v>4.8703933012565906E-3</v>
      </c>
      <c r="M49" s="913">
        <f t="shared" si="4"/>
        <v>4.8703933012565906E-3</v>
      </c>
    </row>
    <row r="50" spans="1:14" x14ac:dyDescent="0.25">
      <c r="A50" s="905"/>
      <c r="B50" s="287" t="s">
        <v>637</v>
      </c>
      <c r="C50" s="111">
        <f>SUM(D50+I50)</f>
        <v>109555835</v>
      </c>
      <c r="D50" s="539">
        <f>SUM(E50:G50)+J50</f>
        <v>109555835</v>
      </c>
      <c r="E50" s="539">
        <v>109555835</v>
      </c>
      <c r="F50" s="539"/>
      <c r="G50" s="539"/>
      <c r="H50" s="84"/>
      <c r="J50" s="84"/>
      <c r="K50" s="453"/>
      <c r="L50" s="457"/>
      <c r="M50" s="913">
        <f t="shared" si="4"/>
        <v>1.6837818382781687E-3</v>
      </c>
    </row>
    <row r="51" spans="1:14" x14ac:dyDescent="0.25">
      <c r="A51" s="905"/>
      <c r="B51" s="287"/>
      <c r="C51" s="915"/>
      <c r="D51" s="539"/>
      <c r="E51" s="539"/>
      <c r="F51" s="539"/>
      <c r="G51" s="539"/>
      <c r="H51" s="84"/>
      <c r="J51" s="84"/>
      <c r="K51" s="453"/>
      <c r="L51" s="457"/>
      <c r="M51" s="913"/>
      <c r="N51" s="904"/>
    </row>
    <row r="52" spans="1:14" hidden="1" x14ac:dyDescent="0.25">
      <c r="A52" s="905"/>
      <c r="B52" s="287" t="s">
        <v>527</v>
      </c>
      <c r="C52" s="915">
        <f>D52+H52</f>
        <v>0</v>
      </c>
      <c r="D52" s="539">
        <f>SUM(E52:G52)</f>
        <v>0</v>
      </c>
      <c r="E52" s="539"/>
      <c r="F52" s="539"/>
      <c r="G52" s="539"/>
      <c r="H52" s="84"/>
      <c r="J52" s="84"/>
      <c r="K52" s="453"/>
      <c r="L52" s="457"/>
      <c r="M52" s="913">
        <f t="shared" si="4"/>
        <v>0</v>
      </c>
    </row>
    <row r="53" spans="1:14" hidden="1" x14ac:dyDescent="0.25">
      <c r="A53" s="905"/>
      <c r="B53" s="287" t="s">
        <v>641</v>
      </c>
      <c r="C53" s="915">
        <f>D53+H53</f>
        <v>0</v>
      </c>
      <c r="D53" s="539">
        <f>SUM(E53:G53)</f>
        <v>0</v>
      </c>
      <c r="E53" s="539"/>
      <c r="F53" s="539"/>
      <c r="G53" s="539"/>
      <c r="H53" s="84"/>
      <c r="J53" s="84"/>
      <c r="K53" s="453"/>
      <c r="L53" s="457"/>
      <c r="M53" s="913">
        <f t="shared" si="4"/>
        <v>0</v>
      </c>
    </row>
    <row r="54" spans="1:14" hidden="1" x14ac:dyDescent="0.25">
      <c r="A54" s="905"/>
      <c r="B54" s="287"/>
      <c r="C54" s="915"/>
      <c r="D54" s="539"/>
      <c r="E54" s="539"/>
      <c r="F54" s="539"/>
      <c r="G54" s="539"/>
      <c r="H54" s="84"/>
      <c r="J54" s="84"/>
      <c r="K54" s="453"/>
      <c r="L54" s="457"/>
      <c r="M54" s="913">
        <f t="shared" si="4"/>
        <v>0</v>
      </c>
    </row>
    <row r="55" spans="1:14" x14ac:dyDescent="0.25">
      <c r="A55" s="905" t="s">
        <v>490</v>
      </c>
      <c r="B55" s="283" t="s">
        <v>491</v>
      </c>
      <c r="C55" s="111">
        <f>SUM(D55+I55)</f>
        <v>6420206198</v>
      </c>
      <c r="D55" s="539"/>
      <c r="E55" s="539"/>
      <c r="F55" s="539"/>
      <c r="G55" s="539"/>
      <c r="H55" s="84">
        <f>SUM(I55:J55)</f>
        <v>6420206198</v>
      </c>
      <c r="I55" s="298">
        <f>7256583698-836377500</f>
        <v>6420206198</v>
      </c>
      <c r="J55" s="84"/>
      <c r="K55" s="453"/>
      <c r="L55" s="457"/>
      <c r="M55" s="913">
        <f t="shared" si="4"/>
        <v>9.8673216211563108E-2</v>
      </c>
    </row>
    <row r="56" spans="1:14" x14ac:dyDescent="0.25">
      <c r="A56" s="905"/>
      <c r="B56" s="141"/>
      <c r="C56" s="133"/>
      <c r="D56" s="539"/>
      <c r="E56" s="539"/>
      <c r="F56" s="539"/>
      <c r="G56" s="539"/>
      <c r="H56" s="84"/>
      <c r="J56" s="84"/>
      <c r="K56" s="908"/>
      <c r="L56" s="457"/>
      <c r="M56" s="913"/>
    </row>
    <row r="57" spans="1:14" ht="14.25" customHeight="1" x14ac:dyDescent="0.25">
      <c r="A57" s="905" t="s">
        <v>414</v>
      </c>
      <c r="B57" s="140" t="s">
        <v>415</v>
      </c>
      <c r="C57" s="82">
        <f>SUM(C58)</f>
        <v>258680001</v>
      </c>
      <c r="D57" s="82">
        <f t="shared" ref="D57:L57" si="13">SUM(D58)</f>
        <v>83947606</v>
      </c>
      <c r="E57" s="82">
        <f t="shared" si="13"/>
        <v>83947606</v>
      </c>
      <c r="F57" s="82">
        <f t="shared" si="13"/>
        <v>0</v>
      </c>
      <c r="G57" s="82">
        <f t="shared" si="13"/>
        <v>0</v>
      </c>
      <c r="H57" s="82">
        <f t="shared" si="13"/>
        <v>174732395</v>
      </c>
      <c r="I57" s="82">
        <f t="shared" si="13"/>
        <v>174732395</v>
      </c>
      <c r="J57" s="82">
        <f t="shared" si="13"/>
        <v>0</v>
      </c>
      <c r="K57" s="89">
        <f t="shared" si="13"/>
        <v>0</v>
      </c>
      <c r="L57" s="459">
        <f t="shared" si="13"/>
        <v>3.975695932668292E-3</v>
      </c>
      <c r="M57" s="907">
        <f t="shared" si="4"/>
        <v>3.975695932668292E-3</v>
      </c>
    </row>
    <row r="58" spans="1:14" ht="14.25" customHeight="1" x14ac:dyDescent="0.25">
      <c r="A58" s="905" t="s">
        <v>416</v>
      </c>
      <c r="B58" s="289" t="s">
        <v>417</v>
      </c>
      <c r="C58" s="82">
        <f>SUM(C59+C64+C66)</f>
        <v>258680001</v>
      </c>
      <c r="D58" s="50">
        <f>SUM(D59:D66)</f>
        <v>83947606</v>
      </c>
      <c r="E58" s="50">
        <f>SUM(E59:E69)</f>
        <v>83947606</v>
      </c>
      <c r="F58" s="539">
        <f>F59+F61+F62</f>
        <v>0</v>
      </c>
      <c r="G58" s="539">
        <f>G59+G61+G62</f>
        <v>0</v>
      </c>
      <c r="H58" s="84">
        <f>SUM(H59:H66)</f>
        <v>174732395</v>
      </c>
      <c r="I58" s="68">
        <f>SUM(I59:I66)</f>
        <v>174732395</v>
      </c>
      <c r="J58" s="68">
        <f>SUM(J59:J66)</f>
        <v>0</v>
      </c>
      <c r="K58" s="908">
        <f>K62+K63</f>
        <v>0</v>
      </c>
      <c r="L58" s="457">
        <f>C58/$C$6</f>
        <v>3.975695932668292E-3</v>
      </c>
      <c r="M58" s="907">
        <f t="shared" si="4"/>
        <v>3.975695932668292E-3</v>
      </c>
    </row>
    <row r="59" spans="1:14" x14ac:dyDescent="0.25">
      <c r="A59" s="905"/>
      <c r="B59" s="923" t="s">
        <v>519</v>
      </c>
      <c r="C59" s="111">
        <f t="shared" ref="C59:C66" si="14">SUM(D59+I59)</f>
        <v>70071240</v>
      </c>
      <c r="D59" s="539">
        <f>SUM(E59+F59+G59+J59)</f>
        <v>70071240</v>
      </c>
      <c r="E59" s="539">
        <f>69732709+37361+301170</f>
        <v>70071240</v>
      </c>
      <c r="F59" s="539"/>
      <c r="G59" s="539"/>
      <c r="H59" s="84"/>
      <c r="J59" s="84"/>
      <c r="K59" s="908"/>
      <c r="L59" s="457">
        <f>C59/$C$6</f>
        <v>1.0769365346686532E-3</v>
      </c>
      <c r="M59" s="913">
        <f t="shared" si="4"/>
        <v>1.0769365346686532E-3</v>
      </c>
    </row>
    <row r="60" spans="1:14" hidden="1" x14ac:dyDescent="0.25">
      <c r="A60" s="905"/>
      <c r="B60" s="920" t="s">
        <v>419</v>
      </c>
      <c r="C60" s="111">
        <f t="shared" si="14"/>
        <v>0</v>
      </c>
      <c r="D60" s="539">
        <f t="shared" ref="D60:D66" si="15">SUM(E60+F60+G60+J60)</f>
        <v>0</v>
      </c>
      <c r="E60" s="539"/>
      <c r="F60" s="539"/>
      <c r="G60" s="539"/>
      <c r="H60" s="84"/>
      <c r="J60" s="84"/>
      <c r="K60" s="908"/>
      <c r="L60" s="457">
        <f>C60/$C$6</f>
        <v>0</v>
      </c>
      <c r="M60" s="913">
        <f t="shared" si="4"/>
        <v>0</v>
      </c>
    </row>
    <row r="61" spans="1:14" ht="12.75" hidden="1" customHeight="1" x14ac:dyDescent="0.25">
      <c r="A61" s="924"/>
      <c r="B61" s="925" t="s">
        <v>420</v>
      </c>
      <c r="C61" s="111">
        <f t="shared" si="14"/>
        <v>0</v>
      </c>
      <c r="D61" s="539">
        <f t="shared" si="15"/>
        <v>0</v>
      </c>
      <c r="E61" s="926"/>
      <c r="F61" s="926"/>
      <c r="G61" s="926"/>
      <c r="H61" s="86"/>
      <c r="I61" s="261"/>
      <c r="J61" s="86"/>
      <c r="K61" s="927"/>
      <c r="L61" s="460">
        <f>C61/$C$6</f>
        <v>0</v>
      </c>
      <c r="M61" s="913">
        <f t="shared" si="4"/>
        <v>0</v>
      </c>
    </row>
    <row r="62" spans="1:14" hidden="1" x14ac:dyDescent="0.25">
      <c r="A62" s="905"/>
      <c r="B62" s="920" t="s">
        <v>410</v>
      </c>
      <c r="C62" s="111">
        <f t="shared" si="14"/>
        <v>0</v>
      </c>
      <c r="D62" s="539">
        <f t="shared" si="15"/>
        <v>0</v>
      </c>
      <c r="E62" s="539"/>
      <c r="F62" s="539"/>
      <c r="G62" s="539"/>
      <c r="H62" s="84"/>
      <c r="J62" s="84"/>
      <c r="K62" s="908">
        <v>0</v>
      </c>
      <c r="L62" s="457"/>
      <c r="M62" s="913">
        <f t="shared" si="4"/>
        <v>0</v>
      </c>
    </row>
    <row r="63" spans="1:14" hidden="1" x14ac:dyDescent="0.25">
      <c r="A63" s="905"/>
      <c r="B63" s="920" t="s">
        <v>492</v>
      </c>
      <c r="C63" s="111">
        <f t="shared" si="14"/>
        <v>0</v>
      </c>
      <c r="D63" s="539">
        <f t="shared" si="15"/>
        <v>0</v>
      </c>
      <c r="E63" s="539"/>
      <c r="F63" s="539"/>
      <c r="G63" s="539"/>
      <c r="H63" s="84"/>
      <c r="J63" s="84"/>
      <c r="K63" s="908"/>
      <c r="L63" s="457">
        <f>C63/$C$6</f>
        <v>0</v>
      </c>
      <c r="M63" s="913">
        <f t="shared" si="4"/>
        <v>0</v>
      </c>
    </row>
    <row r="64" spans="1:14" x14ac:dyDescent="0.25">
      <c r="A64" s="905"/>
      <c r="B64" s="920" t="s">
        <v>471</v>
      </c>
      <c r="C64" s="111">
        <f t="shared" si="14"/>
        <v>13876366</v>
      </c>
      <c r="D64" s="539">
        <f t="shared" si="15"/>
        <v>13876366</v>
      </c>
      <c r="E64" s="539">
        <v>13876366</v>
      </c>
      <c r="F64" s="539"/>
      <c r="G64" s="539"/>
      <c r="H64" s="84"/>
      <c r="J64" s="84"/>
      <c r="K64" s="908"/>
      <c r="L64" s="457">
        <f>C64/$C$6</f>
        <v>2.1326817555724603E-4</v>
      </c>
      <c r="M64" s="913">
        <f t="shared" si="4"/>
        <v>2.1326817555724603E-4</v>
      </c>
    </row>
    <row r="65" spans="1:14" x14ac:dyDescent="0.25">
      <c r="A65" s="905"/>
      <c r="B65" s="920"/>
      <c r="C65" s="111"/>
      <c r="D65" s="539">
        <f t="shared" si="15"/>
        <v>0</v>
      </c>
      <c r="E65" s="539"/>
      <c r="F65" s="539"/>
      <c r="G65" s="539"/>
      <c r="H65" s="84"/>
      <c r="J65" s="84"/>
      <c r="K65" s="908"/>
      <c r="L65" s="457"/>
      <c r="M65" s="913"/>
    </row>
    <row r="66" spans="1:14" x14ac:dyDescent="0.25">
      <c r="A66" s="905" t="s">
        <v>416</v>
      </c>
      <c r="B66" s="283" t="s">
        <v>493</v>
      </c>
      <c r="C66" s="111">
        <f t="shared" si="14"/>
        <v>174732395</v>
      </c>
      <c r="D66" s="539">
        <f t="shared" si="15"/>
        <v>0</v>
      </c>
      <c r="E66" s="539"/>
      <c r="F66" s="539"/>
      <c r="G66" s="539"/>
      <c r="H66" s="84">
        <f>SUM(I66:J66)</f>
        <v>174732395</v>
      </c>
      <c r="I66" s="68">
        <v>174732395</v>
      </c>
      <c r="J66" s="84"/>
      <c r="K66" s="908"/>
      <c r="L66" s="457">
        <f>C66/$C$6</f>
        <v>2.685491222442393E-3</v>
      </c>
      <c r="M66" s="913">
        <f t="shared" si="4"/>
        <v>2.685491222442393E-3</v>
      </c>
    </row>
    <row r="67" spans="1:14" x14ac:dyDescent="0.25">
      <c r="A67" s="905"/>
      <c r="B67" s="283"/>
      <c r="C67" s="915"/>
      <c r="D67" s="539"/>
      <c r="E67" s="539"/>
      <c r="F67" s="539"/>
      <c r="G67" s="539"/>
      <c r="H67" s="84"/>
      <c r="J67" s="84"/>
      <c r="K67" s="908"/>
      <c r="L67" s="457"/>
      <c r="M67" s="913"/>
    </row>
    <row r="68" spans="1:14" hidden="1" x14ac:dyDescent="0.25">
      <c r="A68" s="905"/>
      <c r="B68" s="283"/>
      <c r="C68" s="915"/>
      <c r="D68" s="539"/>
      <c r="E68" s="539"/>
      <c r="F68" s="539"/>
      <c r="G68" s="539"/>
      <c r="H68" s="84"/>
      <c r="J68" s="84"/>
      <c r="K68" s="908"/>
      <c r="L68" s="457"/>
      <c r="M68" s="913">
        <f t="shared" si="4"/>
        <v>0</v>
      </c>
    </row>
    <row r="69" spans="1:14" ht="12.75" hidden="1" customHeight="1" x14ac:dyDescent="0.25">
      <c r="A69" s="905"/>
      <c r="B69" s="283"/>
      <c r="C69" s="82"/>
      <c r="D69" s="539"/>
      <c r="E69" s="539"/>
      <c r="F69" s="539"/>
      <c r="G69" s="539"/>
      <c r="H69" s="84"/>
      <c r="J69" s="84"/>
      <c r="K69" s="908"/>
      <c r="L69" s="457">
        <f>C69/$C$6</f>
        <v>0</v>
      </c>
      <c r="M69" s="913">
        <f t="shared" si="4"/>
        <v>0</v>
      </c>
    </row>
    <row r="70" spans="1:14" ht="12.75" hidden="1" customHeight="1" x14ac:dyDescent="0.25">
      <c r="A70" s="905"/>
      <c r="B70" s="283"/>
      <c r="C70" s="82"/>
      <c r="D70" s="539"/>
      <c r="E70" s="539"/>
      <c r="F70" s="539"/>
      <c r="G70" s="539"/>
      <c r="H70" s="84"/>
      <c r="J70" s="84"/>
      <c r="K70" s="908"/>
      <c r="L70" s="457"/>
      <c r="M70" s="913">
        <f t="shared" si="4"/>
        <v>0</v>
      </c>
    </row>
    <row r="71" spans="1:14" ht="12.75" customHeight="1" x14ac:dyDescent="0.25">
      <c r="A71" s="905"/>
      <c r="B71" s="283"/>
      <c r="C71" s="82"/>
      <c r="D71" s="539"/>
      <c r="E71" s="539"/>
      <c r="F71" s="539"/>
      <c r="G71" s="539"/>
      <c r="H71" s="84"/>
      <c r="J71" s="84"/>
      <c r="K71" s="908"/>
      <c r="L71" s="457"/>
      <c r="M71" s="913"/>
    </row>
    <row r="72" spans="1:14" ht="12.75" customHeight="1" thickBot="1" x14ac:dyDescent="0.3">
      <c r="A72" s="928"/>
      <c r="B72" s="929"/>
      <c r="C72" s="444"/>
      <c r="D72" s="930"/>
      <c r="E72" s="930"/>
      <c r="F72" s="930"/>
      <c r="G72" s="930"/>
      <c r="H72" s="88"/>
      <c r="I72" s="445"/>
      <c r="J72" s="88"/>
      <c r="K72" s="931"/>
      <c r="L72" s="461"/>
      <c r="M72" s="932"/>
    </row>
    <row r="73" spans="1:14" x14ac:dyDescent="0.25">
      <c r="A73" s="905" t="s">
        <v>423</v>
      </c>
      <c r="B73" s="140" t="s">
        <v>424</v>
      </c>
      <c r="C73" s="82">
        <f>SUM(C74)</f>
        <v>1418226671</v>
      </c>
      <c r="D73" s="54">
        <f t="shared" ref="D73:K73" si="16">D74</f>
        <v>285000000</v>
      </c>
      <c r="E73" s="54">
        <f t="shared" si="16"/>
        <v>106000000</v>
      </c>
      <c r="F73" s="54">
        <f t="shared" si="16"/>
        <v>0</v>
      </c>
      <c r="G73" s="54">
        <f t="shared" si="16"/>
        <v>0</v>
      </c>
      <c r="H73" s="87">
        <f t="shared" si="16"/>
        <v>1312226671</v>
      </c>
      <c r="I73" s="134">
        <f t="shared" si="16"/>
        <v>1133226671</v>
      </c>
      <c r="J73" s="87">
        <f t="shared" si="16"/>
        <v>179000000</v>
      </c>
      <c r="K73" s="917">
        <f t="shared" si="16"/>
        <v>0</v>
      </c>
      <c r="L73" s="457">
        <f>C73/$C$6</f>
        <v>2.1796961441547205E-2</v>
      </c>
      <c r="M73" s="907">
        <f t="shared" si="4"/>
        <v>2.1796961441547205E-2</v>
      </c>
    </row>
    <row r="74" spans="1:14" x14ac:dyDescent="0.25">
      <c r="A74" s="905" t="s">
        <v>425</v>
      </c>
      <c r="B74" s="140" t="s">
        <v>624</v>
      </c>
      <c r="C74" s="82">
        <f>SUM(C75:C76)</f>
        <v>1418226671</v>
      </c>
      <c r="D74" s="55">
        <f>SUM(D75:D77)</f>
        <v>285000000</v>
      </c>
      <c r="E74" s="55">
        <f>SUM(E75)</f>
        <v>106000000</v>
      </c>
      <c r="F74" s="55"/>
      <c r="G74" s="55">
        <f>SUM(G75:G77)</f>
        <v>0</v>
      </c>
      <c r="H74" s="103">
        <f>SUM(H75:H76)</f>
        <v>1312226671</v>
      </c>
      <c r="I74" s="262">
        <f>SUM(I75:I76)</f>
        <v>1133226671</v>
      </c>
      <c r="J74" s="103">
        <f>SUM(J75:J76)</f>
        <v>179000000</v>
      </c>
      <c r="K74" s="933"/>
      <c r="L74" s="457">
        <f>C74/$C$6</f>
        <v>2.1796961441547205E-2</v>
      </c>
      <c r="M74" s="907">
        <f t="shared" si="4"/>
        <v>2.1796961441547205E-2</v>
      </c>
    </row>
    <row r="75" spans="1:14" x14ac:dyDescent="0.25">
      <c r="A75" s="905" t="s">
        <v>494</v>
      </c>
      <c r="B75" s="283" t="s">
        <v>741</v>
      </c>
      <c r="C75" s="111">
        <f>SUM(D75+I75)</f>
        <v>285000000</v>
      </c>
      <c r="D75" s="539">
        <f t="shared" ref="D75:D76" si="17">SUM(E75+F75+G75+J75)</f>
        <v>285000000</v>
      </c>
      <c r="E75" s="919">
        <v>106000000</v>
      </c>
      <c r="F75" s="919"/>
      <c r="G75" s="919"/>
      <c r="H75" s="104">
        <f>SUM(I75:J75)</f>
        <v>179000000</v>
      </c>
      <c r="I75" s="263"/>
      <c r="J75" s="104">
        <f>32000000+147000000</f>
        <v>179000000</v>
      </c>
      <c r="K75" s="933"/>
      <c r="L75" s="457"/>
      <c r="M75" s="913">
        <f t="shared" ref="M75:M135" si="18">C75/$C$6</f>
        <v>4.3802123721596222E-3</v>
      </c>
    </row>
    <row r="76" spans="1:14" x14ac:dyDescent="0.25">
      <c r="A76" s="905" t="s">
        <v>495</v>
      </c>
      <c r="B76" s="283" t="s">
        <v>742</v>
      </c>
      <c r="C76" s="111">
        <f>SUM(D76+I76)</f>
        <v>1133226671</v>
      </c>
      <c r="D76" s="539">
        <f t="shared" si="17"/>
        <v>0</v>
      </c>
      <c r="E76" s="919"/>
      <c r="F76" s="919"/>
      <c r="G76" s="919"/>
      <c r="H76" s="84">
        <f>SUM(I76:J76)</f>
        <v>1133226671</v>
      </c>
      <c r="I76" s="263">
        <f>1020581337+112645334</f>
        <v>1133226671</v>
      </c>
      <c r="J76" s="104"/>
      <c r="K76" s="933"/>
      <c r="L76" s="457">
        <f t="shared" ref="L76:L83" si="19">C76/$C$6</f>
        <v>1.7416749069387585E-2</v>
      </c>
      <c r="M76" s="913">
        <f t="shared" si="18"/>
        <v>1.7416749069387585E-2</v>
      </c>
      <c r="N76" s="904"/>
    </row>
    <row r="77" spans="1:14" hidden="1" x14ac:dyDescent="0.25">
      <c r="A77" s="905" t="s">
        <v>621</v>
      </c>
      <c r="B77" s="283" t="s">
        <v>625</v>
      </c>
      <c r="C77" s="915">
        <f>D77+H77</f>
        <v>0</v>
      </c>
      <c r="D77" s="919">
        <f>SUM(E77:G77)</f>
        <v>0</v>
      </c>
      <c r="E77" s="919"/>
      <c r="F77" s="919"/>
      <c r="G77" s="919"/>
      <c r="H77" s="104"/>
      <c r="I77" s="263"/>
      <c r="J77" s="104"/>
      <c r="K77" s="933"/>
      <c r="L77" s="457">
        <f t="shared" si="19"/>
        <v>0</v>
      </c>
      <c r="M77" s="913">
        <f t="shared" si="18"/>
        <v>0</v>
      </c>
    </row>
    <row r="78" spans="1:14" x14ac:dyDescent="0.25">
      <c r="A78" s="905"/>
      <c r="B78" s="283"/>
      <c r="C78" s="915"/>
      <c r="D78" s="919"/>
      <c r="E78" s="919"/>
      <c r="F78" s="919"/>
      <c r="G78" s="919"/>
      <c r="H78" s="104"/>
      <c r="I78" s="263"/>
      <c r="J78" s="104"/>
      <c r="K78" s="933"/>
      <c r="L78" s="457"/>
      <c r="M78" s="913"/>
    </row>
    <row r="79" spans="1:14" x14ac:dyDescent="0.25">
      <c r="A79" s="107" t="s">
        <v>552</v>
      </c>
      <c r="B79" s="140" t="s">
        <v>553</v>
      </c>
      <c r="C79" s="134">
        <f t="shared" ref="C79:I79" si="20">SUM(C80)</f>
        <v>117014961</v>
      </c>
      <c r="D79" s="57">
        <f t="shared" si="20"/>
        <v>117014961</v>
      </c>
      <c r="E79" s="57" t="e">
        <f t="shared" si="20"/>
        <v>#REF!</v>
      </c>
      <c r="F79" s="57">
        <f t="shared" si="20"/>
        <v>0</v>
      </c>
      <c r="G79" s="57">
        <f t="shared" si="20"/>
        <v>49360848</v>
      </c>
      <c r="H79" s="934">
        <f t="shared" si="20"/>
        <v>67654113</v>
      </c>
      <c r="I79" s="921">
        <f t="shared" si="20"/>
        <v>0</v>
      </c>
      <c r="J79" s="91">
        <f>SUM(J80)</f>
        <v>67654113</v>
      </c>
      <c r="K79" s="933"/>
      <c r="L79" s="457">
        <f t="shared" si="19"/>
        <v>1.7984223856139497E-3</v>
      </c>
      <c r="M79" s="907">
        <f t="shared" si="18"/>
        <v>1.7984223856139497E-3</v>
      </c>
    </row>
    <row r="80" spans="1:14" x14ac:dyDescent="0.25">
      <c r="A80" s="107" t="s">
        <v>496</v>
      </c>
      <c r="B80" s="140" t="s">
        <v>497</v>
      </c>
      <c r="C80" s="134">
        <f>SUM(C81:C83)</f>
        <v>117014961</v>
      </c>
      <c r="D80" s="57">
        <f>SUM(D81:D83)</f>
        <v>117014961</v>
      </c>
      <c r="E80" s="57" t="e">
        <f>SUM(#REF!)</f>
        <v>#REF!</v>
      </c>
      <c r="F80" s="57">
        <f>SUM(F81:F83)</f>
        <v>0</v>
      </c>
      <c r="G80" s="57">
        <f>SUM(G81:G83)</f>
        <v>49360848</v>
      </c>
      <c r="H80" s="104">
        <f>SUM(H83)</f>
        <v>67654113</v>
      </c>
      <c r="I80" s="263"/>
      <c r="J80" s="104">
        <f>SUM(J83)</f>
        <v>67654113</v>
      </c>
      <c r="K80" s="933"/>
      <c r="L80" s="457">
        <f t="shared" si="19"/>
        <v>1.7984223856139497E-3</v>
      </c>
      <c r="M80" s="907">
        <f t="shared" si="18"/>
        <v>1.7984223856139497E-3</v>
      </c>
      <c r="N80" s="914"/>
    </row>
    <row r="81" spans="1:14" hidden="1" x14ac:dyDescent="0.25">
      <c r="A81" s="905" t="s">
        <v>499</v>
      </c>
      <c r="B81" s="283" t="s">
        <v>498</v>
      </c>
      <c r="C81" s="135">
        <f>D81+H81</f>
        <v>0</v>
      </c>
      <c r="D81" s="60">
        <f>SUM(E81:G81)</f>
        <v>0</v>
      </c>
      <c r="E81" s="60"/>
      <c r="F81" s="60"/>
      <c r="G81" s="60"/>
      <c r="H81" s="104"/>
      <c r="I81" s="263"/>
      <c r="J81" s="104"/>
      <c r="K81" s="933"/>
      <c r="L81" s="457">
        <f t="shared" si="19"/>
        <v>0</v>
      </c>
      <c r="M81" s="913">
        <f t="shared" si="18"/>
        <v>0</v>
      </c>
      <c r="N81" s="914"/>
    </row>
    <row r="82" spans="1:14" hidden="1" x14ac:dyDescent="0.25">
      <c r="A82" s="905" t="s">
        <v>551</v>
      </c>
      <c r="B82" s="283" t="s">
        <v>565</v>
      </c>
      <c r="C82" s="135">
        <f>SUM(D82)</f>
        <v>0</v>
      </c>
      <c r="D82" s="539">
        <f>SUM(E82:G82)+J82</f>
        <v>0</v>
      </c>
      <c r="E82" s="60"/>
      <c r="F82" s="60"/>
      <c r="G82" s="60"/>
      <c r="H82" s="104"/>
      <c r="I82" s="263"/>
      <c r="J82" s="104"/>
      <c r="K82" s="933"/>
      <c r="L82" s="457">
        <f t="shared" si="19"/>
        <v>0</v>
      </c>
      <c r="M82" s="913">
        <f t="shared" si="18"/>
        <v>0</v>
      </c>
    </row>
    <row r="83" spans="1:14" x14ac:dyDescent="0.25">
      <c r="A83" s="905" t="s">
        <v>500</v>
      </c>
      <c r="B83" s="283" t="s">
        <v>501</v>
      </c>
      <c r="C83" s="111">
        <f>SUM(D83+I83)</f>
        <v>117014961</v>
      </c>
      <c r="D83" s="539">
        <f>SUM(E83:G83)+J83</f>
        <v>117014961</v>
      </c>
      <c r="E83" s="60"/>
      <c r="F83" s="60"/>
      <c r="G83" s="60">
        <f>49360848</f>
        <v>49360848</v>
      </c>
      <c r="H83" s="84">
        <f>SUM(I83:J83)</f>
        <v>67654113</v>
      </c>
      <c r="I83" s="263"/>
      <c r="J83" s="104">
        <v>67654113</v>
      </c>
      <c r="K83" s="933"/>
      <c r="L83" s="457">
        <f t="shared" si="19"/>
        <v>1.7984223856139497E-3</v>
      </c>
      <c r="M83" s="913">
        <f t="shared" si="18"/>
        <v>1.7984223856139497E-3</v>
      </c>
      <c r="N83" s="904"/>
    </row>
    <row r="84" spans="1:14" x14ac:dyDescent="0.25">
      <c r="A84" s="905"/>
      <c r="B84" s="283"/>
      <c r="C84" s="111"/>
      <c r="D84" s="60"/>
      <c r="E84" s="443"/>
      <c r="F84" s="443"/>
      <c r="G84" s="443"/>
      <c r="H84" s="167"/>
      <c r="I84" s="263"/>
      <c r="J84" s="104"/>
      <c r="K84" s="933"/>
      <c r="L84" s="457"/>
      <c r="M84" s="913"/>
      <c r="N84" s="904"/>
    </row>
    <row r="85" spans="1:14" hidden="1" x14ac:dyDescent="0.25">
      <c r="A85" s="905"/>
      <c r="B85" s="283"/>
      <c r="C85" s="111"/>
      <c r="D85" s="60"/>
      <c r="E85" s="263"/>
      <c r="F85" s="60"/>
      <c r="G85" s="60"/>
      <c r="H85" s="84"/>
      <c r="I85" s="263"/>
      <c r="J85" s="104"/>
      <c r="K85" s="933"/>
      <c r="L85" s="457"/>
      <c r="M85" s="913"/>
      <c r="N85" s="904"/>
    </row>
    <row r="86" spans="1:14" hidden="1" x14ac:dyDescent="0.25">
      <c r="A86" s="905"/>
      <c r="B86" s="283"/>
      <c r="C86" s="111"/>
      <c r="D86" s="60"/>
      <c r="E86" s="263"/>
      <c r="F86" s="60"/>
      <c r="G86" s="60"/>
      <c r="H86" s="84"/>
      <c r="I86" s="263"/>
      <c r="J86" s="104"/>
      <c r="K86" s="933"/>
      <c r="L86" s="457"/>
      <c r="M86" s="913"/>
      <c r="N86" s="904"/>
    </row>
    <row r="87" spans="1:14" hidden="1" x14ac:dyDescent="0.25">
      <c r="A87" s="905"/>
      <c r="B87" s="283"/>
      <c r="C87" s="111"/>
      <c r="D87" s="60"/>
      <c r="E87" s="263"/>
      <c r="F87" s="60"/>
      <c r="G87" s="60"/>
      <c r="H87" s="84"/>
      <c r="I87" s="263"/>
      <c r="J87" s="104"/>
      <c r="K87" s="933"/>
      <c r="L87" s="457"/>
      <c r="M87" s="913"/>
      <c r="N87" s="904"/>
    </row>
    <row r="88" spans="1:14" hidden="1" x14ac:dyDescent="0.25">
      <c r="A88" s="924"/>
      <c r="B88" s="935"/>
      <c r="C88" s="156"/>
      <c r="D88" s="157"/>
      <c r="E88" s="936"/>
      <c r="F88" s="937"/>
      <c r="G88" s="937"/>
      <c r="H88" s="158"/>
      <c r="I88" s="265"/>
      <c r="J88" s="158"/>
      <c r="K88" s="933"/>
      <c r="L88" s="457"/>
      <c r="M88" s="913"/>
    </row>
    <row r="89" spans="1:14" hidden="1" x14ac:dyDescent="0.25">
      <c r="A89" s="905"/>
      <c r="B89" s="283"/>
      <c r="C89" s="89"/>
      <c r="D89" s="55"/>
      <c r="E89" s="921"/>
      <c r="F89" s="919"/>
      <c r="G89" s="919"/>
      <c r="H89" s="104"/>
      <c r="I89" s="263"/>
      <c r="J89" s="104"/>
      <c r="K89" s="933"/>
      <c r="L89" s="457"/>
      <c r="M89" s="913"/>
    </row>
    <row r="90" spans="1:14" ht="13.8" hidden="1" thickBot="1" x14ac:dyDescent="0.3">
      <c r="A90" s="928"/>
      <c r="B90" s="929"/>
      <c r="C90" s="136"/>
      <c r="D90" s="149"/>
      <c r="E90" s="938"/>
      <c r="F90" s="939"/>
      <c r="G90" s="939"/>
      <c r="H90" s="105"/>
      <c r="I90" s="264"/>
      <c r="J90" s="105"/>
      <c r="K90" s="933"/>
      <c r="L90" s="457"/>
      <c r="M90" s="913"/>
    </row>
    <row r="91" spans="1:14" hidden="1" x14ac:dyDescent="0.25">
      <c r="A91" s="940"/>
      <c r="B91" s="941"/>
      <c r="C91" s="161"/>
      <c r="D91" s="162"/>
      <c r="E91" s="942"/>
      <c r="F91" s="943"/>
      <c r="G91" s="943"/>
      <c r="H91" s="163"/>
      <c r="I91" s="266"/>
      <c r="J91" s="163"/>
      <c r="K91" s="933"/>
      <c r="L91" s="457"/>
      <c r="M91" s="913"/>
    </row>
    <row r="92" spans="1:14" x14ac:dyDescent="0.25">
      <c r="A92" s="905"/>
      <c r="B92" s="140" t="s">
        <v>537</v>
      </c>
      <c r="C92" s="376">
        <f>SUM(C93+C121)</f>
        <v>45493170837</v>
      </c>
      <c r="D92" s="55">
        <f t="shared" ref="D92:K92" si="21">+D93+D121</f>
        <v>18119898616</v>
      </c>
      <c r="E92" s="79">
        <f t="shared" si="21"/>
        <v>3945780927</v>
      </c>
      <c r="F92" s="55">
        <f t="shared" si="21"/>
        <v>0</v>
      </c>
      <c r="G92" s="55">
        <f t="shared" si="21"/>
        <v>5889412041</v>
      </c>
      <c r="H92" s="91">
        <f t="shared" si="21"/>
        <v>35657977869</v>
      </c>
      <c r="I92" s="79">
        <f t="shared" si="21"/>
        <v>27373272221</v>
      </c>
      <c r="J92" s="164">
        <f t="shared" si="21"/>
        <v>8284705648</v>
      </c>
      <c r="K92" s="90">
        <f t="shared" si="21"/>
        <v>0</v>
      </c>
      <c r="L92" s="457"/>
      <c r="M92" s="913">
        <f t="shared" si="18"/>
        <v>0.69919210438245161</v>
      </c>
    </row>
    <row r="93" spans="1:14" x14ac:dyDescent="0.25">
      <c r="A93" s="106" t="s">
        <v>426</v>
      </c>
      <c r="B93" s="140" t="s">
        <v>427</v>
      </c>
      <c r="C93" s="109">
        <f>SUM(C94+C100+C112)</f>
        <v>21768629677</v>
      </c>
      <c r="D93" s="62">
        <f>D94+D100+D112</f>
        <v>5945890586</v>
      </c>
      <c r="E93" s="250">
        <f>E94+E100+E112</f>
        <v>306462927</v>
      </c>
      <c r="F93" s="62">
        <f>F94+F100+F112</f>
        <v>0</v>
      </c>
      <c r="G93" s="62">
        <f>G94+G100+G112</f>
        <v>2256722011</v>
      </c>
      <c r="H93" s="276">
        <f>H100+H112</f>
        <v>19205444739</v>
      </c>
      <c r="I93" s="268">
        <f>I100</f>
        <v>15822739091</v>
      </c>
      <c r="J93" s="165">
        <f>SUM(J100+J112)</f>
        <v>3382705648</v>
      </c>
      <c r="K93" s="454">
        <f>K96+K100+K143</f>
        <v>0</v>
      </c>
      <c r="L93" s="457">
        <f t="shared" ref="L93:L98" si="22">C93/$C$6</f>
        <v>0.3345656878461632</v>
      </c>
      <c r="M93" s="913">
        <f t="shared" si="18"/>
        <v>0.3345656878461632</v>
      </c>
    </row>
    <row r="94" spans="1:14" x14ac:dyDescent="0.25">
      <c r="A94" s="107" t="s">
        <v>428</v>
      </c>
      <c r="B94" s="140" t="s">
        <v>429</v>
      </c>
      <c r="C94" s="89">
        <f>D94+H94</f>
        <v>1143717011</v>
      </c>
      <c r="D94" s="50">
        <f t="shared" ref="D94:K94" si="23">D96</f>
        <v>1143717011</v>
      </c>
      <c r="E94" s="80">
        <f t="shared" si="23"/>
        <v>0</v>
      </c>
      <c r="F94" s="50">
        <f t="shared" si="23"/>
        <v>0</v>
      </c>
      <c r="G94" s="50">
        <f t="shared" si="23"/>
        <v>1143717011</v>
      </c>
      <c r="H94" s="83">
        <f t="shared" si="23"/>
        <v>0</v>
      </c>
      <c r="I94" s="260">
        <f>I96</f>
        <v>0</v>
      </c>
      <c r="J94" s="166">
        <f>J96</f>
        <v>0</v>
      </c>
      <c r="K94" s="452">
        <f t="shared" si="23"/>
        <v>0</v>
      </c>
      <c r="L94" s="462">
        <f t="shared" si="22"/>
        <v>1.7577976848532007E-2</v>
      </c>
      <c r="M94" s="913">
        <f t="shared" si="18"/>
        <v>1.7577976848532007E-2</v>
      </c>
      <c r="N94" s="914"/>
    </row>
    <row r="95" spans="1:14" x14ac:dyDescent="0.25">
      <c r="A95" s="944"/>
      <c r="B95" s="287"/>
      <c r="C95" s="89"/>
      <c r="D95" s="539"/>
      <c r="F95" s="539"/>
      <c r="G95" s="539"/>
      <c r="H95" s="84"/>
      <c r="J95" s="167"/>
      <c r="K95" s="908"/>
      <c r="L95" s="457"/>
      <c r="M95" s="913"/>
      <c r="N95" s="904"/>
    </row>
    <row r="96" spans="1:14" x14ac:dyDescent="0.25">
      <c r="A96" s="905" t="s">
        <v>430</v>
      </c>
      <c r="B96" s="140" t="s">
        <v>431</v>
      </c>
      <c r="C96" s="917">
        <f>D96+H96</f>
        <v>1143717011</v>
      </c>
      <c r="D96" s="539">
        <f>D97+D98</f>
        <v>1143717011</v>
      </c>
      <c r="E96" s="298">
        <f>E97+E98</f>
        <v>0</v>
      </c>
      <c r="F96" s="539">
        <f>F97+F98</f>
        <v>0</v>
      </c>
      <c r="G96" s="539">
        <f>G97+G98</f>
        <v>1143717011</v>
      </c>
      <c r="H96" s="84">
        <f>H97</f>
        <v>0</v>
      </c>
      <c r="I96" s="68">
        <f>I97</f>
        <v>0</v>
      </c>
      <c r="J96" s="167">
        <f>J97</f>
        <v>0</v>
      </c>
      <c r="K96" s="908">
        <f>K97</f>
        <v>0</v>
      </c>
      <c r="L96" s="457">
        <f t="shared" si="22"/>
        <v>1.7577976848532007E-2</v>
      </c>
      <c r="M96" s="913">
        <f t="shared" si="18"/>
        <v>1.7577976848532007E-2</v>
      </c>
    </row>
    <row r="97" spans="1:14" x14ac:dyDescent="0.25">
      <c r="A97" s="905" t="s">
        <v>432</v>
      </c>
      <c r="B97" s="283" t="s">
        <v>502</v>
      </c>
      <c r="C97" s="111">
        <f>SUM(D97+I97)</f>
        <v>1143717011</v>
      </c>
      <c r="D97" s="539">
        <f>SUM(E97:G97)+J97</f>
        <v>1143717011</v>
      </c>
      <c r="F97" s="539"/>
      <c r="G97" s="52">
        <v>1143717011</v>
      </c>
      <c r="H97" s="84">
        <v>0</v>
      </c>
      <c r="I97" s="68">
        <v>0</v>
      </c>
      <c r="J97" s="167">
        <v>0</v>
      </c>
      <c r="K97" s="908">
        <v>0</v>
      </c>
      <c r="L97" s="462">
        <f t="shared" si="22"/>
        <v>1.7577976848532007E-2</v>
      </c>
      <c r="M97" s="913">
        <f t="shared" si="18"/>
        <v>1.7577976848532007E-2</v>
      </c>
      <c r="N97" s="914"/>
    </row>
    <row r="98" spans="1:14" hidden="1" x14ac:dyDescent="0.25">
      <c r="A98" s="905" t="s">
        <v>503</v>
      </c>
      <c r="B98" s="283" t="s">
        <v>504</v>
      </c>
      <c r="C98" s="917"/>
      <c r="D98" s="539">
        <f>SUM(E98:G98)</f>
        <v>0</v>
      </c>
      <c r="F98" s="539"/>
      <c r="G98" s="539"/>
      <c r="H98" s="84"/>
      <c r="J98" s="167"/>
      <c r="K98" s="908"/>
      <c r="L98" s="457">
        <f t="shared" si="22"/>
        <v>0</v>
      </c>
      <c r="M98" s="913">
        <f t="shared" si="18"/>
        <v>0</v>
      </c>
    </row>
    <row r="99" spans="1:14" x14ac:dyDescent="0.25">
      <c r="A99" s="107"/>
      <c r="B99" s="140"/>
      <c r="C99" s="89"/>
      <c r="D99" s="539"/>
      <c r="F99" s="539"/>
      <c r="G99" s="539"/>
      <c r="H99" s="84"/>
      <c r="J99" s="167"/>
      <c r="K99" s="908"/>
      <c r="L99" s="457"/>
      <c r="M99" s="913"/>
      <c r="N99" s="904"/>
    </row>
    <row r="100" spans="1:14" x14ac:dyDescent="0.25">
      <c r="A100" s="107" t="s">
        <v>433</v>
      </c>
      <c r="B100" s="140" t="s">
        <v>434</v>
      </c>
      <c r="C100" s="89">
        <f>+C101</f>
        <v>16129202018</v>
      </c>
      <c r="D100" s="50">
        <f t="shared" ref="D100:K100" si="24">D101</f>
        <v>306462927</v>
      </c>
      <c r="E100" s="80">
        <f t="shared" si="24"/>
        <v>306462927</v>
      </c>
      <c r="F100" s="50">
        <f t="shared" si="24"/>
        <v>0</v>
      </c>
      <c r="G100" s="50">
        <f t="shared" si="24"/>
        <v>0</v>
      </c>
      <c r="H100" s="83">
        <f t="shared" si="24"/>
        <v>15822739091</v>
      </c>
      <c r="I100" s="260">
        <f t="shared" si="24"/>
        <v>15822739091</v>
      </c>
      <c r="J100" s="166">
        <f t="shared" si="24"/>
        <v>0</v>
      </c>
      <c r="K100" s="452">
        <f t="shared" si="24"/>
        <v>0</v>
      </c>
      <c r="L100" s="457">
        <f>C100/$C$6</f>
        <v>0.24789238678001943</v>
      </c>
      <c r="M100" s="907">
        <f t="shared" si="18"/>
        <v>0.24789238678001943</v>
      </c>
    </row>
    <row r="101" spans="1:14" x14ac:dyDescent="0.25">
      <c r="A101" s="905" t="s">
        <v>435</v>
      </c>
      <c r="B101" s="283" t="s">
        <v>436</v>
      </c>
      <c r="C101" s="89">
        <f>SUM(C102+C110)</f>
        <v>16129202018</v>
      </c>
      <c r="D101" s="50">
        <f>SUM(D102)</f>
        <v>306462927</v>
      </c>
      <c r="E101" s="80">
        <f>SUM(E102)</f>
        <v>306462927</v>
      </c>
      <c r="F101" s="50">
        <f>SUM(F103:F105)</f>
        <v>0</v>
      </c>
      <c r="G101" s="50">
        <f>SUM(G102:G107)</f>
        <v>0</v>
      </c>
      <c r="H101" s="84">
        <f>+H102</f>
        <v>15822739091</v>
      </c>
      <c r="I101" s="68">
        <f>+I102</f>
        <v>15822739091</v>
      </c>
      <c r="J101" s="167">
        <f>+J102</f>
        <v>0</v>
      </c>
      <c r="K101" s="452">
        <f>SUM(K103:K104)</f>
        <v>0</v>
      </c>
      <c r="L101" s="457">
        <f>C101/$C$6</f>
        <v>0.24789238678001943</v>
      </c>
      <c r="M101" s="907">
        <f t="shared" si="18"/>
        <v>0.24789238678001943</v>
      </c>
      <c r="N101" s="904"/>
    </row>
    <row r="102" spans="1:14" x14ac:dyDescent="0.25">
      <c r="A102" s="905" t="s">
        <v>505</v>
      </c>
      <c r="B102" s="283" t="s">
        <v>506</v>
      </c>
      <c r="C102" s="89">
        <f>SUM(C103:C108)</f>
        <v>306462927</v>
      </c>
      <c r="D102" s="50">
        <f>SUM(D103:D108)</f>
        <v>306462927</v>
      </c>
      <c r="E102" s="298">
        <f>SUM(E103:E108)</f>
        <v>306462927</v>
      </c>
      <c r="F102" s="539"/>
      <c r="G102" s="539"/>
      <c r="H102" s="84">
        <f>SUM(H103:H110)</f>
        <v>15822739091</v>
      </c>
      <c r="I102" s="68">
        <f>SUM(I103:I110)</f>
        <v>15822739091</v>
      </c>
      <c r="J102" s="167">
        <f>SUM(J103:J110)</f>
        <v>0</v>
      </c>
      <c r="K102" s="908"/>
      <c r="L102" s="457">
        <f t="shared" ref="L102:L110" si="25">C102/$C$6</f>
        <v>4.7100796647496527E-3</v>
      </c>
      <c r="M102" s="913">
        <f t="shared" si="18"/>
        <v>4.7100796647496527E-3</v>
      </c>
    </row>
    <row r="103" spans="1:14" x14ac:dyDescent="0.25">
      <c r="A103" s="905"/>
      <c r="B103" s="287" t="s">
        <v>437</v>
      </c>
      <c r="C103" s="111">
        <f>SUM(D103+I103)</f>
        <v>229935460</v>
      </c>
      <c r="D103" s="539">
        <f>SUM(E103:G103)+J103</f>
        <v>229935460</v>
      </c>
      <c r="E103" s="298">
        <f>206150067+15263564+8521829</f>
        <v>229935460</v>
      </c>
      <c r="F103" s="539"/>
      <c r="G103" s="539"/>
      <c r="H103" s="84">
        <v>0</v>
      </c>
      <c r="I103" s="68">
        <v>0</v>
      </c>
      <c r="J103" s="167">
        <v>0</v>
      </c>
      <c r="K103" s="908">
        <v>0</v>
      </c>
      <c r="L103" s="462">
        <f t="shared" si="25"/>
        <v>3.5339163041761888E-3</v>
      </c>
      <c r="M103" s="913">
        <f t="shared" si="18"/>
        <v>3.5339163041761888E-3</v>
      </c>
      <c r="N103" s="904"/>
    </row>
    <row r="104" spans="1:14" hidden="1" x14ac:dyDescent="0.25">
      <c r="A104" s="905"/>
      <c r="B104" s="287" t="s">
        <v>438</v>
      </c>
      <c r="C104" s="111">
        <f>SUM(D104+I104)</f>
        <v>0</v>
      </c>
      <c r="D104" s="539">
        <f>SUM(E104:G104)+J104</f>
        <v>0</v>
      </c>
      <c r="E104" s="298">
        <v>0</v>
      </c>
      <c r="F104" s="539">
        <v>0</v>
      </c>
      <c r="G104" s="539">
        <v>0</v>
      </c>
      <c r="H104" s="84">
        <v>0</v>
      </c>
      <c r="I104" s="68">
        <v>0</v>
      </c>
      <c r="J104" s="167">
        <v>0</v>
      </c>
      <c r="K104" s="908">
        <v>0</v>
      </c>
      <c r="L104" s="462">
        <f t="shared" si="25"/>
        <v>0</v>
      </c>
      <c r="M104" s="913">
        <f t="shared" si="18"/>
        <v>0</v>
      </c>
    </row>
    <row r="105" spans="1:14" ht="13.5" customHeight="1" x14ac:dyDescent="0.25">
      <c r="A105" s="905"/>
      <c r="B105" s="287" t="s">
        <v>507</v>
      </c>
      <c r="C105" s="111">
        <f>SUM(D105+I105)</f>
        <v>58563827</v>
      </c>
      <c r="D105" s="539">
        <f>SUM(E105:G105)+J105</f>
        <v>58563827</v>
      </c>
      <c r="E105" s="298">
        <v>58563827</v>
      </c>
      <c r="F105" s="539"/>
      <c r="G105" s="539">
        <v>0</v>
      </c>
      <c r="H105" s="84">
        <v>0</v>
      </c>
      <c r="I105" s="68">
        <v>0</v>
      </c>
      <c r="J105" s="167">
        <v>0</v>
      </c>
      <c r="K105" s="908">
        <v>0</v>
      </c>
      <c r="L105" s="462">
        <f t="shared" si="25"/>
        <v>9.0007719153128323E-4</v>
      </c>
      <c r="M105" s="913">
        <f t="shared" si="18"/>
        <v>9.0007719153128323E-4</v>
      </c>
      <c r="N105" s="904"/>
    </row>
    <row r="106" spans="1:14" ht="13.5" hidden="1" customHeight="1" x14ac:dyDescent="0.25">
      <c r="A106" s="905"/>
      <c r="B106" s="287" t="s">
        <v>784</v>
      </c>
      <c r="C106" s="111">
        <f t="shared" ref="C106:C108" si="26">SUM(D106+I106)</f>
        <v>0</v>
      </c>
      <c r="D106" s="539">
        <f t="shared" ref="D106:D108" si="27">SUM(E106:G106)+J106</f>
        <v>0</v>
      </c>
      <c r="E106" s="298">
        <v>0</v>
      </c>
      <c r="F106" s="539"/>
      <c r="G106" s="539"/>
      <c r="H106" s="84"/>
      <c r="J106" s="167"/>
      <c r="K106" s="908"/>
      <c r="L106" s="462">
        <f t="shared" si="25"/>
        <v>0</v>
      </c>
      <c r="M106" s="913">
        <f t="shared" si="18"/>
        <v>0</v>
      </c>
    </row>
    <row r="107" spans="1:14" ht="13.5" hidden="1" customHeight="1" x14ac:dyDescent="0.25">
      <c r="A107" s="905"/>
      <c r="B107" s="287" t="s">
        <v>785</v>
      </c>
      <c r="C107" s="111">
        <f t="shared" si="26"/>
        <v>0</v>
      </c>
      <c r="D107" s="539">
        <f t="shared" si="27"/>
        <v>0</v>
      </c>
      <c r="E107" s="298">
        <v>0</v>
      </c>
      <c r="F107" s="539"/>
      <c r="G107" s="539"/>
      <c r="H107" s="84"/>
      <c r="J107" s="167"/>
      <c r="K107" s="908"/>
      <c r="L107" s="462">
        <f t="shared" si="25"/>
        <v>0</v>
      </c>
      <c r="M107" s="913">
        <f t="shared" si="18"/>
        <v>0</v>
      </c>
    </row>
    <row r="108" spans="1:14" ht="13.5" customHeight="1" x14ac:dyDescent="0.25">
      <c r="A108" s="905"/>
      <c r="B108" s="287" t="s">
        <v>786</v>
      </c>
      <c r="C108" s="111">
        <f t="shared" si="26"/>
        <v>17963640</v>
      </c>
      <c r="D108" s="539">
        <f t="shared" si="27"/>
        <v>17963640</v>
      </c>
      <c r="E108" s="298">
        <v>17963640</v>
      </c>
      <c r="F108" s="539"/>
      <c r="G108" s="539"/>
      <c r="H108" s="84"/>
      <c r="J108" s="167"/>
      <c r="K108" s="908"/>
      <c r="L108" s="462"/>
      <c r="M108" s="913">
        <f t="shared" si="18"/>
        <v>2.7608616904218058E-4</v>
      </c>
      <c r="N108" s="904"/>
    </row>
    <row r="109" spans="1:14" ht="13.5" customHeight="1" x14ac:dyDescent="0.25">
      <c r="A109" s="905"/>
      <c r="B109" s="287"/>
      <c r="C109" s="917"/>
      <c r="D109" s="539"/>
      <c r="F109" s="539"/>
      <c r="G109" s="539"/>
      <c r="H109" s="84"/>
      <c r="J109" s="167"/>
      <c r="K109" s="908"/>
      <c r="L109" s="462"/>
      <c r="M109" s="913"/>
      <c r="N109" s="904"/>
    </row>
    <row r="110" spans="1:14" ht="13.5" customHeight="1" x14ac:dyDescent="0.25">
      <c r="A110" s="905" t="s">
        <v>508</v>
      </c>
      <c r="B110" s="283" t="s">
        <v>768</v>
      </c>
      <c r="C110" s="111">
        <f>SUM(D110+I110)</f>
        <v>15822739091</v>
      </c>
      <c r="D110" s="539"/>
      <c r="F110" s="539"/>
      <c r="G110" s="539"/>
      <c r="H110" s="84">
        <f>SUM(I110:J110)</f>
        <v>15822739091</v>
      </c>
      <c r="I110" s="68">
        <f>17285020168-1462281077</f>
        <v>15822739091</v>
      </c>
      <c r="J110" s="167"/>
      <c r="K110" s="908"/>
      <c r="L110" s="462">
        <f t="shared" si="25"/>
        <v>0.24318230711526978</v>
      </c>
      <c r="M110" s="913">
        <f t="shared" si="18"/>
        <v>0.24318230711526978</v>
      </c>
      <c r="N110" s="904"/>
    </row>
    <row r="111" spans="1:14" ht="13.5" customHeight="1" x14ac:dyDescent="0.25">
      <c r="A111" s="905"/>
      <c r="B111" s="287"/>
      <c r="C111" s="917"/>
      <c r="D111" s="539"/>
      <c r="F111" s="539"/>
      <c r="G111" s="539"/>
      <c r="H111" s="84"/>
      <c r="J111" s="167"/>
      <c r="K111" s="908"/>
      <c r="L111" s="457"/>
      <c r="M111" s="913"/>
    </row>
    <row r="112" spans="1:14" s="946" customFormat="1" x14ac:dyDescent="0.25">
      <c r="A112" s="107" t="s">
        <v>449</v>
      </c>
      <c r="B112" s="140" t="s">
        <v>348</v>
      </c>
      <c r="C112" s="89">
        <f>D112+I112</f>
        <v>4495710648</v>
      </c>
      <c r="D112" s="63">
        <f>SUM(D113)</f>
        <v>4495710648</v>
      </c>
      <c r="E112" s="251">
        <f>E113</f>
        <v>0</v>
      </c>
      <c r="F112" s="63">
        <f>F113</f>
        <v>0</v>
      </c>
      <c r="G112" s="63">
        <f>G113</f>
        <v>1113005000</v>
      </c>
      <c r="H112" s="277">
        <f>H113</f>
        <v>3382705648</v>
      </c>
      <c r="I112" s="269">
        <v>0</v>
      </c>
      <c r="J112" s="168">
        <f>SUM(J113)</f>
        <v>3382705648</v>
      </c>
      <c r="K112" s="455">
        <v>0</v>
      </c>
      <c r="L112" s="457">
        <f>C112/$C$6</f>
        <v>6.9095324217611762E-2</v>
      </c>
      <c r="M112" s="907">
        <f t="shared" si="18"/>
        <v>6.9095324217611762E-2</v>
      </c>
      <c r="N112" s="945"/>
    </row>
    <row r="113" spans="1:14" s="946" customFormat="1" x14ac:dyDescent="0.25">
      <c r="A113" s="107" t="s">
        <v>450</v>
      </c>
      <c r="B113" s="140" t="s">
        <v>451</v>
      </c>
      <c r="C113" s="89">
        <f>SUM(C115)</f>
        <v>4495710648</v>
      </c>
      <c r="D113" s="63">
        <f>SUM(D114:D115)</f>
        <v>4495710648</v>
      </c>
      <c r="E113" s="251">
        <f>E115</f>
        <v>0</v>
      </c>
      <c r="F113" s="63">
        <f>F115</f>
        <v>0</v>
      </c>
      <c r="G113" s="63">
        <f>SUM(G114:G115)</f>
        <v>1113005000</v>
      </c>
      <c r="H113" s="277">
        <f>SUM(H114:H115)</f>
        <v>3382705648</v>
      </c>
      <c r="I113" s="269">
        <v>0</v>
      </c>
      <c r="J113" s="168">
        <f>SUM(J115)</f>
        <v>3382705648</v>
      </c>
      <c r="K113" s="455">
        <v>0</v>
      </c>
      <c r="L113" s="457">
        <f>C113/$C$6</f>
        <v>6.9095324217611762E-2</v>
      </c>
      <c r="M113" s="907">
        <f t="shared" si="18"/>
        <v>6.9095324217611762E-2</v>
      </c>
      <c r="N113" s="947"/>
    </row>
    <row r="114" spans="1:14" hidden="1" x14ac:dyDescent="0.25">
      <c r="A114" s="905" t="s">
        <v>509</v>
      </c>
      <c r="B114" s="283" t="s">
        <v>510</v>
      </c>
      <c r="C114" s="917">
        <f>D114+H114</f>
        <v>0</v>
      </c>
      <c r="D114" s="512">
        <f>SUM(E114:G114)</f>
        <v>0</v>
      </c>
      <c r="E114" s="948"/>
      <c r="F114" s="512">
        <v>0</v>
      </c>
      <c r="G114" s="512">
        <v>0</v>
      </c>
      <c r="H114" s="511">
        <v>0</v>
      </c>
      <c r="I114" s="270"/>
      <c r="J114" s="169"/>
      <c r="K114" s="949"/>
      <c r="L114" s="457">
        <f>C114/$C$6</f>
        <v>0</v>
      </c>
      <c r="M114" s="913">
        <f t="shared" si="18"/>
        <v>0</v>
      </c>
      <c r="N114" s="914"/>
    </row>
    <row r="115" spans="1:14" s="946" customFormat="1" x14ac:dyDescent="0.25">
      <c r="A115" s="905" t="s">
        <v>509</v>
      </c>
      <c r="B115" s="283" t="s">
        <v>511</v>
      </c>
      <c r="C115" s="111">
        <f>SUM(D115+I115)</f>
        <v>4495710648</v>
      </c>
      <c r="D115" s="539">
        <f>SUM(E115:G115)+J115</f>
        <v>4495710648</v>
      </c>
      <c r="E115" s="948"/>
      <c r="F115" s="512">
        <v>0</v>
      </c>
      <c r="G115" s="512">
        <v>1113005000</v>
      </c>
      <c r="H115" s="511">
        <f>SUM(I115:J115)</f>
        <v>3382705648</v>
      </c>
      <c r="I115" s="269">
        <v>0</v>
      </c>
      <c r="J115" s="168">
        <v>3382705648</v>
      </c>
      <c r="K115" s="455">
        <v>0</v>
      </c>
      <c r="L115" s="462">
        <f>C115/$C$6</f>
        <v>6.9095324217611762E-2</v>
      </c>
      <c r="M115" s="913">
        <f t="shared" si="18"/>
        <v>6.9095324217611762E-2</v>
      </c>
      <c r="N115" s="947"/>
    </row>
    <row r="116" spans="1:14" ht="13.5" customHeight="1" x14ac:dyDescent="0.25">
      <c r="A116" s="905"/>
      <c r="B116" s="287"/>
      <c r="C116" s="917"/>
      <c r="D116" s="539"/>
      <c r="F116" s="539">
        <f>+F113+F114</f>
        <v>0</v>
      </c>
      <c r="G116" s="539"/>
      <c r="H116" s="84"/>
      <c r="J116" s="167"/>
      <c r="K116" s="908"/>
      <c r="L116" s="457"/>
      <c r="M116" s="913"/>
    </row>
    <row r="117" spans="1:14" ht="13.5" hidden="1" customHeight="1" x14ac:dyDescent="0.25">
      <c r="A117" s="905"/>
      <c r="B117" s="287"/>
      <c r="C117" s="917"/>
      <c r="D117" s="539"/>
      <c r="F117" s="539"/>
      <c r="G117" s="539"/>
      <c r="H117" s="84"/>
      <c r="J117" s="167"/>
      <c r="K117" s="908"/>
      <c r="L117" s="457"/>
      <c r="M117" s="913">
        <f t="shared" si="18"/>
        <v>0</v>
      </c>
    </row>
    <row r="118" spans="1:14" ht="12.75" hidden="1" customHeight="1" x14ac:dyDescent="0.25">
      <c r="A118" s="905"/>
      <c r="B118" s="287"/>
      <c r="C118" s="917"/>
      <c r="D118" s="539"/>
      <c r="F118" s="539"/>
      <c r="G118" s="539"/>
      <c r="H118" s="84"/>
      <c r="J118" s="167"/>
      <c r="K118" s="908"/>
      <c r="L118" s="457"/>
      <c r="M118" s="913">
        <f t="shared" si="18"/>
        <v>0</v>
      </c>
    </row>
    <row r="119" spans="1:14" hidden="1" x14ac:dyDescent="0.25">
      <c r="A119" s="924"/>
      <c r="B119" s="935"/>
      <c r="C119" s="137" t="s">
        <v>0</v>
      </c>
      <c r="D119" s="926"/>
      <c r="E119" s="950"/>
      <c r="F119" s="926"/>
      <c r="G119" s="926"/>
      <c r="H119" s="86"/>
      <c r="I119" s="261"/>
      <c r="J119" s="170"/>
      <c r="K119" s="927"/>
      <c r="L119" s="460"/>
      <c r="M119" s="913" t="e">
        <f t="shared" si="18"/>
        <v>#VALUE!</v>
      </c>
    </row>
    <row r="120" spans="1:14" hidden="1" x14ac:dyDescent="0.25">
      <c r="A120" s="905"/>
      <c r="B120" s="283"/>
      <c r="C120" s="92"/>
      <c r="D120" s="61"/>
      <c r="E120" s="249">
        <f>E121/C121</f>
        <v>0.15339887821038053</v>
      </c>
      <c r="F120" s="61"/>
      <c r="G120" s="61"/>
      <c r="H120" s="275">
        <f>H121/C121</f>
        <v>0.69348161547331688</v>
      </c>
      <c r="I120" s="267">
        <f>I121/D121</f>
        <v>0.94878638994950626</v>
      </c>
      <c r="J120" s="171">
        <f>J121/E121</f>
        <v>1.3469556658692645</v>
      </c>
      <c r="K120" s="92">
        <f>K121/H121</f>
        <v>0</v>
      </c>
      <c r="L120" s="457">
        <f>C120/$C$6</f>
        <v>0</v>
      </c>
      <c r="M120" s="913">
        <f t="shared" si="18"/>
        <v>0</v>
      </c>
    </row>
    <row r="121" spans="1:14" x14ac:dyDescent="0.25">
      <c r="A121" s="107" t="s">
        <v>439</v>
      </c>
      <c r="B121" s="142" t="s">
        <v>440</v>
      </c>
      <c r="C121" s="109">
        <f>SUM(C122+C142)</f>
        <v>23724541160</v>
      </c>
      <c r="D121" s="53">
        <f t="shared" ref="D121:K121" si="28">D122</f>
        <v>12174008030</v>
      </c>
      <c r="E121" s="81">
        <f t="shared" si="28"/>
        <v>3639318000</v>
      </c>
      <c r="F121" s="53">
        <f t="shared" si="28"/>
        <v>0</v>
      </c>
      <c r="G121" s="66">
        <f t="shared" si="28"/>
        <v>3632690030</v>
      </c>
      <c r="H121" s="278">
        <f t="shared" si="28"/>
        <v>16452533130</v>
      </c>
      <c r="I121" s="271">
        <f t="shared" si="28"/>
        <v>11550533130</v>
      </c>
      <c r="J121" s="172">
        <f t="shared" si="28"/>
        <v>4902000000</v>
      </c>
      <c r="K121" s="109">
        <f t="shared" si="28"/>
        <v>0</v>
      </c>
      <c r="L121" s="457">
        <f t="shared" ref="L121:L140" si="29">C121/$C$6</f>
        <v>0.36462641653628836</v>
      </c>
      <c r="M121" s="907">
        <f t="shared" si="18"/>
        <v>0.36462641653628836</v>
      </c>
      <c r="N121" s="918"/>
    </row>
    <row r="122" spans="1:14" x14ac:dyDescent="0.25">
      <c r="A122" s="107" t="s">
        <v>441</v>
      </c>
      <c r="B122" s="140" t="s">
        <v>442</v>
      </c>
      <c r="C122" s="89">
        <f>SUM(C123)</f>
        <v>11550533130</v>
      </c>
      <c r="D122" s="54">
        <f>SUM(D123+D142)</f>
        <v>12174008030</v>
      </c>
      <c r="E122" s="82">
        <f>E142</f>
        <v>3639318000</v>
      </c>
      <c r="F122" s="54">
        <f>F142</f>
        <v>0</v>
      </c>
      <c r="G122" s="59">
        <f>G123+G142</f>
        <v>3632690030</v>
      </c>
      <c r="H122" s="87">
        <f>H123+H142</f>
        <v>16452533130</v>
      </c>
      <c r="I122" s="134">
        <f>I123+I142</f>
        <v>11550533130</v>
      </c>
      <c r="J122" s="173">
        <f>J123+J142</f>
        <v>4902000000</v>
      </c>
      <c r="K122" s="89"/>
      <c r="L122" s="462">
        <f t="shared" si="29"/>
        <v>0.17752206358268632</v>
      </c>
      <c r="M122" s="907">
        <f t="shared" si="18"/>
        <v>0.17752206358268632</v>
      </c>
    </row>
    <row r="123" spans="1:14" ht="14.25" customHeight="1" x14ac:dyDescent="0.25">
      <c r="A123" s="107" t="s">
        <v>443</v>
      </c>
      <c r="B123" s="140" t="s">
        <v>444</v>
      </c>
      <c r="C123" s="89">
        <f>SUM(C140)</f>
        <v>11550533130</v>
      </c>
      <c r="D123" s="54">
        <f>SUM(D124:D125)</f>
        <v>0</v>
      </c>
      <c r="E123" s="82">
        <v>0</v>
      </c>
      <c r="F123" s="54">
        <v>0</v>
      </c>
      <c r="G123" s="59">
        <f>SUM(G124:G125)</f>
        <v>0</v>
      </c>
      <c r="H123" s="87">
        <f>H125</f>
        <v>11550533130</v>
      </c>
      <c r="I123" s="134">
        <f>I125</f>
        <v>11550533130</v>
      </c>
      <c r="J123" s="173">
        <f>J125</f>
        <v>0</v>
      </c>
      <c r="K123" s="89"/>
      <c r="L123" s="462">
        <f t="shared" si="29"/>
        <v>0.17752206358268632</v>
      </c>
      <c r="M123" s="907">
        <f t="shared" si="18"/>
        <v>0.17752206358268632</v>
      </c>
      <c r="N123" s="918"/>
    </row>
    <row r="124" spans="1:14" ht="12.75" hidden="1" customHeight="1" x14ac:dyDescent="0.25">
      <c r="A124" s="905" t="s">
        <v>445</v>
      </c>
      <c r="B124" s="283" t="s">
        <v>446</v>
      </c>
      <c r="C124" s="917">
        <f>D124+H124+K124</f>
        <v>0</v>
      </c>
      <c r="D124" s="916">
        <f>SUM(E124:G124)/1000</f>
        <v>0</v>
      </c>
      <c r="E124" s="915">
        <v>0</v>
      </c>
      <c r="F124" s="916">
        <v>0</v>
      </c>
      <c r="G124" s="59"/>
      <c r="H124" s="87"/>
      <c r="I124" s="134"/>
      <c r="J124" s="173"/>
      <c r="K124" s="89"/>
      <c r="L124" s="462">
        <f t="shared" si="29"/>
        <v>0</v>
      </c>
      <c r="M124" s="913">
        <f t="shared" si="18"/>
        <v>0</v>
      </c>
    </row>
    <row r="125" spans="1:14" ht="12.75" hidden="1" customHeight="1" x14ac:dyDescent="0.25">
      <c r="A125" s="905" t="s">
        <v>447</v>
      </c>
      <c r="B125" s="283" t="s">
        <v>448</v>
      </c>
      <c r="C125" s="917">
        <f>D125+H125</f>
        <v>11550533130</v>
      </c>
      <c r="D125" s="916">
        <f>SUM(E125:G125)/1000</f>
        <v>0</v>
      </c>
      <c r="E125" s="298">
        <v>0</v>
      </c>
      <c r="F125" s="539">
        <v>0</v>
      </c>
      <c r="G125" s="52"/>
      <c r="H125" s="84">
        <f>SUM(H140)</f>
        <v>11550533130</v>
      </c>
      <c r="I125" s="68">
        <f>SUM(I140)</f>
        <v>11550533130</v>
      </c>
      <c r="J125" s="167">
        <f>SUM(J140)</f>
        <v>0</v>
      </c>
      <c r="K125" s="908"/>
      <c r="L125" s="462">
        <f t="shared" si="29"/>
        <v>0.17752206358268632</v>
      </c>
      <c r="M125" s="913">
        <f t="shared" si="18"/>
        <v>0.17752206358268632</v>
      </c>
    </row>
    <row r="126" spans="1:14" ht="12.75" hidden="1" customHeight="1" x14ac:dyDescent="0.25">
      <c r="A126" s="905"/>
      <c r="B126" s="283"/>
      <c r="C126" s="90" t="s">
        <v>0</v>
      </c>
      <c r="D126" s="539" t="s">
        <v>0</v>
      </c>
      <c r="E126" s="298" t="s">
        <v>0</v>
      </c>
      <c r="F126" s="539" t="s">
        <v>0</v>
      </c>
      <c r="G126" s="52"/>
      <c r="H126" s="84"/>
      <c r="J126" s="167"/>
      <c r="K126" s="908"/>
      <c r="L126" s="462" t="e">
        <f t="shared" si="29"/>
        <v>#VALUE!</v>
      </c>
      <c r="M126" s="913" t="e">
        <f t="shared" si="18"/>
        <v>#VALUE!</v>
      </c>
    </row>
    <row r="127" spans="1:14" hidden="1" x14ac:dyDescent="0.25">
      <c r="A127" s="905"/>
      <c r="B127" s="143" t="s">
        <v>452</v>
      </c>
      <c r="C127" s="917">
        <f>D127+H127+K127</f>
        <v>0</v>
      </c>
      <c r="D127" s="512"/>
      <c r="E127" s="948"/>
      <c r="F127" s="512"/>
      <c r="G127" s="65"/>
      <c r="H127" s="85"/>
      <c r="I127" s="270"/>
      <c r="J127" s="169"/>
      <c r="K127" s="949"/>
      <c r="L127" s="462">
        <f t="shared" si="29"/>
        <v>0</v>
      </c>
      <c r="M127" s="913">
        <f t="shared" si="18"/>
        <v>0</v>
      </c>
    </row>
    <row r="128" spans="1:14" hidden="1" x14ac:dyDescent="0.25">
      <c r="A128" s="905"/>
      <c r="B128" s="283"/>
      <c r="C128" s="90" t="s">
        <v>0</v>
      </c>
      <c r="D128" s="512"/>
      <c r="E128" s="948"/>
      <c r="F128" s="512"/>
      <c r="G128" s="65"/>
      <c r="H128" s="85"/>
      <c r="I128" s="270"/>
      <c r="J128" s="169"/>
      <c r="K128" s="949"/>
      <c r="L128" s="462" t="e">
        <f t="shared" si="29"/>
        <v>#VALUE!</v>
      </c>
      <c r="M128" s="913" t="e">
        <f t="shared" si="18"/>
        <v>#VALUE!</v>
      </c>
    </row>
    <row r="129" spans="1:14" s="946" customFormat="1" hidden="1" x14ac:dyDescent="0.25">
      <c r="A129" s="107"/>
      <c r="B129" s="140"/>
      <c r="C129" s="89">
        <f>D129+H129+K129</f>
        <v>0</v>
      </c>
      <c r="D129" s="63">
        <v>0</v>
      </c>
      <c r="E129" s="251">
        <v>0</v>
      </c>
      <c r="F129" s="63">
        <v>0</v>
      </c>
      <c r="G129" s="64">
        <v>0</v>
      </c>
      <c r="H129" s="279">
        <v>0</v>
      </c>
      <c r="I129" s="269">
        <v>0</v>
      </c>
      <c r="J129" s="168">
        <v>0</v>
      </c>
      <c r="K129" s="455">
        <v>0</v>
      </c>
      <c r="L129" s="462">
        <f t="shared" si="29"/>
        <v>0</v>
      </c>
      <c r="M129" s="913">
        <f t="shared" si="18"/>
        <v>0</v>
      </c>
    </row>
    <row r="130" spans="1:14" hidden="1" x14ac:dyDescent="0.25">
      <c r="A130" s="905"/>
      <c r="B130" s="143" t="s">
        <v>453</v>
      </c>
      <c r="C130" s="917">
        <f>D130+H130+K130</f>
        <v>0</v>
      </c>
      <c r="D130" s="512"/>
      <c r="E130" s="948"/>
      <c r="F130" s="512"/>
      <c r="G130" s="65"/>
      <c r="H130" s="85"/>
      <c r="I130" s="270"/>
      <c r="J130" s="169"/>
      <c r="K130" s="949"/>
      <c r="L130" s="462">
        <f t="shared" si="29"/>
        <v>0</v>
      </c>
      <c r="M130" s="913">
        <f t="shared" si="18"/>
        <v>0</v>
      </c>
    </row>
    <row r="131" spans="1:14" hidden="1" x14ac:dyDescent="0.25">
      <c r="A131" s="905"/>
      <c r="B131" s="143" t="s">
        <v>454</v>
      </c>
      <c r="C131" s="917">
        <f>D131+H131+K131</f>
        <v>0</v>
      </c>
      <c r="D131" s="512"/>
      <c r="E131" s="948"/>
      <c r="F131" s="512"/>
      <c r="G131" s="65"/>
      <c r="H131" s="85"/>
      <c r="I131" s="270"/>
      <c r="J131" s="169"/>
      <c r="K131" s="949"/>
      <c r="L131" s="462">
        <f t="shared" si="29"/>
        <v>0</v>
      </c>
      <c r="M131" s="913">
        <f t="shared" si="18"/>
        <v>0</v>
      </c>
    </row>
    <row r="132" spans="1:14" hidden="1" x14ac:dyDescent="0.25">
      <c r="A132" s="905"/>
      <c r="B132" s="283"/>
      <c r="C132" s="90" t="s">
        <v>0</v>
      </c>
      <c r="D132" s="512"/>
      <c r="E132" s="948"/>
      <c r="F132" s="512"/>
      <c r="G132" s="65"/>
      <c r="H132" s="85"/>
      <c r="I132" s="270"/>
      <c r="J132" s="169"/>
      <c r="K132" s="949"/>
      <c r="L132" s="462" t="e">
        <f t="shared" si="29"/>
        <v>#VALUE!</v>
      </c>
      <c r="M132" s="913" t="e">
        <f t="shared" si="18"/>
        <v>#VALUE!</v>
      </c>
    </row>
    <row r="133" spans="1:14" hidden="1" x14ac:dyDescent="0.25">
      <c r="A133" s="108" t="s">
        <v>455</v>
      </c>
      <c r="B133" s="144" t="s">
        <v>456</v>
      </c>
      <c r="C133" s="89">
        <f>D133+H133+K133</f>
        <v>0</v>
      </c>
      <c r="D133" s="512"/>
      <c r="E133" s="948"/>
      <c r="F133" s="512"/>
      <c r="G133" s="65"/>
      <c r="H133" s="85"/>
      <c r="I133" s="270"/>
      <c r="J133" s="169"/>
      <c r="K133" s="949"/>
      <c r="L133" s="462">
        <f t="shared" si="29"/>
        <v>0</v>
      </c>
      <c r="M133" s="913">
        <f t="shared" si="18"/>
        <v>0</v>
      </c>
    </row>
    <row r="134" spans="1:14" ht="12.75" hidden="1" customHeight="1" x14ac:dyDescent="0.25">
      <c r="A134" s="107"/>
      <c r="B134" s="143" t="s">
        <v>370</v>
      </c>
      <c r="C134" s="917">
        <f>D134+H134+K134</f>
        <v>0</v>
      </c>
      <c r="D134" s="512"/>
      <c r="E134" s="948"/>
      <c r="F134" s="512"/>
      <c r="G134" s="65"/>
      <c r="H134" s="85"/>
      <c r="I134" s="270"/>
      <c r="J134" s="169"/>
      <c r="K134" s="949"/>
      <c r="L134" s="462">
        <f t="shared" si="29"/>
        <v>0</v>
      </c>
      <c r="M134" s="913">
        <f t="shared" si="18"/>
        <v>0</v>
      </c>
    </row>
    <row r="135" spans="1:14" ht="12.75" hidden="1" customHeight="1" x14ac:dyDescent="0.25">
      <c r="A135" s="107"/>
      <c r="B135" s="285" t="s">
        <v>660</v>
      </c>
      <c r="C135" s="917"/>
      <c r="D135" s="512"/>
      <c r="E135" s="948"/>
      <c r="F135" s="512"/>
      <c r="G135" s="65"/>
      <c r="H135" s="85"/>
      <c r="I135" s="270"/>
      <c r="J135" s="169"/>
      <c r="K135" s="949"/>
      <c r="L135" s="462"/>
      <c r="M135" s="913">
        <f t="shared" si="18"/>
        <v>0</v>
      </c>
    </row>
    <row r="136" spans="1:14" ht="12.75" hidden="1" customHeight="1" x14ac:dyDescent="0.25">
      <c r="A136" s="107"/>
      <c r="B136" s="285" t="s">
        <v>381</v>
      </c>
      <c r="C136" s="917"/>
      <c r="D136" s="512"/>
      <c r="E136" s="948"/>
      <c r="F136" s="512"/>
      <c r="G136" s="65"/>
      <c r="H136" s="85"/>
      <c r="I136" s="270"/>
      <c r="J136" s="169"/>
      <c r="K136" s="949"/>
      <c r="L136" s="462"/>
      <c r="M136" s="913">
        <f t="shared" ref="M136:M166" si="30">C136/$C$6</f>
        <v>0</v>
      </c>
    </row>
    <row r="137" spans="1:14" ht="12.75" hidden="1" customHeight="1" x14ac:dyDescent="0.25">
      <c r="A137" s="107"/>
      <c r="B137" s="285" t="s">
        <v>409</v>
      </c>
      <c r="C137" s="917"/>
      <c r="D137" s="512"/>
      <c r="E137" s="948"/>
      <c r="F137" s="512"/>
      <c r="G137" s="65"/>
      <c r="H137" s="85"/>
      <c r="I137" s="270"/>
      <c r="J137" s="169"/>
      <c r="K137" s="949"/>
      <c r="L137" s="462"/>
      <c r="M137" s="913">
        <f t="shared" si="30"/>
        <v>0</v>
      </c>
    </row>
    <row r="138" spans="1:14" ht="12.75" hidden="1" customHeight="1" x14ac:dyDescent="0.25">
      <c r="A138" s="107"/>
      <c r="B138" s="285" t="s">
        <v>782</v>
      </c>
      <c r="C138" s="917"/>
      <c r="D138" s="512"/>
      <c r="E138" s="948"/>
      <c r="F138" s="512"/>
      <c r="G138" s="65"/>
      <c r="H138" s="85"/>
      <c r="I138" s="270"/>
      <c r="J138" s="169"/>
      <c r="K138" s="949"/>
      <c r="L138" s="462"/>
      <c r="M138" s="913">
        <f t="shared" si="30"/>
        <v>0</v>
      </c>
    </row>
    <row r="139" spans="1:14" ht="12.75" hidden="1" customHeight="1" x14ac:dyDescent="0.25">
      <c r="A139" s="107"/>
      <c r="B139" s="285" t="s">
        <v>783</v>
      </c>
      <c r="C139" s="917"/>
      <c r="D139" s="512"/>
      <c r="E139" s="948"/>
      <c r="F139" s="512"/>
      <c r="G139" s="65"/>
      <c r="H139" s="85"/>
      <c r="I139" s="270"/>
      <c r="J139" s="169"/>
      <c r="K139" s="949"/>
      <c r="L139" s="462"/>
      <c r="M139" s="913">
        <f t="shared" si="30"/>
        <v>0</v>
      </c>
    </row>
    <row r="140" spans="1:14" ht="17.25" customHeight="1" x14ac:dyDescent="0.25">
      <c r="A140" s="905" t="s">
        <v>447</v>
      </c>
      <c r="B140" s="283" t="s">
        <v>769</v>
      </c>
      <c r="C140" s="111">
        <f>SUM(D140+I140)</f>
        <v>11550533130</v>
      </c>
      <c r="D140" s="539">
        <f>SUM(E140:G140)+J140</f>
        <v>0</v>
      </c>
      <c r="E140" s="948"/>
      <c r="F140" s="512"/>
      <c r="G140" s="65"/>
      <c r="H140" s="84">
        <f>SUM(I140:J140)</f>
        <v>11550533130</v>
      </c>
      <c r="I140" s="270">
        <v>11550533130</v>
      </c>
      <c r="J140" s="169"/>
      <c r="K140" s="949"/>
      <c r="L140" s="462">
        <f t="shared" si="29"/>
        <v>0.17752206358268632</v>
      </c>
      <c r="M140" s="913">
        <f t="shared" si="30"/>
        <v>0.17752206358268632</v>
      </c>
    </row>
    <row r="141" spans="1:14" x14ac:dyDescent="0.25">
      <c r="A141" s="905"/>
      <c r="B141" s="283"/>
      <c r="C141" s="90" t="s">
        <v>0</v>
      </c>
      <c r="D141" s="512"/>
      <c r="E141" s="948"/>
      <c r="F141" s="512"/>
      <c r="G141" s="65"/>
      <c r="H141" s="85"/>
      <c r="I141" s="270"/>
      <c r="J141" s="169"/>
      <c r="K141" s="949"/>
      <c r="L141" s="457"/>
      <c r="M141" s="913"/>
      <c r="N141" s="904"/>
    </row>
    <row r="142" spans="1:14" s="951" customFormat="1" x14ac:dyDescent="0.25">
      <c r="A142" s="107" t="s">
        <v>457</v>
      </c>
      <c r="B142" s="140" t="s">
        <v>458</v>
      </c>
      <c r="C142" s="89">
        <f>SUM(C143+C148)</f>
        <v>12174008030</v>
      </c>
      <c r="D142" s="54">
        <f>SUM(D148+D143)</f>
        <v>12174008030</v>
      </c>
      <c r="E142" s="82">
        <f>E143+E148</f>
        <v>3639318000</v>
      </c>
      <c r="F142" s="54">
        <f>F143+F148</f>
        <v>0</v>
      </c>
      <c r="G142" s="59">
        <f>G143+G148</f>
        <v>3632690030</v>
      </c>
      <c r="H142" s="87">
        <f>SUM(H148+H143)</f>
        <v>4902000000</v>
      </c>
      <c r="I142" s="134">
        <f>SUM(I143+I148)</f>
        <v>0</v>
      </c>
      <c r="J142" s="173">
        <f>SUM(J143+J148)</f>
        <v>4902000000</v>
      </c>
      <c r="K142" s="89">
        <f>K143+K148</f>
        <v>0</v>
      </c>
      <c r="L142" s="457">
        <f>C142/$C$6</f>
        <v>0.18710435295360206</v>
      </c>
      <c r="M142" s="907">
        <f t="shared" si="30"/>
        <v>0.18710435295360206</v>
      </c>
    </row>
    <row r="143" spans="1:14" s="951" customFormat="1" x14ac:dyDescent="0.25">
      <c r="A143" s="905" t="s">
        <v>459</v>
      </c>
      <c r="B143" s="145" t="s">
        <v>460</v>
      </c>
      <c r="C143" s="110">
        <f>SUM(C146:C146)</f>
        <v>2710436609</v>
      </c>
      <c r="D143" s="59">
        <f>SUM(D146)</f>
        <v>2710436609</v>
      </c>
      <c r="E143" s="948">
        <f>SUM(E146)</f>
        <v>0</v>
      </c>
      <c r="F143" s="512">
        <f>SUM(F146)</f>
        <v>0</v>
      </c>
      <c r="G143" s="64">
        <f>SUM(G146)</f>
        <v>310436609</v>
      </c>
      <c r="H143" s="85">
        <f>SUM(H146)</f>
        <v>2400000000</v>
      </c>
      <c r="I143" s="270"/>
      <c r="J143" s="169">
        <f>SUM(J146)</f>
        <v>2400000000</v>
      </c>
      <c r="K143" s="949"/>
      <c r="L143" s="462">
        <f>C143/$C$6</f>
        <v>4.1657150767354989E-2</v>
      </c>
      <c r="M143" s="907">
        <f t="shared" si="30"/>
        <v>4.1657150767354989E-2</v>
      </c>
      <c r="N143" s="452"/>
    </row>
    <row r="144" spans="1:14" s="951" customFormat="1" hidden="1" x14ac:dyDescent="0.25">
      <c r="A144" s="905"/>
      <c r="B144" s="145" t="s">
        <v>512</v>
      </c>
      <c r="C144" s="111">
        <f>SUM(D144)</f>
        <v>0</v>
      </c>
      <c r="D144" s="56">
        <f>SUM(E144:G144)</f>
        <v>0</v>
      </c>
      <c r="E144" s="948"/>
      <c r="F144" s="512">
        <v>0</v>
      </c>
      <c r="G144" s="65"/>
      <c r="H144" s="85"/>
      <c r="I144" s="270"/>
      <c r="J144" s="169"/>
      <c r="K144" s="949"/>
      <c r="L144" s="462">
        <f>C144/$C$6</f>
        <v>0</v>
      </c>
      <c r="M144" s="913">
        <f t="shared" si="30"/>
        <v>0</v>
      </c>
    </row>
    <row r="145" spans="1:14" s="951" customFormat="1" hidden="1" x14ac:dyDescent="0.25">
      <c r="A145" s="905"/>
      <c r="B145" s="145" t="s">
        <v>512</v>
      </c>
      <c r="C145" s="111">
        <f>D145+H145</f>
        <v>0</v>
      </c>
      <c r="D145" s="56">
        <f>SUM(E145:G145)</f>
        <v>0</v>
      </c>
      <c r="E145" s="948">
        <v>0</v>
      </c>
      <c r="F145" s="512"/>
      <c r="G145" s="65">
        <v>0</v>
      </c>
      <c r="H145" s="85"/>
      <c r="I145" s="270"/>
      <c r="J145" s="169"/>
      <c r="K145" s="949"/>
      <c r="L145" s="462">
        <f>C145/$C$6</f>
        <v>0</v>
      </c>
      <c r="M145" s="913">
        <f t="shared" si="30"/>
        <v>0</v>
      </c>
    </row>
    <row r="146" spans="1:14" s="951" customFormat="1" x14ac:dyDescent="0.25">
      <c r="A146" s="905"/>
      <c r="B146" s="145" t="s">
        <v>629</v>
      </c>
      <c r="C146" s="111">
        <f>SUM(D146+I146)</f>
        <v>2710436609</v>
      </c>
      <c r="D146" s="539">
        <f>SUM(E146:G146)+J146</f>
        <v>2710436609</v>
      </c>
      <c r="E146" s="948"/>
      <c r="F146" s="512"/>
      <c r="G146" s="284">
        <f>310436609</f>
        <v>310436609</v>
      </c>
      <c r="H146" s="85">
        <f>SUM(I146:J146)</f>
        <v>2400000000</v>
      </c>
      <c r="I146" s="270"/>
      <c r="J146" s="169">
        <f>2000000000+400000000</f>
        <v>2400000000</v>
      </c>
      <c r="K146" s="949"/>
      <c r="L146" s="462">
        <f>C146/$C$6</f>
        <v>4.1657150767354989E-2</v>
      </c>
      <c r="M146" s="913">
        <f t="shared" si="30"/>
        <v>4.1657150767354989E-2</v>
      </c>
    </row>
    <row r="147" spans="1:14" s="951" customFormat="1" x14ac:dyDescent="0.25">
      <c r="A147" s="905"/>
      <c r="B147" s="145"/>
      <c r="C147" s="111"/>
      <c r="D147" s="65"/>
      <c r="E147" s="948"/>
      <c r="F147" s="512"/>
      <c r="G147" s="65"/>
      <c r="H147" s="85"/>
      <c r="I147" s="270"/>
      <c r="J147" s="169"/>
      <c r="K147" s="949"/>
      <c r="L147" s="457"/>
      <c r="M147" s="913"/>
    </row>
    <row r="148" spans="1:14" s="951" customFormat="1" x14ac:dyDescent="0.25">
      <c r="A148" s="905" t="s">
        <v>461</v>
      </c>
      <c r="B148" s="288" t="s">
        <v>462</v>
      </c>
      <c r="C148" s="110">
        <f>SUM(C149:C168)</f>
        <v>9463571421</v>
      </c>
      <c r="D148" s="64">
        <f>SUM(D153+D156+D157+D158+D159+D160+D161+D162+D164+D166)</f>
        <v>9463571421</v>
      </c>
      <c r="E148" s="269">
        <f>SUM(E149:E171)</f>
        <v>3639318000</v>
      </c>
      <c r="F148" s="64">
        <f>SUM(F149:F155)</f>
        <v>0</v>
      </c>
      <c r="G148" s="64">
        <f>SUM(G149:G170)</f>
        <v>3322253421</v>
      </c>
      <c r="H148" s="279">
        <f>SUM(H149:H168)</f>
        <v>2502000000</v>
      </c>
      <c r="I148" s="269">
        <f>SUM(I149:I168)</f>
        <v>0</v>
      </c>
      <c r="J148" s="168">
        <f>SUM(J149:J168)</f>
        <v>2502000000</v>
      </c>
      <c r="K148" s="455">
        <f>SUM(K149:K155)</f>
        <v>0</v>
      </c>
      <c r="L148" s="457">
        <f>C148/$C$6</f>
        <v>0.14544720218624707</v>
      </c>
      <c r="M148" s="907">
        <f t="shared" si="30"/>
        <v>0.14544720218624707</v>
      </c>
    </row>
    <row r="149" spans="1:14" s="951" customFormat="1" hidden="1" x14ac:dyDescent="0.25">
      <c r="A149" s="905" t="s">
        <v>556</v>
      </c>
      <c r="B149" s="145" t="s">
        <v>408</v>
      </c>
      <c r="C149" s="111">
        <f>D149+H149</f>
        <v>0</v>
      </c>
      <c r="D149" s="65">
        <f>SUM(E149:G149)</f>
        <v>0</v>
      </c>
      <c r="E149" s="270"/>
      <c r="F149" s="65"/>
      <c r="G149" s="65"/>
      <c r="H149" s="85">
        <f>SUM(I149:J149)</f>
        <v>0</v>
      </c>
      <c r="I149" s="270">
        <v>0</v>
      </c>
      <c r="J149" s="169"/>
      <c r="K149" s="949"/>
      <c r="L149" s="457">
        <f>C149/$C$6</f>
        <v>0</v>
      </c>
      <c r="M149" s="913">
        <f t="shared" si="30"/>
        <v>0</v>
      </c>
      <c r="N149" s="452"/>
    </row>
    <row r="150" spans="1:14" s="951" customFormat="1" hidden="1" x14ac:dyDescent="0.25">
      <c r="A150" s="905" t="s">
        <v>513</v>
      </c>
      <c r="B150" s="145" t="s">
        <v>514</v>
      </c>
      <c r="C150" s="111">
        <f>D150+H150</f>
        <v>0</v>
      </c>
      <c r="D150" s="65">
        <f>SUM(E150:G150)</f>
        <v>0</v>
      </c>
      <c r="E150" s="270">
        <v>0</v>
      </c>
      <c r="F150" s="65">
        <v>0</v>
      </c>
      <c r="G150" s="65"/>
      <c r="H150" s="85">
        <f t="shared" ref="H150:H168" si="31">SUM(I150:J150)</f>
        <v>0</v>
      </c>
      <c r="I150" s="270"/>
      <c r="J150" s="169"/>
      <c r="K150" s="949"/>
      <c r="L150" s="457">
        <f>C150/$C$6</f>
        <v>0</v>
      </c>
      <c r="M150" s="913">
        <f t="shared" si="30"/>
        <v>0</v>
      </c>
    </row>
    <row r="151" spans="1:14" s="951" customFormat="1" hidden="1" x14ac:dyDescent="0.25">
      <c r="A151" s="905" t="s">
        <v>515</v>
      </c>
      <c r="B151" s="145" t="s">
        <v>409</v>
      </c>
      <c r="C151" s="111">
        <f>D151+H151</f>
        <v>0</v>
      </c>
      <c r="D151" s="65">
        <f>SUM(E151:G151)</f>
        <v>0</v>
      </c>
      <c r="E151" s="270"/>
      <c r="F151" s="65"/>
      <c r="G151" s="65"/>
      <c r="H151" s="85">
        <f t="shared" si="31"/>
        <v>0</v>
      </c>
      <c r="I151" s="270"/>
      <c r="J151" s="169"/>
      <c r="K151" s="949"/>
      <c r="L151" s="457">
        <f>C151/$C$6</f>
        <v>0</v>
      </c>
      <c r="M151" s="913">
        <f t="shared" si="30"/>
        <v>0</v>
      </c>
    </row>
    <row r="152" spans="1:14" s="951" customFormat="1" hidden="1" x14ac:dyDescent="0.25">
      <c r="A152" s="905"/>
      <c r="B152" s="145" t="s">
        <v>516</v>
      </c>
      <c r="C152" s="111">
        <f>D152+H152</f>
        <v>0</v>
      </c>
      <c r="D152" s="65">
        <f>SUM(E152:G152)</f>
        <v>0</v>
      </c>
      <c r="E152" s="270"/>
      <c r="F152" s="65">
        <v>0</v>
      </c>
      <c r="G152" s="65"/>
      <c r="H152" s="85">
        <f t="shared" si="31"/>
        <v>0</v>
      </c>
      <c r="I152" s="270"/>
      <c r="J152" s="169"/>
      <c r="K152" s="949"/>
      <c r="L152" s="457"/>
      <c r="M152" s="913">
        <f t="shared" si="30"/>
        <v>0</v>
      </c>
    </row>
    <row r="153" spans="1:14" s="951" customFormat="1" x14ac:dyDescent="0.25">
      <c r="A153" s="905" t="s">
        <v>517</v>
      </c>
      <c r="B153" s="145" t="s">
        <v>370</v>
      </c>
      <c r="C153" s="111">
        <f>SUM(D153+I153)</f>
        <v>1080579059</v>
      </c>
      <c r="D153" s="539">
        <f t="shared" ref="D153:D166" si="32">SUM(E153:G153)+J153</f>
        <v>1080579059</v>
      </c>
      <c r="E153" s="270"/>
      <c r="F153" s="65"/>
      <c r="G153" s="52">
        <v>80579059</v>
      </c>
      <c r="H153" s="85">
        <f t="shared" si="31"/>
        <v>1000000000</v>
      </c>
      <c r="I153" s="270"/>
      <c r="J153" s="169">
        <v>1000000000</v>
      </c>
      <c r="K153" s="949"/>
      <c r="L153" s="462">
        <f>C153/$C$6</f>
        <v>1.6607599169573339E-2</v>
      </c>
      <c r="M153" s="913">
        <f t="shared" si="30"/>
        <v>1.6607599169573339E-2</v>
      </c>
      <c r="N153" s="452"/>
    </row>
    <row r="154" spans="1:14" s="951" customFormat="1" hidden="1" x14ac:dyDescent="0.25">
      <c r="A154" s="905"/>
      <c r="B154" s="145" t="s">
        <v>463</v>
      </c>
      <c r="C154" s="111">
        <f t="shared" ref="C154:C166" si="33">SUM(D154+I154)</f>
        <v>0</v>
      </c>
      <c r="D154" s="539">
        <f t="shared" si="32"/>
        <v>0</v>
      </c>
      <c r="E154" s="270"/>
      <c r="F154" s="65"/>
      <c r="G154" s="65"/>
      <c r="H154" s="85">
        <f t="shared" si="31"/>
        <v>0</v>
      </c>
      <c r="I154" s="270"/>
      <c r="J154" s="169"/>
      <c r="K154" s="949"/>
      <c r="L154" s="462">
        <f t="shared" ref="L154:L165" si="34">C154/$C$6</f>
        <v>0</v>
      </c>
      <c r="M154" s="913">
        <f t="shared" si="30"/>
        <v>0</v>
      </c>
    </row>
    <row r="155" spans="1:14" s="951" customFormat="1" hidden="1" x14ac:dyDescent="0.25">
      <c r="A155" s="905"/>
      <c r="B155" s="145" t="s">
        <v>464</v>
      </c>
      <c r="C155" s="111">
        <f t="shared" si="33"/>
        <v>0</v>
      </c>
      <c r="D155" s="539">
        <f t="shared" si="32"/>
        <v>0</v>
      </c>
      <c r="E155" s="270"/>
      <c r="F155" s="65"/>
      <c r="G155" s="65"/>
      <c r="H155" s="85">
        <f t="shared" si="31"/>
        <v>0</v>
      </c>
      <c r="I155" s="270"/>
      <c r="J155" s="169"/>
      <c r="K155" s="949"/>
      <c r="L155" s="462">
        <f t="shared" si="34"/>
        <v>0</v>
      </c>
      <c r="M155" s="913">
        <f t="shared" si="30"/>
        <v>0</v>
      </c>
    </row>
    <row r="156" spans="1:14" s="951" customFormat="1" x14ac:dyDescent="0.25">
      <c r="A156" s="905"/>
      <c r="B156" s="145" t="s">
        <v>644</v>
      </c>
      <c r="C156" s="111">
        <f t="shared" si="33"/>
        <v>305063391</v>
      </c>
      <c r="D156" s="539">
        <f t="shared" si="32"/>
        <v>305063391</v>
      </c>
      <c r="E156" s="270"/>
      <c r="F156" s="65"/>
      <c r="G156" s="65">
        <v>305063391</v>
      </c>
      <c r="H156" s="85"/>
      <c r="I156" s="270"/>
      <c r="J156" s="169"/>
      <c r="K156" s="949"/>
      <c r="L156" s="462">
        <f t="shared" si="34"/>
        <v>4.6885699633374325E-3</v>
      </c>
      <c r="M156" s="913">
        <f t="shared" si="30"/>
        <v>4.6885699633374325E-3</v>
      </c>
    </row>
    <row r="157" spans="1:14" s="951" customFormat="1" x14ac:dyDescent="0.25">
      <c r="A157" s="905"/>
      <c r="B157" s="145" t="s">
        <v>626</v>
      </c>
      <c r="C157" s="111">
        <f t="shared" si="33"/>
        <v>1100000000</v>
      </c>
      <c r="D157" s="539">
        <f t="shared" si="32"/>
        <v>1100000000</v>
      </c>
      <c r="E157" s="948"/>
      <c r="F157" s="512"/>
      <c r="G157" s="65">
        <v>1100000000</v>
      </c>
      <c r="H157" s="85">
        <f t="shared" si="31"/>
        <v>0</v>
      </c>
      <c r="I157" s="270"/>
      <c r="J157" s="169"/>
      <c r="K157" s="949"/>
      <c r="L157" s="462">
        <f t="shared" si="34"/>
        <v>1.6906082839914328E-2</v>
      </c>
      <c r="M157" s="913">
        <f t="shared" si="30"/>
        <v>1.6906082839914328E-2</v>
      </c>
      <c r="N157" s="452"/>
    </row>
    <row r="158" spans="1:14" s="951" customFormat="1" x14ac:dyDescent="0.25">
      <c r="A158" s="905"/>
      <c r="B158" s="145" t="s">
        <v>748</v>
      </c>
      <c r="C158" s="111">
        <f t="shared" si="33"/>
        <v>467360971</v>
      </c>
      <c r="D158" s="539">
        <f>SUM(E158+G158)</f>
        <v>467360971</v>
      </c>
      <c r="E158" s="948">
        <v>8400000</v>
      </c>
      <c r="F158" s="512"/>
      <c r="G158" s="65">
        <f>467360971-8400000</f>
        <v>458960971</v>
      </c>
      <c r="H158" s="85"/>
      <c r="I158" s="270"/>
      <c r="J158" s="169"/>
      <c r="K158" s="949"/>
      <c r="L158" s="462">
        <f t="shared" si="34"/>
        <v>7.1829484471534529E-3</v>
      </c>
      <c r="M158" s="913">
        <f t="shared" si="30"/>
        <v>7.1829484471534529E-3</v>
      </c>
      <c r="N158" s="452"/>
    </row>
    <row r="159" spans="1:14" s="951" customFormat="1" x14ac:dyDescent="0.25">
      <c r="A159" s="905"/>
      <c r="B159" s="145" t="s">
        <v>743</v>
      </c>
      <c r="C159" s="111">
        <f t="shared" si="33"/>
        <v>680000000</v>
      </c>
      <c r="D159" s="539">
        <f t="shared" si="32"/>
        <v>680000000</v>
      </c>
      <c r="E159" s="948"/>
      <c r="F159" s="512"/>
      <c r="G159" s="65">
        <v>680000000</v>
      </c>
      <c r="H159" s="85"/>
      <c r="I159" s="270"/>
      <c r="J159" s="169"/>
      <c r="K159" s="949"/>
      <c r="L159" s="462">
        <f t="shared" si="34"/>
        <v>1.0451033028310677E-2</v>
      </c>
      <c r="M159" s="913">
        <f t="shared" si="30"/>
        <v>1.0451033028310677E-2</v>
      </c>
      <c r="N159" s="452"/>
    </row>
    <row r="160" spans="1:14" s="951" customFormat="1" x14ac:dyDescent="0.25">
      <c r="A160" s="905"/>
      <c r="B160" s="145" t="s">
        <v>744</v>
      </c>
      <c r="C160" s="111">
        <f t="shared" si="33"/>
        <v>297650000</v>
      </c>
      <c r="D160" s="539">
        <f t="shared" si="32"/>
        <v>297650000</v>
      </c>
      <c r="E160" s="948"/>
      <c r="F160" s="512"/>
      <c r="G160" s="65">
        <v>297650000</v>
      </c>
      <c r="H160" s="85"/>
      <c r="I160" s="270"/>
      <c r="J160" s="169"/>
      <c r="K160" s="949"/>
      <c r="L160" s="462">
        <f t="shared" si="34"/>
        <v>4.5746323248186367E-3</v>
      </c>
      <c r="M160" s="913">
        <f t="shared" si="30"/>
        <v>4.5746323248186367E-3</v>
      </c>
      <c r="N160" s="452"/>
    </row>
    <row r="161" spans="1:14" s="951" customFormat="1" x14ac:dyDescent="0.25">
      <c r="A161" s="905"/>
      <c r="B161" s="145" t="s">
        <v>630</v>
      </c>
      <c r="C161" s="111">
        <f t="shared" si="33"/>
        <v>230918000</v>
      </c>
      <c r="D161" s="539">
        <f t="shared" si="32"/>
        <v>230918000</v>
      </c>
      <c r="E161" s="952">
        <v>230918000</v>
      </c>
      <c r="F161" s="953"/>
      <c r="G161" s="290"/>
      <c r="H161" s="291"/>
      <c r="I161" s="270"/>
      <c r="J161" s="169"/>
      <c r="K161" s="949"/>
      <c r="L161" s="462">
        <f t="shared" si="34"/>
        <v>3.5490171247521247E-3</v>
      </c>
      <c r="M161" s="913">
        <f t="shared" si="30"/>
        <v>3.5490171247521247E-3</v>
      </c>
      <c r="N161" s="452"/>
    </row>
    <row r="162" spans="1:14" s="951" customFormat="1" x14ac:dyDescent="0.25">
      <c r="A162" s="905"/>
      <c r="B162" s="145" t="s">
        <v>661</v>
      </c>
      <c r="C162" s="111">
        <f t="shared" si="33"/>
        <v>400000000</v>
      </c>
      <c r="D162" s="539">
        <f t="shared" si="32"/>
        <v>400000000</v>
      </c>
      <c r="E162" s="948"/>
      <c r="F162" s="512"/>
      <c r="G162" s="65">
        <v>400000000</v>
      </c>
      <c r="H162" s="85"/>
      <c r="I162" s="270"/>
      <c r="J162" s="169"/>
      <c r="K162" s="949"/>
      <c r="L162" s="462">
        <f t="shared" si="34"/>
        <v>6.1476664872415748E-3</v>
      </c>
      <c r="M162" s="913">
        <f t="shared" si="30"/>
        <v>6.1476664872415748E-3</v>
      </c>
      <c r="N162" s="452"/>
    </row>
    <row r="163" spans="1:14" s="951" customFormat="1" hidden="1" x14ac:dyDescent="0.25">
      <c r="A163" s="905"/>
      <c r="B163" s="145" t="s">
        <v>645</v>
      </c>
      <c r="C163" s="111">
        <f t="shared" si="33"/>
        <v>0</v>
      </c>
      <c r="D163" s="539">
        <f t="shared" si="32"/>
        <v>0</v>
      </c>
      <c r="E163" s="948"/>
      <c r="F163" s="512"/>
      <c r="G163" s="65"/>
      <c r="H163" s="85"/>
      <c r="I163" s="270"/>
      <c r="J163" s="169"/>
      <c r="K163" s="949"/>
      <c r="L163" s="462">
        <f t="shared" si="34"/>
        <v>0</v>
      </c>
      <c r="M163" s="913">
        <f t="shared" si="30"/>
        <v>0</v>
      </c>
      <c r="N163" s="452"/>
    </row>
    <row r="164" spans="1:14" s="951" customFormat="1" x14ac:dyDescent="0.25">
      <c r="A164" s="905"/>
      <c r="B164" s="145" t="s">
        <v>639</v>
      </c>
      <c r="C164" s="111">
        <f t="shared" si="33"/>
        <v>3400000000</v>
      </c>
      <c r="D164" s="539">
        <f t="shared" si="32"/>
        <v>3400000000</v>
      </c>
      <c r="E164" s="948">
        <f>4100000000-300000000-400000000</f>
        <v>3400000000</v>
      </c>
      <c r="F164" s="512"/>
      <c r="G164" s="65"/>
      <c r="H164" s="85">
        <f t="shared" si="31"/>
        <v>0</v>
      </c>
      <c r="I164" s="270"/>
      <c r="J164" s="169"/>
      <c r="K164" s="949"/>
      <c r="L164" s="462">
        <f t="shared" si="34"/>
        <v>5.2255165141553379E-2</v>
      </c>
      <c r="M164" s="913">
        <f t="shared" si="30"/>
        <v>5.2255165141553379E-2</v>
      </c>
      <c r="N164" s="452"/>
    </row>
    <row r="165" spans="1:14" s="951" customFormat="1" hidden="1" x14ac:dyDescent="0.25">
      <c r="A165" s="905"/>
      <c r="B165" s="145" t="s">
        <v>735</v>
      </c>
      <c r="C165" s="111">
        <f t="shared" si="33"/>
        <v>0</v>
      </c>
      <c r="D165" s="539">
        <f t="shared" si="32"/>
        <v>0</v>
      </c>
      <c r="E165" s="948"/>
      <c r="F165" s="512"/>
      <c r="G165" s="65"/>
      <c r="H165" s="85"/>
      <c r="I165" s="270"/>
      <c r="J165" s="169"/>
      <c r="K165" s="949"/>
      <c r="L165" s="462">
        <f t="shared" si="34"/>
        <v>0</v>
      </c>
      <c r="M165" s="913">
        <f t="shared" si="30"/>
        <v>0</v>
      </c>
      <c r="N165" s="452"/>
    </row>
    <row r="166" spans="1:14" s="951" customFormat="1" ht="13.8" thickBot="1" x14ac:dyDescent="0.3">
      <c r="A166" s="928"/>
      <c r="B166" s="146" t="s">
        <v>758</v>
      </c>
      <c r="C166" s="148">
        <f t="shared" si="33"/>
        <v>1502000000</v>
      </c>
      <c r="D166" s="930">
        <f t="shared" si="32"/>
        <v>1502000000</v>
      </c>
      <c r="E166" s="954"/>
      <c r="F166" s="955"/>
      <c r="G166" s="113"/>
      <c r="H166" s="114">
        <f t="shared" si="31"/>
        <v>1502000000</v>
      </c>
      <c r="I166" s="272"/>
      <c r="J166" s="174">
        <v>1502000000</v>
      </c>
      <c r="K166" s="956"/>
      <c r="L166" s="461"/>
      <c r="M166" s="932">
        <f t="shared" si="30"/>
        <v>2.3084487659592111E-2</v>
      </c>
      <c r="N166" s="452"/>
    </row>
    <row r="167" spans="1:14" s="951" customFormat="1" hidden="1" x14ac:dyDescent="0.25">
      <c r="A167" s="905"/>
      <c r="B167" s="145" t="s">
        <v>637</v>
      </c>
      <c r="C167" s="111">
        <f>D167+H167</f>
        <v>0</v>
      </c>
      <c r="D167" s="65"/>
      <c r="E167" s="512"/>
      <c r="F167" s="512"/>
      <c r="G167" s="65"/>
      <c r="H167" s="65">
        <f t="shared" si="31"/>
        <v>0</v>
      </c>
      <c r="I167" s="65"/>
      <c r="J167" s="85">
        <v>0</v>
      </c>
      <c r="K167" s="948"/>
      <c r="L167" s="51"/>
      <c r="M167" s="957"/>
      <c r="N167" s="452"/>
    </row>
    <row r="168" spans="1:14" s="951" customFormat="1" ht="13.8" hidden="1" thickBot="1" x14ac:dyDescent="0.3">
      <c r="A168" s="928" t="s">
        <v>557</v>
      </c>
      <c r="B168" s="146" t="s">
        <v>463</v>
      </c>
      <c r="C168" s="148">
        <f>D168+H168</f>
        <v>0</v>
      </c>
      <c r="D168" s="113">
        <f>SUM(E168:G168)</f>
        <v>0</v>
      </c>
      <c r="E168" s="113"/>
      <c r="F168" s="113"/>
      <c r="G168" s="113"/>
      <c r="H168" s="113">
        <f t="shared" si="31"/>
        <v>0</v>
      </c>
      <c r="I168" s="113"/>
      <c r="J168" s="114"/>
      <c r="K168" s="948"/>
      <c r="L168" s="51"/>
      <c r="M168" s="957"/>
    </row>
    <row r="169" spans="1:14" s="951" customFormat="1" hidden="1" x14ac:dyDescent="0.25">
      <c r="A169" s="905" t="s">
        <v>566</v>
      </c>
      <c r="B169" s="78" t="s">
        <v>590</v>
      </c>
      <c r="C169" s="111">
        <f>D169+H169</f>
        <v>0</v>
      </c>
      <c r="D169" s="65">
        <f>SUM(E169:G169)</f>
        <v>0</v>
      </c>
      <c r="E169" s="65"/>
      <c r="F169" s="65"/>
      <c r="G169" s="65"/>
      <c r="H169" s="65"/>
      <c r="I169" s="65"/>
      <c r="J169" s="85"/>
      <c r="K169" s="948"/>
      <c r="L169" s="51"/>
      <c r="M169" s="957"/>
    </row>
    <row r="170" spans="1:14" s="951" customFormat="1" hidden="1" x14ac:dyDescent="0.25">
      <c r="A170" s="905" t="s">
        <v>557</v>
      </c>
      <c r="B170" s="78" t="s">
        <v>591</v>
      </c>
      <c r="C170" s="111">
        <f>D170+H170</f>
        <v>0</v>
      </c>
      <c r="D170" s="65">
        <f>SUM(E170:G170)</f>
        <v>0</v>
      </c>
      <c r="E170" s="65"/>
      <c r="F170" s="65"/>
      <c r="G170" s="65"/>
      <c r="H170" s="65"/>
      <c r="I170" s="65"/>
      <c r="J170" s="85"/>
      <c r="K170" s="948"/>
      <c r="L170" s="51"/>
      <c r="M170" s="957"/>
    </row>
    <row r="171" spans="1:14" ht="13.8" hidden="1" thickBot="1" x14ac:dyDescent="0.3">
      <c r="A171" s="958"/>
      <c r="B171" s="959"/>
      <c r="C171" s="960"/>
      <c r="D171" s="113">
        <f>SUM(E171:G171)</f>
        <v>0</v>
      </c>
      <c r="E171" s="930"/>
      <c r="F171" s="930"/>
      <c r="G171" s="930"/>
      <c r="H171" s="112"/>
      <c r="I171" s="112"/>
      <c r="J171" s="88"/>
      <c r="K171" s="961"/>
      <c r="L171" s="962"/>
    </row>
    <row r="172" spans="1:14" hidden="1" x14ac:dyDescent="0.25">
      <c r="D172" s="908"/>
      <c r="E172" s="908"/>
      <c r="F172" s="908"/>
      <c r="G172" s="908"/>
      <c r="H172" s="67"/>
      <c r="I172" s="67"/>
      <c r="J172" s="67"/>
      <c r="K172" s="908"/>
    </row>
    <row r="173" spans="1:14" hidden="1" x14ac:dyDescent="0.25">
      <c r="B173" s="965"/>
      <c r="C173" s="947"/>
      <c r="D173" s="908"/>
      <c r="E173" s="908"/>
      <c r="F173" s="908"/>
      <c r="G173" s="908"/>
      <c r="H173" s="67">
        <f>H6-H142</f>
        <v>47616957408</v>
      </c>
      <c r="I173" s="67">
        <f>I6-I142</f>
        <v>43987597647</v>
      </c>
      <c r="J173" s="67">
        <f>J6-J142</f>
        <v>3629359761</v>
      </c>
      <c r="K173" s="908"/>
    </row>
    <row r="174" spans="1:14" hidden="1" x14ac:dyDescent="0.25">
      <c r="B174" s="966"/>
      <c r="C174" s="967">
        <f>C6*0.02</f>
        <v>1301306766.8199999</v>
      </c>
      <c r="D174" s="908"/>
      <c r="E174" s="908"/>
      <c r="F174" s="908"/>
      <c r="G174" s="908"/>
      <c r="H174" s="67"/>
      <c r="I174" s="67"/>
      <c r="J174" s="67"/>
      <c r="K174" s="908"/>
    </row>
    <row r="175" spans="1:14" ht="17.25" hidden="1" customHeight="1" x14ac:dyDescent="0.25">
      <c r="A175" s="901" t="s">
        <v>0</v>
      </c>
      <c r="B175" s="901" t="s">
        <v>631</v>
      </c>
      <c r="C175" s="914"/>
      <c r="D175" s="908"/>
      <c r="E175" s="908"/>
      <c r="F175" s="908">
        <f>SUM(G153+G156+G157+G163)</f>
        <v>1485642450</v>
      </c>
      <c r="G175" s="908">
        <f>SUM(D142+H142)</f>
        <v>17076008030</v>
      </c>
      <c r="H175" s="67"/>
      <c r="I175" s="67"/>
      <c r="J175" s="67"/>
      <c r="K175" s="908"/>
    </row>
    <row r="176" spans="1:14" hidden="1" x14ac:dyDescent="0.25">
      <c r="A176" s="901" t="s">
        <v>0</v>
      </c>
      <c r="C176" s="914"/>
      <c r="D176" s="908"/>
      <c r="E176" s="908"/>
      <c r="F176" s="908"/>
      <c r="G176" s="908"/>
      <c r="H176" s="67"/>
      <c r="I176" s="67"/>
      <c r="J176" s="67"/>
      <c r="K176" s="908"/>
    </row>
    <row r="177" spans="1:11" hidden="1" x14ac:dyDescent="0.25">
      <c r="D177" s="908"/>
      <c r="E177" s="908"/>
      <c r="F177" s="908"/>
      <c r="G177" s="908">
        <f>SUM(E142+G142+H142)</f>
        <v>12174008030</v>
      </c>
      <c r="H177" s="67"/>
      <c r="I177" s="67"/>
      <c r="J177" s="67"/>
      <c r="K177" s="908"/>
    </row>
    <row r="178" spans="1:11" hidden="1" x14ac:dyDescent="0.25">
      <c r="A178" s="901" t="s">
        <v>0</v>
      </c>
      <c r="B178" s="901" t="s">
        <v>597</v>
      </c>
      <c r="C178" s="914">
        <v>1296654550</v>
      </c>
      <c r="D178" s="908">
        <f>'Egresos por Ctro de Costos '!Z7</f>
        <v>1508515764</v>
      </c>
      <c r="E178" s="908"/>
      <c r="F178" s="908"/>
      <c r="G178" s="908">
        <f>SUM(C142)</f>
        <v>12174008030</v>
      </c>
      <c r="H178" s="67"/>
      <c r="I178" s="67">
        <f>I164/2</f>
        <v>0</v>
      </c>
      <c r="J178" s="67"/>
      <c r="K178" s="908"/>
    </row>
    <row r="179" spans="1:11" hidden="1" x14ac:dyDescent="0.25">
      <c r="A179" s="918"/>
      <c r="C179" s="968"/>
      <c r="D179" s="908"/>
      <c r="E179" s="908"/>
      <c r="F179" s="908"/>
      <c r="G179" s="908">
        <f>SUM(G177-G178)</f>
        <v>0</v>
      </c>
      <c r="H179" s="67"/>
      <c r="I179" s="67"/>
      <c r="J179" s="67"/>
      <c r="K179" s="908"/>
    </row>
    <row r="180" spans="1:11" hidden="1" x14ac:dyDescent="0.25">
      <c r="C180" s="918">
        <f>SUM(C174-C178)</f>
        <v>4652216.8199999332</v>
      </c>
      <c r="D180" s="908"/>
      <c r="E180" s="908"/>
      <c r="F180" s="908"/>
      <c r="G180" s="908"/>
      <c r="H180" s="67" t="s">
        <v>0</v>
      </c>
      <c r="I180" s="67" t="s">
        <v>0</v>
      </c>
      <c r="J180" s="67" t="s">
        <v>0</v>
      </c>
      <c r="K180" s="908"/>
    </row>
    <row r="181" spans="1:11" hidden="1" x14ac:dyDescent="0.25">
      <c r="D181" s="908"/>
      <c r="E181" s="908"/>
      <c r="F181" s="908"/>
      <c r="G181" s="908"/>
      <c r="H181" s="67"/>
      <c r="I181" s="67"/>
      <c r="J181" s="67"/>
      <c r="K181" s="908"/>
    </row>
    <row r="182" spans="1:11" hidden="1" x14ac:dyDescent="0.25">
      <c r="D182" s="908"/>
      <c r="E182" s="908"/>
      <c r="F182" s="908"/>
      <c r="G182" s="908"/>
      <c r="H182" s="67"/>
      <c r="I182" s="67"/>
      <c r="J182" s="67"/>
      <c r="K182" s="908"/>
    </row>
    <row r="183" spans="1:11" hidden="1" x14ac:dyDescent="0.25">
      <c r="D183" s="908">
        <f>C6-'Egresos por Ctro de Costos '!D7</f>
        <v>0</v>
      </c>
      <c r="E183" s="908"/>
      <c r="F183" s="908"/>
      <c r="G183" s="908"/>
      <c r="H183" s="67"/>
      <c r="I183" s="67"/>
      <c r="J183" s="67"/>
      <c r="K183" s="908"/>
    </row>
    <row r="184" spans="1:11" hidden="1" x14ac:dyDescent="0.25">
      <c r="D184" s="908"/>
      <c r="E184" s="908"/>
      <c r="F184" s="908"/>
      <c r="G184" s="908"/>
      <c r="H184" s="67"/>
      <c r="I184" s="67"/>
      <c r="J184" s="67"/>
      <c r="K184" s="908"/>
    </row>
    <row r="185" spans="1:11" hidden="1" x14ac:dyDescent="0.25">
      <c r="D185" s="908"/>
      <c r="E185" s="908"/>
      <c r="F185" s="908"/>
      <c r="G185" s="908"/>
      <c r="H185" s="67"/>
      <c r="I185" s="67"/>
      <c r="J185" s="67"/>
      <c r="K185" s="908"/>
    </row>
    <row r="186" spans="1:11" hidden="1" x14ac:dyDescent="0.25">
      <c r="C186" s="914"/>
      <c r="D186" s="908"/>
      <c r="E186" s="908"/>
      <c r="F186" s="908"/>
      <c r="G186" s="908"/>
      <c r="H186" s="67">
        <f>1000000000</f>
        <v>1000000000</v>
      </c>
      <c r="I186" s="67"/>
      <c r="J186" s="67"/>
      <c r="K186" s="908"/>
    </row>
    <row r="187" spans="1:11" hidden="1" x14ac:dyDescent="0.25">
      <c r="D187" s="908"/>
      <c r="E187" s="908"/>
      <c r="F187" s="908"/>
      <c r="G187" s="908"/>
      <c r="H187" s="67">
        <f>522500000</f>
        <v>522500000</v>
      </c>
      <c r="I187" s="67"/>
      <c r="J187" s="67"/>
      <c r="K187" s="908"/>
    </row>
    <row r="188" spans="1:11" hidden="1" x14ac:dyDescent="0.25">
      <c r="D188" s="908"/>
      <c r="E188" s="908"/>
      <c r="F188" s="908"/>
      <c r="G188" s="908"/>
      <c r="H188" s="67">
        <f>SUM(H186-H187)</f>
        <v>477500000</v>
      </c>
      <c r="I188" s="67"/>
      <c r="J188" s="67"/>
      <c r="K188" s="908"/>
    </row>
    <row r="189" spans="1:11" hidden="1" x14ac:dyDescent="0.25">
      <c r="D189" s="908"/>
      <c r="E189" s="908"/>
      <c r="F189" s="908"/>
      <c r="G189" s="908"/>
      <c r="H189" s="67"/>
      <c r="I189" s="67"/>
      <c r="J189" s="67"/>
      <c r="K189" s="908"/>
    </row>
    <row r="190" spans="1:11" hidden="1" x14ac:dyDescent="0.25">
      <c r="D190" s="908"/>
      <c r="E190" s="908"/>
      <c r="F190" s="908"/>
      <c r="G190" s="908"/>
      <c r="H190" s="67"/>
      <c r="I190" s="67"/>
      <c r="J190" s="67"/>
      <c r="K190" s="908"/>
    </row>
    <row r="191" spans="1:11" hidden="1" x14ac:dyDescent="0.25">
      <c r="D191" s="908"/>
      <c r="E191" s="908"/>
      <c r="F191" s="908"/>
      <c r="G191" s="908"/>
      <c r="H191" s="67"/>
      <c r="I191" s="67"/>
      <c r="J191" s="67"/>
      <c r="K191" s="908"/>
    </row>
    <row r="192" spans="1:11" hidden="1" x14ac:dyDescent="0.25">
      <c r="D192" s="908"/>
      <c r="E192" s="908"/>
      <c r="F192" s="908"/>
      <c r="G192" s="908"/>
      <c r="H192" s="67"/>
      <c r="I192" s="67"/>
      <c r="J192" s="67"/>
      <c r="K192" s="908"/>
    </row>
    <row r="193" spans="3:11" hidden="1" x14ac:dyDescent="0.25">
      <c r="D193" s="908"/>
      <c r="E193" s="908"/>
      <c r="F193" s="908"/>
      <c r="G193" s="908"/>
      <c r="H193" s="67"/>
      <c r="I193" s="67"/>
      <c r="J193" s="67"/>
      <c r="K193" s="908"/>
    </row>
    <row r="194" spans="3:11" hidden="1" x14ac:dyDescent="0.25">
      <c r="D194" s="908"/>
      <c r="E194" s="908"/>
      <c r="F194" s="908"/>
      <c r="G194" s="908"/>
      <c r="H194" s="67"/>
      <c r="I194" s="67"/>
      <c r="J194" s="67"/>
      <c r="K194" s="908"/>
    </row>
    <row r="195" spans="3:11" hidden="1" x14ac:dyDescent="0.25">
      <c r="D195" s="908"/>
      <c r="E195" s="908"/>
      <c r="F195" s="908"/>
      <c r="G195" s="908"/>
      <c r="H195" s="67"/>
      <c r="I195" s="67"/>
      <c r="J195" s="67"/>
      <c r="K195" s="908"/>
    </row>
    <row r="196" spans="3:11" hidden="1" x14ac:dyDescent="0.25">
      <c r="D196" s="908"/>
      <c r="E196" s="908"/>
      <c r="F196" s="908"/>
      <c r="G196" s="908"/>
      <c r="H196" s="67"/>
      <c r="I196" s="67"/>
      <c r="J196" s="67"/>
      <c r="K196" s="908"/>
    </row>
    <row r="197" spans="3:11" hidden="1" x14ac:dyDescent="0.25">
      <c r="D197" s="908"/>
      <c r="E197" s="908"/>
      <c r="F197" s="908"/>
      <c r="G197" s="908"/>
      <c r="H197" s="67"/>
      <c r="I197" s="67"/>
      <c r="J197" s="67"/>
      <c r="K197" s="908"/>
    </row>
    <row r="198" spans="3:11" hidden="1" x14ac:dyDescent="0.25">
      <c r="D198" s="908"/>
      <c r="E198" s="908"/>
      <c r="F198" s="908"/>
      <c r="G198" s="908"/>
      <c r="H198" s="67"/>
      <c r="I198" s="67"/>
      <c r="J198" s="67"/>
      <c r="K198" s="908"/>
    </row>
    <row r="199" spans="3:11" hidden="1" x14ac:dyDescent="0.25">
      <c r="D199" s="908"/>
      <c r="E199" s="908"/>
      <c r="F199" s="908"/>
      <c r="G199" s="908"/>
      <c r="H199" s="67"/>
      <c r="I199" s="67"/>
      <c r="J199" s="67"/>
      <c r="K199" s="908"/>
    </row>
    <row r="200" spans="3:11" hidden="1" x14ac:dyDescent="0.25">
      <c r="D200" s="908"/>
      <c r="E200" s="908"/>
      <c r="F200" s="908"/>
      <c r="G200" s="908"/>
      <c r="H200" s="67"/>
      <c r="I200" s="67"/>
      <c r="J200" s="67"/>
      <c r="K200" s="908"/>
    </row>
    <row r="201" spans="3:11" hidden="1" x14ac:dyDescent="0.25">
      <c r="D201" s="908"/>
      <c r="E201" s="908"/>
      <c r="F201" s="908"/>
      <c r="G201" s="908"/>
      <c r="H201" s="67"/>
      <c r="I201" s="67"/>
      <c r="J201" s="67"/>
      <c r="K201" s="908"/>
    </row>
    <row r="202" spans="3:11" hidden="1" x14ac:dyDescent="0.25">
      <c r="D202" s="908"/>
      <c r="E202" s="908"/>
      <c r="F202" s="908"/>
      <c r="G202" s="908"/>
      <c r="H202" s="67"/>
      <c r="I202" s="67"/>
      <c r="J202" s="67"/>
      <c r="K202" s="908"/>
    </row>
    <row r="203" spans="3:11" hidden="1" x14ac:dyDescent="0.25">
      <c r="D203" s="908"/>
      <c r="E203" s="908"/>
      <c r="F203" s="908"/>
      <c r="G203" s="908"/>
      <c r="H203" s="67"/>
      <c r="I203" s="67"/>
      <c r="J203" s="67"/>
      <c r="K203" s="908"/>
    </row>
    <row r="204" spans="3:11" hidden="1" x14ac:dyDescent="0.25">
      <c r="D204" s="908"/>
      <c r="E204" s="908"/>
      <c r="F204" s="908"/>
      <c r="G204" s="908"/>
      <c r="H204" s="67"/>
      <c r="I204" s="67"/>
      <c r="J204" s="67"/>
      <c r="K204" s="908"/>
    </row>
    <row r="205" spans="3:11" hidden="1" x14ac:dyDescent="0.25">
      <c r="D205" s="908"/>
      <c r="E205" s="908"/>
      <c r="F205" s="908"/>
      <c r="G205" s="908"/>
      <c r="H205" s="67"/>
      <c r="I205" s="67"/>
      <c r="J205" s="67"/>
      <c r="K205" s="908"/>
    </row>
    <row r="206" spans="3:11" hidden="1" x14ac:dyDescent="0.25">
      <c r="D206" s="908"/>
      <c r="E206" s="908"/>
      <c r="F206" s="908"/>
      <c r="G206" s="908">
        <f>+G93+G121</f>
        <v>5889412041</v>
      </c>
      <c r="H206" s="67" t="s">
        <v>0</v>
      </c>
      <c r="I206" s="67" t="s">
        <v>0</v>
      </c>
      <c r="J206" s="67" t="s">
        <v>0</v>
      </c>
      <c r="K206" s="908">
        <v>1500</v>
      </c>
    </row>
    <row r="207" spans="3:11" hidden="1" x14ac:dyDescent="0.25">
      <c r="C207" s="904"/>
      <c r="D207" s="908"/>
      <c r="E207" s="908"/>
      <c r="F207" s="908"/>
      <c r="G207" s="908"/>
      <c r="H207" s="67"/>
      <c r="I207" s="67"/>
      <c r="J207" s="67"/>
      <c r="K207" s="908"/>
    </row>
    <row r="208" spans="3:11" hidden="1" x14ac:dyDescent="0.25">
      <c r="D208" s="908"/>
      <c r="E208" s="908"/>
      <c r="F208" s="908"/>
      <c r="G208" s="908"/>
      <c r="H208" s="67"/>
      <c r="I208" s="67"/>
      <c r="J208" s="67"/>
      <c r="K208" s="908"/>
    </row>
    <row r="209" spans="3:11" hidden="1" x14ac:dyDescent="0.25">
      <c r="C209" s="904"/>
      <c r="D209" s="908"/>
      <c r="E209" s="908"/>
      <c r="F209" s="908"/>
      <c r="G209" s="908"/>
      <c r="H209" s="67"/>
      <c r="I209" s="67"/>
      <c r="J209" s="67"/>
      <c r="K209" s="908"/>
    </row>
    <row r="210" spans="3:11" hidden="1" x14ac:dyDescent="0.25">
      <c r="C210" s="904"/>
      <c r="D210" s="908"/>
      <c r="E210" s="908"/>
      <c r="F210" s="908"/>
      <c r="G210" s="908"/>
      <c r="H210" s="67"/>
      <c r="I210" s="67"/>
      <c r="J210" s="67"/>
      <c r="K210" s="908"/>
    </row>
    <row r="211" spans="3:11" hidden="1" x14ac:dyDescent="0.25">
      <c r="D211" s="908"/>
      <c r="E211" s="908"/>
      <c r="F211" s="908"/>
      <c r="G211" s="908"/>
      <c r="H211" s="67"/>
      <c r="I211" s="67"/>
      <c r="J211" s="67"/>
      <c r="K211" s="908"/>
    </row>
    <row r="212" spans="3:11" hidden="1" x14ac:dyDescent="0.25">
      <c r="D212" s="908"/>
      <c r="E212" s="908"/>
      <c r="F212" s="908"/>
      <c r="G212" s="908"/>
      <c r="H212" s="67"/>
      <c r="I212" s="67"/>
      <c r="J212" s="67"/>
      <c r="K212" s="908"/>
    </row>
    <row r="213" spans="3:11" hidden="1" x14ac:dyDescent="0.25">
      <c r="D213" s="908"/>
      <c r="E213" s="908"/>
      <c r="F213" s="908"/>
      <c r="G213" s="908"/>
      <c r="H213" s="67"/>
      <c r="I213" s="67"/>
      <c r="J213" s="67"/>
      <c r="K213" s="908"/>
    </row>
    <row r="214" spans="3:11" hidden="1" x14ac:dyDescent="0.25">
      <c r="D214" s="908"/>
      <c r="E214" s="908"/>
      <c r="F214" s="908"/>
      <c r="G214" s="908"/>
      <c r="H214" s="67"/>
      <c r="I214" s="67"/>
      <c r="J214" s="67"/>
      <c r="K214" s="908"/>
    </row>
    <row r="215" spans="3:11" hidden="1" x14ac:dyDescent="0.25">
      <c r="D215" s="908"/>
      <c r="E215" s="908"/>
      <c r="F215" s="908"/>
      <c r="G215" s="908"/>
      <c r="H215" s="67"/>
      <c r="I215" s="67"/>
      <c r="J215" s="67"/>
      <c r="K215" s="908"/>
    </row>
    <row r="216" spans="3:11" hidden="1" x14ac:dyDescent="0.25">
      <c r="D216" s="908"/>
      <c r="E216" s="908"/>
      <c r="F216" s="908"/>
      <c r="G216" s="908"/>
      <c r="H216" s="67"/>
      <c r="I216" s="67"/>
      <c r="J216" s="67"/>
      <c r="K216" s="908"/>
    </row>
    <row r="217" spans="3:11" hidden="1" x14ac:dyDescent="0.25">
      <c r="D217" s="908"/>
      <c r="E217" s="908"/>
      <c r="F217" s="908"/>
      <c r="G217" s="908"/>
      <c r="H217" s="67"/>
      <c r="I217" s="67"/>
      <c r="J217" s="67"/>
      <c r="K217" s="908"/>
    </row>
    <row r="218" spans="3:11" hidden="1" x14ac:dyDescent="0.25">
      <c r="D218" s="908"/>
      <c r="E218" s="908"/>
      <c r="F218" s="908"/>
      <c r="G218" s="908"/>
      <c r="H218" s="67"/>
      <c r="I218" s="67"/>
      <c r="J218" s="67"/>
      <c r="K218" s="908"/>
    </row>
    <row r="219" spans="3:11" hidden="1" x14ac:dyDescent="0.25">
      <c r="D219" s="908"/>
      <c r="E219" s="908"/>
      <c r="F219" s="908"/>
      <c r="G219" s="908"/>
      <c r="H219" s="67"/>
      <c r="I219" s="67"/>
      <c r="J219" s="67"/>
      <c r="K219" s="908"/>
    </row>
    <row r="220" spans="3:11" hidden="1" x14ac:dyDescent="0.25">
      <c r="D220" s="908"/>
      <c r="E220" s="908"/>
      <c r="F220" s="908"/>
      <c r="G220" s="908"/>
      <c r="H220" s="67"/>
      <c r="I220" s="67"/>
      <c r="J220" s="67"/>
      <c r="K220" s="908"/>
    </row>
    <row r="221" spans="3:11" hidden="1" x14ac:dyDescent="0.25">
      <c r="D221" s="908"/>
      <c r="E221" s="908"/>
      <c r="F221" s="908"/>
      <c r="G221" s="908"/>
      <c r="H221" s="67"/>
      <c r="I221" s="67"/>
      <c r="J221" s="67"/>
      <c r="K221" s="908"/>
    </row>
    <row r="222" spans="3:11" hidden="1" x14ac:dyDescent="0.25">
      <c r="D222" s="908"/>
      <c r="E222" s="908"/>
      <c r="F222" s="908"/>
      <c r="G222" s="908"/>
      <c r="H222" s="67"/>
      <c r="I222" s="67"/>
      <c r="J222" s="67"/>
      <c r="K222" s="908"/>
    </row>
    <row r="223" spans="3:11" hidden="1" x14ac:dyDescent="0.25">
      <c r="D223" s="908"/>
      <c r="E223" s="908"/>
      <c r="F223" s="908"/>
      <c r="G223" s="908"/>
      <c r="H223" s="67"/>
      <c r="I223" s="67"/>
      <c r="J223" s="67"/>
      <c r="K223" s="908"/>
    </row>
    <row r="224" spans="3:11" hidden="1" x14ac:dyDescent="0.25">
      <c r="D224" s="908"/>
      <c r="E224" s="908"/>
      <c r="F224" s="908"/>
      <c r="G224" s="908"/>
      <c r="H224" s="67"/>
      <c r="I224" s="67"/>
      <c r="J224" s="67"/>
      <c r="K224" s="908"/>
    </row>
    <row r="225" spans="2:11" hidden="1" x14ac:dyDescent="0.25">
      <c r="D225" s="908"/>
      <c r="E225" s="908"/>
      <c r="F225" s="908"/>
      <c r="G225" s="908"/>
      <c r="H225" s="67"/>
      <c r="I225" s="67"/>
      <c r="J225" s="67"/>
      <c r="K225" s="908"/>
    </row>
    <row r="226" spans="2:11" hidden="1" x14ac:dyDescent="0.25">
      <c r="D226" s="908"/>
      <c r="E226" s="908"/>
      <c r="F226" s="908"/>
      <c r="G226" s="908"/>
      <c r="H226" s="67"/>
      <c r="I226" s="67"/>
      <c r="J226" s="67"/>
      <c r="K226" s="908"/>
    </row>
    <row r="227" spans="2:11" hidden="1" x14ac:dyDescent="0.25">
      <c r="D227" s="908"/>
      <c r="E227" s="908"/>
      <c r="F227" s="908"/>
      <c r="G227" s="908"/>
      <c r="H227" s="67"/>
      <c r="I227" s="67"/>
      <c r="J227" s="67"/>
      <c r="K227" s="908"/>
    </row>
    <row r="228" spans="2:11" x14ac:dyDescent="0.25">
      <c r="D228" s="908"/>
      <c r="E228" s="908"/>
      <c r="F228" s="908"/>
      <c r="G228" s="908"/>
      <c r="H228" s="67"/>
      <c r="I228" s="67"/>
      <c r="J228" s="67"/>
      <c r="K228" s="908"/>
    </row>
    <row r="229" spans="2:11" hidden="1" x14ac:dyDescent="0.25">
      <c r="C229" s="969">
        <f>C6*2/100</f>
        <v>1301306766.8199999</v>
      </c>
      <c r="D229" s="908"/>
      <c r="E229" s="908"/>
      <c r="F229" s="908"/>
      <c r="G229" s="908"/>
      <c r="H229" s="67"/>
      <c r="I229" s="67"/>
      <c r="J229" s="67"/>
      <c r="K229" s="908"/>
    </row>
    <row r="230" spans="2:11" hidden="1" x14ac:dyDescent="0.25">
      <c r="B230" s="901" t="s">
        <v>516</v>
      </c>
      <c r="C230" s="904">
        <f>'Egresos por Ctro de Costos '!Z7</f>
        <v>1508515764</v>
      </c>
      <c r="D230" s="908"/>
      <c r="E230" s="908"/>
      <c r="F230" s="908"/>
      <c r="G230" s="248"/>
      <c r="H230" s="67"/>
      <c r="I230" s="67"/>
      <c r="J230" s="67"/>
      <c r="K230" s="908"/>
    </row>
    <row r="231" spans="2:11" hidden="1" x14ac:dyDescent="0.25">
      <c r="C231" s="970">
        <f>SUM(C229-C230)</f>
        <v>-207208997.18000007</v>
      </c>
      <c r="D231" s="908"/>
      <c r="E231" s="908"/>
      <c r="F231" s="908"/>
      <c r="G231" s="248"/>
      <c r="H231" s="67"/>
      <c r="I231" s="67"/>
      <c r="J231" s="67"/>
      <c r="K231" s="908"/>
    </row>
    <row r="232" spans="2:11" x14ac:dyDescent="0.25">
      <c r="D232" s="908"/>
      <c r="E232" s="908"/>
      <c r="F232" s="908"/>
      <c r="G232" s="248"/>
      <c r="H232" s="67"/>
      <c r="I232" s="67"/>
      <c r="J232" s="67"/>
      <c r="K232" s="908"/>
    </row>
    <row r="233" spans="2:11" x14ac:dyDescent="0.25">
      <c r="C233" s="914"/>
      <c r="D233" s="908"/>
      <c r="E233" s="908"/>
      <c r="F233" s="908"/>
      <c r="G233" s="248"/>
      <c r="H233" s="67"/>
      <c r="I233" s="67"/>
      <c r="J233" s="67"/>
      <c r="K233" s="908"/>
    </row>
    <row r="234" spans="2:11" x14ac:dyDescent="0.25">
      <c r="D234" s="908"/>
      <c r="E234" s="908"/>
      <c r="F234" s="908"/>
      <c r="G234" s="248"/>
      <c r="H234" s="67"/>
      <c r="I234" s="67"/>
      <c r="J234" s="67"/>
      <c r="K234" s="908"/>
    </row>
    <row r="235" spans="2:11" x14ac:dyDescent="0.25">
      <c r="D235" s="908"/>
      <c r="E235" s="908"/>
      <c r="F235" s="908"/>
      <c r="G235" s="248"/>
      <c r="H235" s="67"/>
      <c r="I235" s="67"/>
      <c r="J235" s="67"/>
      <c r="K235" s="908"/>
    </row>
    <row r="236" spans="2:11" x14ac:dyDescent="0.25">
      <c r="C236" s="904"/>
      <c r="D236" s="908"/>
      <c r="E236" s="908"/>
      <c r="F236" s="908"/>
      <c r="G236" s="248"/>
      <c r="H236" s="67"/>
      <c r="I236" s="67"/>
      <c r="J236" s="67"/>
      <c r="K236" s="908"/>
    </row>
    <row r="237" spans="2:11" x14ac:dyDescent="0.25">
      <c r="D237" s="908"/>
      <c r="E237" s="908"/>
      <c r="F237" s="908"/>
      <c r="G237" s="908"/>
      <c r="H237" s="67"/>
      <c r="I237" s="67"/>
      <c r="J237" s="67"/>
      <c r="K237" s="908"/>
    </row>
    <row r="238" spans="2:11" x14ac:dyDescent="0.25">
      <c r="D238" s="908"/>
      <c r="E238" s="908"/>
      <c r="F238" s="908"/>
      <c r="G238" s="908"/>
      <c r="H238" s="67"/>
      <c r="I238" s="67"/>
      <c r="J238" s="67"/>
      <c r="K238" s="908"/>
    </row>
    <row r="239" spans="2:11" x14ac:dyDescent="0.25">
      <c r="D239" s="908"/>
      <c r="E239" s="908"/>
      <c r="F239" s="908"/>
      <c r="G239" s="908"/>
      <c r="H239" s="67"/>
      <c r="I239" s="67"/>
      <c r="J239" s="67"/>
      <c r="K239" s="908"/>
    </row>
    <row r="240" spans="2:11" x14ac:dyDescent="0.25">
      <c r="D240" s="908"/>
      <c r="E240" s="908"/>
      <c r="F240" s="908"/>
      <c r="G240" s="908"/>
      <c r="H240" s="67"/>
      <c r="I240" s="67"/>
      <c r="J240" s="67"/>
      <c r="K240" s="908"/>
    </row>
    <row r="241" spans="3:11" x14ac:dyDescent="0.25">
      <c r="D241" s="908"/>
      <c r="E241" s="908"/>
      <c r="F241" s="908"/>
      <c r="G241" s="908"/>
      <c r="H241" s="67"/>
      <c r="I241" s="67"/>
      <c r="J241" s="67"/>
      <c r="K241" s="908"/>
    </row>
    <row r="242" spans="3:11" x14ac:dyDescent="0.25">
      <c r="C242" s="914"/>
      <c r="D242" s="908"/>
      <c r="E242" s="908"/>
      <c r="F242" s="908"/>
      <c r="G242" s="908"/>
      <c r="H242" s="67"/>
      <c r="I242" s="67"/>
      <c r="J242" s="67"/>
      <c r="K242" s="908"/>
    </row>
    <row r="243" spans="3:11" x14ac:dyDescent="0.25">
      <c r="C243" s="914"/>
      <c r="D243" s="908"/>
      <c r="E243" s="908"/>
      <c r="F243" s="908"/>
      <c r="G243" s="908"/>
      <c r="H243" s="67"/>
      <c r="I243" s="67"/>
      <c r="J243" s="67"/>
      <c r="K243" s="908"/>
    </row>
    <row r="244" spans="3:11" x14ac:dyDescent="0.25">
      <c r="C244" s="914"/>
      <c r="D244" s="908"/>
      <c r="E244" s="908"/>
      <c r="F244" s="908"/>
      <c r="G244" s="908"/>
      <c r="H244" s="67"/>
      <c r="I244" s="67"/>
      <c r="J244" s="67"/>
      <c r="K244" s="908"/>
    </row>
    <row r="245" spans="3:11" x14ac:dyDescent="0.25">
      <c r="C245" s="914"/>
      <c r="D245" s="908"/>
      <c r="E245" s="908"/>
      <c r="F245" s="908"/>
      <c r="G245" s="908"/>
      <c r="H245" s="67"/>
      <c r="I245" s="67"/>
      <c r="J245" s="67"/>
      <c r="K245" s="908"/>
    </row>
    <row r="246" spans="3:11" x14ac:dyDescent="0.25">
      <c r="C246" s="914"/>
      <c r="D246" s="908"/>
      <c r="E246" s="908"/>
      <c r="F246" s="908"/>
      <c r="G246" s="908"/>
      <c r="H246" s="67"/>
      <c r="I246" s="67"/>
      <c r="J246" s="67"/>
      <c r="K246" s="908"/>
    </row>
    <row r="247" spans="3:11" x14ac:dyDescent="0.25">
      <c r="D247" s="908"/>
      <c r="E247" s="908"/>
      <c r="F247" s="908"/>
      <c r="G247" s="908"/>
      <c r="H247" s="67"/>
      <c r="I247" s="67"/>
      <c r="J247" s="67"/>
      <c r="K247" s="908"/>
    </row>
    <row r="248" spans="3:11" x14ac:dyDescent="0.25">
      <c r="D248" s="908"/>
      <c r="E248" s="908"/>
      <c r="F248" s="908"/>
      <c r="G248" s="908"/>
      <c r="H248" s="67"/>
      <c r="I248" s="67"/>
      <c r="J248" s="67"/>
      <c r="K248" s="908"/>
    </row>
    <row r="249" spans="3:11" x14ac:dyDescent="0.25">
      <c r="D249" s="908"/>
      <c r="E249" s="908"/>
      <c r="F249" s="908"/>
      <c r="G249" s="908"/>
      <c r="H249" s="67"/>
      <c r="I249" s="67"/>
      <c r="J249" s="67"/>
      <c r="K249" s="908"/>
    </row>
    <row r="250" spans="3:11" x14ac:dyDescent="0.25">
      <c r="D250" s="908"/>
      <c r="E250" s="908"/>
      <c r="F250" s="908"/>
      <c r="G250" s="908"/>
      <c r="H250" s="67"/>
      <c r="I250" s="67"/>
      <c r="J250" s="67"/>
      <c r="K250" s="908"/>
    </row>
    <row r="251" spans="3:11" x14ac:dyDescent="0.25">
      <c r="D251" s="908"/>
      <c r="E251" s="908"/>
      <c r="F251" s="908"/>
      <c r="G251" s="908"/>
      <c r="H251" s="67"/>
      <c r="I251" s="67"/>
      <c r="J251" s="67"/>
      <c r="K251" s="908"/>
    </row>
    <row r="252" spans="3:11" x14ac:dyDescent="0.25">
      <c r="D252" s="908"/>
      <c r="E252" s="908"/>
      <c r="F252" s="908"/>
      <c r="G252" s="908"/>
      <c r="H252" s="67"/>
      <c r="I252" s="67"/>
      <c r="J252" s="67"/>
      <c r="K252" s="908"/>
    </row>
    <row r="253" spans="3:11" x14ac:dyDescent="0.25">
      <c r="D253" s="908"/>
      <c r="E253" s="908"/>
      <c r="F253" s="908"/>
      <c r="G253" s="908"/>
      <c r="H253" s="67"/>
      <c r="I253" s="67"/>
      <c r="J253" s="67"/>
      <c r="K253" s="908"/>
    </row>
    <row r="254" spans="3:11" x14ac:dyDescent="0.25">
      <c r="D254" s="908"/>
      <c r="E254" s="908"/>
      <c r="F254" s="908"/>
      <c r="G254" s="908"/>
      <c r="H254" s="67"/>
      <c r="I254" s="67"/>
      <c r="J254" s="67"/>
      <c r="K254" s="908"/>
    </row>
    <row r="255" spans="3:11" x14ac:dyDescent="0.25">
      <c r="D255" s="908"/>
      <c r="E255" s="908"/>
      <c r="F255" s="908"/>
      <c r="G255" s="908"/>
      <c r="H255" s="67"/>
      <c r="I255" s="67"/>
      <c r="J255" s="67"/>
      <c r="K255" s="908"/>
    </row>
    <row r="256" spans="3:11" x14ac:dyDescent="0.25">
      <c r="D256" s="908"/>
      <c r="E256" s="908"/>
      <c r="F256" s="908"/>
      <c r="G256" s="908"/>
      <c r="H256" s="67"/>
      <c r="I256" s="67"/>
      <c r="J256" s="67"/>
      <c r="K256" s="908"/>
    </row>
    <row r="257" spans="4:11" x14ac:dyDescent="0.25">
      <c r="D257" s="908"/>
      <c r="E257" s="908"/>
      <c r="F257" s="908"/>
      <c r="G257" s="908"/>
      <c r="H257" s="67"/>
      <c r="I257" s="67"/>
      <c r="J257" s="67"/>
      <c r="K257" s="908"/>
    </row>
    <row r="258" spans="4:11" x14ac:dyDescent="0.25">
      <c r="D258" s="908"/>
      <c r="E258" s="908"/>
      <c r="F258" s="908"/>
      <c r="G258" s="908"/>
      <c r="H258" s="67"/>
      <c r="I258" s="67"/>
      <c r="J258" s="67"/>
      <c r="K258" s="908"/>
    </row>
    <row r="259" spans="4:11" x14ac:dyDescent="0.25">
      <c r="D259" s="908"/>
      <c r="E259" s="908"/>
      <c r="F259" s="908"/>
      <c r="G259" s="908"/>
      <c r="H259" s="67"/>
      <c r="I259" s="67"/>
      <c r="J259" s="67"/>
      <c r="K259" s="908"/>
    </row>
    <row r="260" spans="4:11" x14ac:dyDescent="0.25">
      <c r="D260" s="908"/>
      <c r="E260" s="908"/>
      <c r="F260" s="908"/>
      <c r="G260" s="908"/>
      <c r="H260" s="67"/>
      <c r="I260" s="67"/>
      <c r="J260" s="67"/>
      <c r="K260" s="908"/>
    </row>
    <row r="261" spans="4:11" x14ac:dyDescent="0.25">
      <c r="D261" s="908"/>
      <c r="E261" s="908"/>
      <c r="F261" s="908"/>
      <c r="G261" s="908"/>
      <c r="H261" s="67"/>
      <c r="I261" s="67"/>
      <c r="J261" s="67"/>
      <c r="K261" s="908"/>
    </row>
    <row r="262" spans="4:11" x14ac:dyDescent="0.25">
      <c r="D262" s="908"/>
      <c r="E262" s="908"/>
      <c r="F262" s="908"/>
      <c r="G262" s="908"/>
      <c r="H262" s="67"/>
      <c r="I262" s="67"/>
      <c r="J262" s="67"/>
      <c r="K262" s="908"/>
    </row>
    <row r="263" spans="4:11" x14ac:dyDescent="0.25">
      <c r="D263" s="908"/>
      <c r="E263" s="908"/>
      <c r="F263" s="908"/>
      <c r="G263" s="908"/>
      <c r="H263" s="67"/>
      <c r="I263" s="67"/>
      <c r="J263" s="67"/>
      <c r="K263" s="908"/>
    </row>
    <row r="264" spans="4:11" x14ac:dyDescent="0.25">
      <c r="D264" s="908"/>
      <c r="E264" s="908"/>
      <c r="F264" s="908"/>
      <c r="G264" s="908"/>
      <c r="H264" s="67"/>
      <c r="I264" s="67"/>
      <c r="J264" s="67"/>
      <c r="K264" s="908"/>
    </row>
    <row r="265" spans="4:11" x14ac:dyDescent="0.25">
      <c r="D265" s="908"/>
      <c r="E265" s="908"/>
      <c r="F265" s="908"/>
      <c r="G265" s="908"/>
      <c r="H265" s="67"/>
      <c r="I265" s="67"/>
      <c r="J265" s="67"/>
      <c r="K265" s="908"/>
    </row>
    <row r="266" spans="4:11" x14ac:dyDescent="0.25">
      <c r="D266" s="908"/>
      <c r="E266" s="908"/>
      <c r="F266" s="908"/>
      <c r="G266" s="908"/>
      <c r="H266" s="67"/>
      <c r="I266" s="67"/>
      <c r="J266" s="67"/>
      <c r="K266" s="908"/>
    </row>
    <row r="267" spans="4:11" x14ac:dyDescent="0.25">
      <c r="D267" s="908"/>
      <c r="E267" s="908"/>
      <c r="F267" s="908"/>
      <c r="G267" s="908"/>
      <c r="H267" s="67"/>
      <c r="I267" s="67"/>
      <c r="J267" s="67"/>
      <c r="K267" s="908"/>
    </row>
    <row r="268" spans="4:11" x14ac:dyDescent="0.25">
      <c r="D268" s="908"/>
      <c r="E268" s="908"/>
      <c r="F268" s="908"/>
      <c r="G268" s="908"/>
      <c r="H268" s="67"/>
      <c r="I268" s="67"/>
      <c r="J268" s="67"/>
      <c r="K268" s="908"/>
    </row>
    <row r="269" spans="4:11" x14ac:dyDescent="0.25">
      <c r="D269" s="908"/>
      <c r="E269" s="908"/>
      <c r="F269" s="908"/>
      <c r="G269" s="908"/>
      <c r="H269" s="67"/>
      <c r="I269" s="67"/>
      <c r="J269" s="67"/>
      <c r="K269" s="908"/>
    </row>
    <row r="270" spans="4:11" x14ac:dyDescent="0.25">
      <c r="D270" s="908"/>
      <c r="E270" s="908"/>
      <c r="F270" s="908"/>
      <c r="G270" s="908"/>
      <c r="H270" s="67"/>
      <c r="I270" s="67"/>
      <c r="J270" s="67"/>
      <c r="K270" s="908"/>
    </row>
    <row r="271" spans="4:11" x14ac:dyDescent="0.25">
      <c r="D271" s="908"/>
      <c r="E271" s="908"/>
      <c r="F271" s="908"/>
      <c r="G271" s="908"/>
      <c r="H271" s="67"/>
      <c r="I271" s="67"/>
      <c r="J271" s="67"/>
      <c r="K271" s="908"/>
    </row>
    <row r="272" spans="4:11" x14ac:dyDescent="0.25">
      <c r="D272" s="908"/>
      <c r="E272" s="908"/>
      <c r="F272" s="908"/>
      <c r="G272" s="908"/>
      <c r="H272" s="67"/>
      <c r="I272" s="67"/>
      <c r="J272" s="67"/>
      <c r="K272" s="908"/>
    </row>
    <row r="273" spans="4:11" x14ac:dyDescent="0.25">
      <c r="D273" s="908"/>
      <c r="E273" s="908"/>
      <c r="F273" s="908"/>
      <c r="G273" s="908"/>
      <c r="H273" s="67"/>
      <c r="I273" s="67"/>
      <c r="J273" s="67"/>
      <c r="K273" s="908"/>
    </row>
    <row r="274" spans="4:11" x14ac:dyDescent="0.25">
      <c r="D274" s="908"/>
      <c r="E274" s="908"/>
      <c r="F274" s="908"/>
      <c r="G274" s="908"/>
      <c r="H274" s="67"/>
      <c r="I274" s="67"/>
      <c r="J274" s="67"/>
      <c r="K274" s="908"/>
    </row>
    <row r="275" spans="4:11" x14ac:dyDescent="0.25">
      <c r="D275" s="908"/>
      <c r="E275" s="908"/>
      <c r="F275" s="908"/>
      <c r="G275" s="908"/>
      <c r="H275" s="67"/>
      <c r="I275" s="67"/>
      <c r="J275" s="67"/>
      <c r="K275" s="908"/>
    </row>
    <row r="276" spans="4:11" x14ac:dyDescent="0.25">
      <c r="D276" s="908"/>
      <c r="E276" s="908"/>
      <c r="F276" s="908"/>
      <c r="G276" s="908"/>
      <c r="H276" s="67"/>
      <c r="I276" s="67"/>
      <c r="J276" s="67"/>
      <c r="K276" s="908"/>
    </row>
    <row r="277" spans="4:11" x14ac:dyDescent="0.25">
      <c r="D277" s="908"/>
      <c r="E277" s="908"/>
      <c r="F277" s="908"/>
      <c r="G277" s="908"/>
      <c r="H277" s="67"/>
      <c r="I277" s="67"/>
      <c r="J277" s="67"/>
      <c r="K277" s="908"/>
    </row>
    <row r="278" spans="4:11" x14ac:dyDescent="0.25">
      <c r="D278" s="908"/>
      <c r="E278" s="908"/>
      <c r="F278" s="908"/>
      <c r="G278" s="908"/>
      <c r="H278" s="67"/>
      <c r="I278" s="67"/>
      <c r="J278" s="67"/>
      <c r="K278" s="908"/>
    </row>
    <row r="279" spans="4:11" x14ac:dyDescent="0.25">
      <c r="D279" s="908"/>
      <c r="E279" s="908"/>
      <c r="F279" s="908"/>
      <c r="G279" s="908"/>
      <c r="H279" s="67"/>
      <c r="I279" s="67"/>
      <c r="J279" s="67"/>
      <c r="K279" s="908"/>
    </row>
    <row r="280" spans="4:11" x14ac:dyDescent="0.25">
      <c r="D280" s="908"/>
      <c r="E280" s="908"/>
      <c r="F280" s="908"/>
      <c r="G280" s="908"/>
      <c r="H280" s="67"/>
      <c r="I280" s="67"/>
      <c r="J280" s="67"/>
      <c r="K280" s="908"/>
    </row>
    <row r="281" spans="4:11" x14ac:dyDescent="0.25">
      <c r="D281" s="908"/>
      <c r="E281" s="908"/>
      <c r="F281" s="908"/>
      <c r="G281" s="908"/>
      <c r="H281" s="67"/>
      <c r="I281" s="67"/>
      <c r="J281" s="67"/>
      <c r="K281" s="908"/>
    </row>
    <row r="282" spans="4:11" x14ac:dyDescent="0.25">
      <c r="D282" s="908"/>
      <c r="E282" s="908"/>
      <c r="F282" s="908"/>
      <c r="G282" s="908"/>
      <c r="H282" s="67"/>
      <c r="I282" s="67"/>
      <c r="J282" s="67"/>
      <c r="K282" s="908"/>
    </row>
    <row r="283" spans="4:11" x14ac:dyDescent="0.25">
      <c r="D283" s="908"/>
      <c r="E283" s="908"/>
      <c r="F283" s="908"/>
      <c r="G283" s="908"/>
      <c r="H283" s="67"/>
      <c r="I283" s="67"/>
      <c r="J283" s="67"/>
      <c r="K283" s="908"/>
    </row>
    <row r="284" spans="4:11" x14ac:dyDescent="0.25">
      <c r="D284" s="908"/>
      <c r="E284" s="908"/>
      <c r="F284" s="908"/>
      <c r="G284" s="908"/>
      <c r="H284" s="67"/>
      <c r="I284" s="67"/>
      <c r="J284" s="67"/>
      <c r="K284" s="908"/>
    </row>
    <row r="285" spans="4:11" x14ac:dyDescent="0.25">
      <c r="D285" s="908"/>
      <c r="E285" s="908"/>
      <c r="F285" s="908"/>
      <c r="G285" s="908"/>
      <c r="H285" s="67"/>
      <c r="I285" s="67"/>
      <c r="J285" s="67"/>
      <c r="K285" s="908"/>
    </row>
    <row r="286" spans="4:11" x14ac:dyDescent="0.25">
      <c r="D286" s="908"/>
      <c r="E286" s="908"/>
      <c r="F286" s="908"/>
      <c r="G286" s="908"/>
      <c r="H286" s="67"/>
      <c r="I286" s="67"/>
      <c r="J286" s="67"/>
      <c r="K286" s="908"/>
    </row>
    <row r="287" spans="4:11" x14ac:dyDescent="0.25">
      <c r="D287" s="908"/>
      <c r="E287" s="908"/>
      <c r="F287" s="908"/>
      <c r="G287" s="908"/>
      <c r="H287" s="67"/>
      <c r="I287" s="67"/>
      <c r="J287" s="67"/>
      <c r="K287" s="908"/>
    </row>
    <row r="288" spans="4:11" x14ac:dyDescent="0.25">
      <c r="D288" s="908"/>
      <c r="E288" s="908"/>
      <c r="F288" s="908"/>
      <c r="G288" s="908"/>
      <c r="H288" s="67"/>
      <c r="I288" s="67"/>
      <c r="J288" s="67"/>
      <c r="K288" s="908"/>
    </row>
    <row r="289" spans="4:11" x14ac:dyDescent="0.25">
      <c r="D289" s="908"/>
      <c r="E289" s="908"/>
      <c r="F289" s="908"/>
      <c r="G289" s="908"/>
      <c r="H289" s="67"/>
      <c r="I289" s="67"/>
      <c r="J289" s="67"/>
      <c r="K289" s="908"/>
    </row>
    <row r="290" spans="4:11" x14ac:dyDescent="0.25">
      <c r="D290" s="908"/>
      <c r="E290" s="908"/>
      <c r="F290" s="908"/>
      <c r="G290" s="908"/>
      <c r="H290" s="67"/>
      <c r="I290" s="67"/>
      <c r="J290" s="67"/>
      <c r="K290" s="908"/>
    </row>
    <row r="291" spans="4:11" x14ac:dyDescent="0.25">
      <c r="D291" s="908"/>
      <c r="E291" s="908"/>
      <c r="F291" s="908"/>
      <c r="G291" s="908"/>
      <c r="H291" s="67"/>
      <c r="I291" s="67"/>
      <c r="J291" s="67"/>
      <c r="K291" s="908"/>
    </row>
    <row r="292" spans="4:11" x14ac:dyDescent="0.25">
      <c r="D292" s="908"/>
      <c r="E292" s="908"/>
      <c r="F292" s="908"/>
      <c r="G292" s="908"/>
      <c r="H292" s="67"/>
      <c r="I292" s="67"/>
      <c r="J292" s="67"/>
      <c r="K292" s="908"/>
    </row>
    <row r="293" spans="4:11" x14ac:dyDescent="0.25">
      <c r="D293" s="908"/>
      <c r="E293" s="908"/>
      <c r="F293" s="908"/>
      <c r="G293" s="908"/>
      <c r="H293" s="67"/>
      <c r="I293" s="67"/>
      <c r="J293" s="67"/>
      <c r="K293" s="908"/>
    </row>
    <row r="294" spans="4:11" x14ac:dyDescent="0.25">
      <c r="D294" s="908"/>
      <c r="E294" s="908"/>
      <c r="F294" s="908"/>
      <c r="G294" s="908"/>
      <c r="H294" s="67"/>
      <c r="I294" s="67"/>
      <c r="J294" s="67"/>
      <c r="K294" s="908"/>
    </row>
    <row r="295" spans="4:11" x14ac:dyDescent="0.25">
      <c r="D295" s="908"/>
      <c r="E295" s="908"/>
      <c r="F295" s="908"/>
      <c r="G295" s="908"/>
      <c r="H295" s="67"/>
      <c r="I295" s="67"/>
      <c r="J295" s="67"/>
      <c r="K295" s="908"/>
    </row>
    <row r="296" spans="4:11" x14ac:dyDescent="0.25">
      <c r="D296" s="908"/>
      <c r="E296" s="908"/>
      <c r="F296" s="908"/>
      <c r="G296" s="908"/>
      <c r="H296" s="67"/>
      <c r="I296" s="67"/>
      <c r="J296" s="67"/>
      <c r="K296" s="908"/>
    </row>
    <row r="297" spans="4:11" x14ac:dyDescent="0.25">
      <c r="D297" s="908"/>
      <c r="E297" s="908"/>
      <c r="F297" s="908"/>
      <c r="G297" s="908"/>
      <c r="H297" s="67"/>
      <c r="I297" s="67"/>
      <c r="J297" s="67"/>
      <c r="K297" s="908"/>
    </row>
    <row r="298" spans="4:11" x14ac:dyDescent="0.25">
      <c r="D298" s="908"/>
      <c r="E298" s="908"/>
      <c r="F298" s="908"/>
      <c r="G298" s="908"/>
      <c r="H298" s="67"/>
      <c r="I298" s="67"/>
      <c r="J298" s="67"/>
      <c r="K298" s="908"/>
    </row>
    <row r="299" spans="4:11" x14ac:dyDescent="0.25">
      <c r="D299" s="908"/>
      <c r="E299" s="908"/>
      <c r="F299" s="908"/>
      <c r="G299" s="908"/>
      <c r="H299" s="67"/>
      <c r="I299" s="67"/>
      <c r="J299" s="67"/>
      <c r="K299" s="908"/>
    </row>
    <row r="300" spans="4:11" x14ac:dyDescent="0.25">
      <c r="D300" s="908"/>
      <c r="E300" s="908"/>
      <c r="F300" s="908"/>
      <c r="G300" s="908"/>
      <c r="H300" s="67"/>
      <c r="I300" s="67"/>
      <c r="J300" s="67"/>
      <c r="K300" s="908"/>
    </row>
    <row r="301" spans="4:11" x14ac:dyDescent="0.25">
      <c r="D301" s="908"/>
      <c r="E301" s="908"/>
      <c r="F301" s="908"/>
      <c r="G301" s="908"/>
      <c r="H301" s="67"/>
      <c r="I301" s="67"/>
      <c r="J301" s="67"/>
      <c r="K301" s="908"/>
    </row>
    <row r="302" spans="4:11" x14ac:dyDescent="0.25">
      <c r="D302" s="908"/>
      <c r="E302" s="908"/>
      <c r="F302" s="908"/>
      <c r="G302" s="908"/>
      <c r="H302" s="67"/>
      <c r="I302" s="67"/>
      <c r="J302" s="67"/>
      <c r="K302" s="908"/>
    </row>
    <row r="303" spans="4:11" x14ac:dyDescent="0.25">
      <c r="D303" s="908"/>
      <c r="E303" s="908"/>
      <c r="F303" s="908"/>
      <c r="G303" s="908"/>
      <c r="H303" s="67"/>
      <c r="I303" s="67"/>
      <c r="J303" s="67"/>
      <c r="K303" s="908"/>
    </row>
    <row r="304" spans="4:11" x14ac:dyDescent="0.25">
      <c r="D304" s="908"/>
      <c r="E304" s="908"/>
      <c r="F304" s="908"/>
      <c r="G304" s="908"/>
      <c r="H304" s="67"/>
      <c r="I304" s="67"/>
      <c r="J304" s="67"/>
      <c r="K304" s="908"/>
    </row>
    <row r="305" spans="4:11" x14ac:dyDescent="0.25">
      <c r="D305" s="908"/>
      <c r="E305" s="908"/>
      <c r="F305" s="908"/>
      <c r="G305" s="908"/>
      <c r="H305" s="67"/>
      <c r="I305" s="67"/>
      <c r="J305" s="67"/>
      <c r="K305" s="908"/>
    </row>
    <row r="306" spans="4:11" x14ac:dyDescent="0.25">
      <c r="D306" s="908"/>
      <c r="E306" s="908"/>
      <c r="F306" s="908"/>
      <c r="G306" s="908"/>
      <c r="H306" s="67"/>
      <c r="I306" s="67"/>
      <c r="J306" s="67"/>
      <c r="K306" s="908"/>
    </row>
    <row r="307" spans="4:11" x14ac:dyDescent="0.25">
      <c r="D307" s="908"/>
      <c r="E307" s="908"/>
      <c r="F307" s="908"/>
      <c r="G307" s="908"/>
      <c r="H307" s="67"/>
      <c r="I307" s="67"/>
      <c r="J307" s="67"/>
      <c r="K307" s="908"/>
    </row>
    <row r="308" spans="4:11" x14ac:dyDescent="0.25">
      <c r="D308" s="908"/>
      <c r="E308" s="908"/>
      <c r="F308" s="908"/>
      <c r="G308" s="908"/>
      <c r="H308" s="67"/>
      <c r="I308" s="67"/>
      <c r="J308" s="67"/>
      <c r="K308" s="908"/>
    </row>
    <row r="309" spans="4:11" x14ac:dyDescent="0.25">
      <c r="D309" s="908"/>
      <c r="E309" s="908"/>
      <c r="F309" s="908"/>
      <c r="G309" s="908"/>
      <c r="H309" s="67"/>
      <c r="I309" s="67"/>
      <c r="J309" s="67"/>
      <c r="K309" s="908"/>
    </row>
    <row r="310" spans="4:11" x14ac:dyDescent="0.25">
      <c r="D310" s="908"/>
      <c r="E310" s="908"/>
      <c r="F310" s="908"/>
      <c r="G310" s="908"/>
      <c r="H310" s="67"/>
      <c r="I310" s="67"/>
      <c r="J310" s="67"/>
      <c r="K310" s="908"/>
    </row>
    <row r="311" spans="4:11" x14ac:dyDescent="0.25">
      <c r="D311" s="908"/>
      <c r="E311" s="908"/>
      <c r="F311" s="908"/>
      <c r="G311" s="908"/>
      <c r="H311" s="67"/>
      <c r="I311" s="67"/>
      <c r="J311" s="67"/>
      <c r="K311" s="908"/>
    </row>
    <row r="312" spans="4:11" x14ac:dyDescent="0.25">
      <c r="D312" s="908"/>
      <c r="E312" s="908"/>
      <c r="F312" s="908"/>
      <c r="G312" s="908"/>
      <c r="H312" s="67"/>
      <c r="I312" s="67"/>
      <c r="J312" s="67"/>
      <c r="K312" s="908"/>
    </row>
    <row r="313" spans="4:11" x14ac:dyDescent="0.25">
      <c r="D313" s="908"/>
      <c r="E313" s="908"/>
      <c r="F313" s="908"/>
      <c r="G313" s="908"/>
      <c r="H313" s="67"/>
      <c r="I313" s="67"/>
      <c r="J313" s="67"/>
      <c r="K313" s="908"/>
    </row>
    <row r="314" spans="4:11" x14ac:dyDescent="0.25">
      <c r="D314" s="908"/>
      <c r="E314" s="908"/>
      <c r="F314" s="908"/>
      <c r="G314" s="908"/>
      <c r="H314" s="67"/>
      <c r="I314" s="67"/>
      <c r="J314" s="67"/>
      <c r="K314" s="908"/>
    </row>
    <row r="315" spans="4:11" x14ac:dyDescent="0.25">
      <c r="D315" s="908"/>
      <c r="E315" s="908"/>
      <c r="F315" s="908"/>
      <c r="G315" s="908"/>
      <c r="H315" s="67"/>
      <c r="I315" s="67"/>
      <c r="J315" s="67"/>
      <c r="K315" s="908"/>
    </row>
    <row r="316" spans="4:11" x14ac:dyDescent="0.25">
      <c r="D316" s="908"/>
      <c r="E316" s="908"/>
      <c r="F316" s="908"/>
      <c r="G316" s="908"/>
      <c r="H316" s="67"/>
      <c r="I316" s="67"/>
      <c r="J316" s="67"/>
      <c r="K316" s="908"/>
    </row>
    <row r="317" spans="4:11" x14ac:dyDescent="0.25">
      <c r="D317" s="908"/>
      <c r="E317" s="908"/>
      <c r="F317" s="908"/>
      <c r="G317" s="908"/>
      <c r="H317" s="67"/>
      <c r="I317" s="67"/>
      <c r="J317" s="67"/>
      <c r="K317" s="908"/>
    </row>
    <row r="318" spans="4:11" x14ac:dyDescent="0.25">
      <c r="D318" s="908"/>
      <c r="E318" s="908"/>
      <c r="F318" s="908"/>
      <c r="G318" s="908"/>
      <c r="H318" s="67"/>
      <c r="I318" s="67"/>
      <c r="J318" s="67"/>
      <c r="K318" s="908"/>
    </row>
    <row r="319" spans="4:11" x14ac:dyDescent="0.25">
      <c r="D319" s="908"/>
      <c r="E319" s="908"/>
      <c r="F319" s="908"/>
      <c r="G319" s="908"/>
      <c r="H319" s="67"/>
      <c r="I319" s="67"/>
      <c r="J319" s="67"/>
      <c r="K319" s="908"/>
    </row>
    <row r="320" spans="4:11" x14ac:dyDescent="0.25">
      <c r="D320" s="908"/>
      <c r="E320" s="908"/>
      <c r="F320" s="908"/>
      <c r="G320" s="908"/>
      <c r="H320" s="67"/>
      <c r="I320" s="67"/>
      <c r="J320" s="67"/>
      <c r="K320" s="908"/>
    </row>
    <row r="321" spans="4:11" x14ac:dyDescent="0.25">
      <c r="D321" s="908"/>
      <c r="E321" s="908"/>
      <c r="F321" s="908"/>
      <c r="G321" s="908"/>
      <c r="H321" s="67"/>
      <c r="I321" s="67"/>
      <c r="J321" s="67"/>
      <c r="K321" s="908"/>
    </row>
    <row r="322" spans="4:11" x14ac:dyDescent="0.25">
      <c r="D322" s="908"/>
      <c r="E322" s="908"/>
      <c r="F322" s="908"/>
      <c r="G322" s="908"/>
      <c r="H322" s="67"/>
      <c r="I322" s="67"/>
      <c r="J322" s="67"/>
      <c r="K322" s="908"/>
    </row>
    <row r="323" spans="4:11" x14ac:dyDescent="0.25">
      <c r="D323" s="908"/>
      <c r="E323" s="908"/>
      <c r="F323" s="908"/>
      <c r="G323" s="908"/>
      <c r="H323" s="67"/>
      <c r="I323" s="67"/>
      <c r="J323" s="67"/>
      <c r="K323" s="908"/>
    </row>
    <row r="324" spans="4:11" x14ac:dyDescent="0.25">
      <c r="D324" s="908"/>
      <c r="E324" s="908"/>
      <c r="F324" s="908"/>
      <c r="G324" s="908"/>
      <c r="H324" s="67"/>
      <c r="I324" s="67"/>
      <c r="J324" s="67"/>
      <c r="K324" s="908"/>
    </row>
    <row r="325" spans="4:11" x14ac:dyDescent="0.25">
      <c r="D325" s="908"/>
      <c r="E325" s="908"/>
      <c r="F325" s="908"/>
      <c r="G325" s="908"/>
      <c r="H325" s="67"/>
      <c r="I325" s="67"/>
      <c r="J325" s="67"/>
      <c r="K325" s="908"/>
    </row>
    <row r="326" spans="4:11" x14ac:dyDescent="0.25">
      <c r="D326" s="908"/>
      <c r="E326" s="908"/>
      <c r="F326" s="908"/>
      <c r="G326" s="908"/>
      <c r="H326" s="67"/>
      <c r="I326" s="67"/>
      <c r="J326" s="67"/>
      <c r="K326" s="908"/>
    </row>
    <row r="327" spans="4:11" x14ac:dyDescent="0.25">
      <c r="D327" s="908"/>
      <c r="E327" s="908"/>
      <c r="F327" s="908"/>
      <c r="G327" s="908"/>
      <c r="H327" s="67"/>
      <c r="I327" s="67"/>
      <c r="J327" s="67"/>
      <c r="K327" s="908"/>
    </row>
    <row r="328" spans="4:11" x14ac:dyDescent="0.25">
      <c r="D328" s="908"/>
      <c r="E328" s="908"/>
      <c r="F328" s="908"/>
      <c r="G328" s="908"/>
      <c r="H328" s="67"/>
      <c r="I328" s="67"/>
      <c r="J328" s="67"/>
      <c r="K328" s="908"/>
    </row>
    <row r="329" spans="4:11" x14ac:dyDescent="0.25">
      <c r="D329" s="908"/>
      <c r="E329" s="908"/>
      <c r="F329" s="908"/>
      <c r="G329" s="908"/>
      <c r="H329" s="67"/>
      <c r="I329" s="67"/>
      <c r="J329" s="67"/>
      <c r="K329" s="908"/>
    </row>
    <row r="330" spans="4:11" x14ac:dyDescent="0.25">
      <c r="D330" s="908"/>
      <c r="E330" s="908"/>
      <c r="F330" s="908"/>
      <c r="G330" s="908"/>
      <c r="H330" s="67"/>
      <c r="I330" s="67"/>
      <c r="J330" s="67"/>
      <c r="K330" s="908"/>
    </row>
    <row r="331" spans="4:11" x14ac:dyDescent="0.25">
      <c r="D331" s="908"/>
      <c r="E331" s="908"/>
      <c r="F331" s="908"/>
      <c r="G331" s="908"/>
      <c r="H331" s="67"/>
      <c r="I331" s="67"/>
      <c r="J331" s="67"/>
      <c r="K331" s="908"/>
    </row>
    <row r="332" spans="4:11" x14ac:dyDescent="0.25">
      <c r="D332" s="908"/>
      <c r="E332" s="908"/>
      <c r="F332" s="908"/>
      <c r="G332" s="908"/>
      <c r="H332" s="67"/>
      <c r="I332" s="67"/>
      <c r="J332" s="67"/>
      <c r="K332" s="908"/>
    </row>
    <row r="333" spans="4:11" x14ac:dyDescent="0.25">
      <c r="D333" s="908"/>
      <c r="E333" s="908"/>
      <c r="F333" s="908"/>
      <c r="G333" s="908"/>
      <c r="H333" s="67"/>
      <c r="I333" s="67"/>
      <c r="J333" s="67"/>
      <c r="K333" s="908"/>
    </row>
    <row r="334" spans="4:11" x14ac:dyDescent="0.25">
      <c r="D334" s="908"/>
      <c r="E334" s="908"/>
      <c r="F334" s="908"/>
      <c r="G334" s="908"/>
      <c r="H334" s="67"/>
      <c r="I334" s="67"/>
      <c r="J334" s="67"/>
      <c r="K334" s="908"/>
    </row>
    <row r="335" spans="4:11" x14ac:dyDescent="0.25">
      <c r="D335" s="908"/>
      <c r="E335" s="908"/>
      <c r="F335" s="908"/>
      <c r="G335" s="908"/>
      <c r="H335" s="67"/>
      <c r="I335" s="67"/>
      <c r="J335" s="67"/>
      <c r="K335" s="908"/>
    </row>
    <row r="336" spans="4:11" x14ac:dyDescent="0.25">
      <c r="D336" s="908"/>
      <c r="E336" s="908"/>
      <c r="F336" s="908"/>
      <c r="G336" s="908"/>
      <c r="H336" s="67"/>
      <c r="I336" s="67"/>
      <c r="J336" s="67"/>
      <c r="K336" s="908"/>
    </row>
    <row r="337" spans="4:11" x14ac:dyDescent="0.25">
      <c r="D337" s="908"/>
      <c r="E337" s="908"/>
      <c r="F337" s="908"/>
      <c r="G337" s="908"/>
      <c r="H337" s="67"/>
      <c r="I337" s="67"/>
      <c r="J337" s="67"/>
      <c r="K337" s="908"/>
    </row>
    <row r="338" spans="4:11" x14ac:dyDescent="0.25">
      <c r="D338" s="908"/>
      <c r="E338" s="908"/>
      <c r="F338" s="908"/>
      <c r="G338" s="908"/>
      <c r="H338" s="67"/>
      <c r="I338" s="67"/>
      <c r="J338" s="67"/>
      <c r="K338" s="908"/>
    </row>
    <row r="339" spans="4:11" x14ac:dyDescent="0.25">
      <c r="D339" s="908"/>
      <c r="E339" s="908"/>
      <c r="F339" s="908"/>
      <c r="G339" s="908"/>
      <c r="H339" s="67"/>
      <c r="I339" s="67"/>
      <c r="J339" s="67"/>
      <c r="K339" s="908"/>
    </row>
    <row r="340" spans="4:11" x14ac:dyDescent="0.25">
      <c r="D340" s="908"/>
      <c r="E340" s="908"/>
      <c r="F340" s="908"/>
      <c r="G340" s="908"/>
      <c r="H340" s="67"/>
      <c r="I340" s="67"/>
      <c r="J340" s="67"/>
      <c r="K340" s="908"/>
    </row>
    <row r="341" spans="4:11" x14ac:dyDescent="0.25">
      <c r="D341" s="908"/>
      <c r="E341" s="908"/>
      <c r="F341" s="908"/>
      <c r="G341" s="908"/>
      <c r="H341" s="67"/>
      <c r="I341" s="67"/>
      <c r="J341" s="67"/>
      <c r="K341" s="908"/>
    </row>
    <row r="342" spans="4:11" x14ac:dyDescent="0.25">
      <c r="D342" s="908"/>
      <c r="E342" s="908"/>
      <c r="F342" s="908"/>
      <c r="G342" s="908"/>
      <c r="H342" s="67"/>
      <c r="I342" s="67"/>
      <c r="J342" s="67"/>
      <c r="K342" s="908"/>
    </row>
    <row r="343" spans="4:11" x14ac:dyDescent="0.25">
      <c r="D343" s="908"/>
      <c r="E343" s="908"/>
      <c r="F343" s="908"/>
      <c r="G343" s="908"/>
      <c r="H343" s="67"/>
      <c r="I343" s="67"/>
      <c r="J343" s="67"/>
      <c r="K343" s="908"/>
    </row>
    <row r="344" spans="4:11" x14ac:dyDescent="0.25">
      <c r="D344" s="908"/>
      <c r="E344" s="908"/>
      <c r="F344" s="908"/>
      <c r="G344" s="908"/>
      <c r="H344" s="67"/>
      <c r="I344" s="67"/>
      <c r="J344" s="67"/>
      <c r="K344" s="908"/>
    </row>
    <row r="345" spans="4:11" x14ac:dyDescent="0.25">
      <c r="D345" s="908"/>
      <c r="E345" s="908"/>
      <c r="F345" s="908"/>
      <c r="G345" s="908"/>
      <c r="H345" s="67"/>
      <c r="I345" s="67"/>
      <c r="J345" s="67"/>
      <c r="K345" s="908"/>
    </row>
    <row r="346" spans="4:11" x14ac:dyDescent="0.25">
      <c r="D346" s="908"/>
      <c r="E346" s="908"/>
      <c r="F346" s="908"/>
      <c r="G346" s="908"/>
      <c r="H346" s="67"/>
      <c r="I346" s="67"/>
      <c r="J346" s="67"/>
      <c r="K346" s="908"/>
    </row>
    <row r="347" spans="4:11" x14ac:dyDescent="0.25">
      <c r="D347" s="908"/>
      <c r="E347" s="908"/>
      <c r="F347" s="908"/>
      <c r="G347" s="908"/>
      <c r="H347" s="67"/>
      <c r="I347" s="67"/>
      <c r="J347" s="67"/>
      <c r="K347" s="908"/>
    </row>
    <row r="348" spans="4:11" x14ac:dyDescent="0.25">
      <c r="D348" s="908"/>
      <c r="E348" s="908"/>
      <c r="F348" s="908"/>
      <c r="G348" s="908"/>
      <c r="H348" s="67"/>
      <c r="I348" s="67"/>
      <c r="J348" s="67"/>
      <c r="K348" s="908"/>
    </row>
    <row r="349" spans="4:11" x14ac:dyDescent="0.25">
      <c r="D349" s="908"/>
      <c r="E349" s="908"/>
      <c r="F349" s="908"/>
      <c r="G349" s="908"/>
      <c r="H349" s="67"/>
      <c r="I349" s="67"/>
      <c r="J349" s="67"/>
      <c r="K349" s="908"/>
    </row>
    <row r="350" spans="4:11" x14ac:dyDescent="0.25">
      <c r="D350" s="908"/>
      <c r="E350" s="908"/>
      <c r="F350" s="908"/>
      <c r="G350" s="908"/>
      <c r="H350" s="67"/>
      <c r="I350" s="67"/>
      <c r="J350" s="67"/>
      <c r="K350" s="908"/>
    </row>
  </sheetData>
  <mergeCells count="3">
    <mergeCell ref="A1:M1"/>
    <mergeCell ref="A2:M2"/>
    <mergeCell ref="A3:M3"/>
  </mergeCells>
  <phoneticPr fontId="24" type="noConversion"/>
  <printOptions horizontalCentered="1"/>
  <pageMargins left="0.25" right="0.25" top="0.75" bottom="0.75" header="0.3" footer="0.3"/>
  <pageSetup scale="70" orientation="portrait" horizontalDpi="360" verticalDpi="360" r:id="rId1"/>
  <headerFooter alignWithMargins="0">
    <oddHeader>&amp;L&amp;G&amp;R&amp;6&amp;F/&amp;A</oddHeader>
    <oddFooter>&amp;L&amp;6Esta información es propiedad del Instituto Nacional de Vivienda y Urbanismo. Se autoriza su utilización, pero no su alteración. Recuerde que puede acceder a los archivos PDF para verificación.&amp;R&amp;6&amp;P</oddFoot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9900"/>
  </sheetPr>
  <dimension ref="A1:BH324"/>
  <sheetViews>
    <sheetView zoomScale="75" workbookViewId="0">
      <selection activeCell="BC32" sqref="BC32"/>
    </sheetView>
  </sheetViews>
  <sheetFormatPr baseColWidth="10" defaultColWidth="20.6640625" defaultRowHeight="15.6" x14ac:dyDescent="0.3"/>
  <cols>
    <col min="1" max="1" width="22.33203125" style="553" bestFit="1" customWidth="1"/>
    <col min="2" max="2" width="44.6640625" style="553" customWidth="1"/>
    <col min="3" max="3" width="5.6640625" style="555" customWidth="1"/>
    <col min="4" max="5" width="24.33203125" style="553" hidden="1" customWidth="1"/>
    <col min="6" max="6" width="23.88671875" style="554" customWidth="1"/>
    <col min="7" max="7" width="3.44140625" style="553" hidden="1" customWidth="1"/>
    <col min="8" max="8" width="4.5546875" style="553" hidden="1" customWidth="1"/>
    <col min="9" max="9" width="2.44140625" style="553" hidden="1" customWidth="1"/>
    <col min="10" max="10" width="3.5546875" style="553" hidden="1" customWidth="1"/>
    <col min="11" max="11" width="2.6640625" style="553" hidden="1" customWidth="1"/>
    <col min="12" max="12" width="4.44140625" style="76" hidden="1" customWidth="1"/>
    <col min="13" max="13" width="4.5546875" style="575" hidden="1" customWidth="1"/>
    <col min="14" max="14" width="3.5546875" style="553" hidden="1" customWidth="1"/>
    <col min="15" max="15" width="2.44140625" style="553" hidden="1" customWidth="1"/>
    <col min="16" max="16" width="3.44140625" style="76" hidden="1" customWidth="1"/>
    <col min="17" max="17" width="2.33203125" style="553" hidden="1" customWidth="1"/>
    <col min="18" max="18" width="3" style="578" hidden="1" customWidth="1"/>
    <col min="19" max="19" width="2.6640625" style="575" hidden="1" customWidth="1"/>
    <col min="20" max="20" width="3.44140625" style="575" hidden="1" customWidth="1"/>
    <col min="21" max="21" width="3.88671875" style="575" hidden="1" customWidth="1"/>
    <col min="22" max="22" width="3.44140625" style="575" hidden="1" customWidth="1"/>
    <col min="23" max="23" width="1.88671875" style="575" hidden="1" customWidth="1"/>
    <col min="24" max="24" width="21.109375" style="577" hidden="1" customWidth="1"/>
    <col min="25" max="30" width="26.88671875" style="553" hidden="1" customWidth="1"/>
    <col min="31" max="31" width="8.6640625" style="574" hidden="1" customWidth="1"/>
    <col min="32" max="32" width="26.88671875" style="554" hidden="1" customWidth="1"/>
    <col min="33" max="33" width="27.109375" style="553" hidden="1" customWidth="1"/>
    <col min="34" max="34" width="23.5546875" style="553" hidden="1" customWidth="1"/>
    <col min="35" max="35" width="25.88671875" style="553" hidden="1" customWidth="1"/>
    <col min="36" max="37" width="20.6640625" style="553" hidden="1" customWidth="1"/>
    <col min="38" max="38" width="8.6640625" style="553" hidden="1" customWidth="1"/>
    <col min="39" max="39" width="22" style="554" hidden="1" customWidth="1"/>
    <col min="40" max="40" width="21.33203125" style="130" hidden="1" customWidth="1"/>
    <col min="41" max="41" width="27.109375" style="553" hidden="1" customWidth="1"/>
    <col min="42" max="42" width="20.6640625" style="576" hidden="1" customWidth="1"/>
    <col min="43" max="46" width="20.6640625" style="553" hidden="1" customWidth="1"/>
    <col min="47" max="47" width="27.109375" style="575" hidden="1" customWidth="1"/>
    <col min="48" max="48" width="14.88671875" style="574" hidden="1" customWidth="1"/>
    <col min="49" max="49" width="25.33203125" style="554" hidden="1" customWidth="1"/>
    <col min="50" max="50" width="7.44140625" style="574" hidden="1" customWidth="1"/>
    <col min="51" max="51" width="7.109375" style="553" customWidth="1"/>
    <col min="52" max="52" width="23.44140625" style="553" customWidth="1"/>
    <col min="53" max="53" width="7.44140625" style="573" bestFit="1" customWidth="1"/>
    <col min="54" max="54" width="16.5546875" style="553" customWidth="1"/>
    <col min="55" max="55" width="13.44140625" style="553" customWidth="1"/>
    <col min="56" max="56" width="23.44140625" style="553" customWidth="1"/>
    <col min="57" max="57" width="13.5546875" style="553" customWidth="1"/>
    <col min="58" max="58" width="20.109375" style="553" customWidth="1"/>
    <col min="59" max="59" width="20.6640625" style="553" customWidth="1"/>
    <col min="60" max="60" width="21.88671875" style="553" bestFit="1" customWidth="1"/>
    <col min="61" max="76" width="20.6640625" style="553" customWidth="1"/>
    <col min="77" max="16384" width="20.6640625" style="553"/>
  </cols>
  <sheetData>
    <row r="1" spans="1:60" x14ac:dyDescent="0.3">
      <c r="A1" s="1935" t="s">
        <v>518</v>
      </c>
      <c r="B1" s="1936"/>
      <c r="C1" s="1936"/>
      <c r="D1" s="1936"/>
      <c r="E1" s="1936"/>
      <c r="F1" s="1936"/>
      <c r="G1" s="1936"/>
      <c r="H1" s="1936"/>
      <c r="I1" s="1936"/>
      <c r="J1" s="1936"/>
      <c r="K1" s="1936"/>
      <c r="L1" s="1936"/>
      <c r="M1" s="1936"/>
      <c r="N1" s="1936"/>
      <c r="O1" s="1936"/>
      <c r="P1" s="1936"/>
      <c r="Q1" s="1936"/>
      <c r="R1" s="1936"/>
      <c r="S1" s="1936"/>
      <c r="T1" s="1936"/>
      <c r="U1" s="1936"/>
      <c r="V1" s="1936"/>
      <c r="W1" s="1936"/>
      <c r="X1" s="1936"/>
      <c r="Y1" s="1936"/>
      <c r="Z1" s="1936"/>
      <c r="AA1" s="1936"/>
      <c r="AB1" s="1936"/>
      <c r="AC1" s="1936"/>
      <c r="AD1" s="1936"/>
      <c r="AE1" s="1936"/>
      <c r="AF1" s="1936"/>
      <c r="AG1" s="1936"/>
      <c r="AH1" s="1936"/>
      <c r="AI1" s="1936"/>
      <c r="AJ1" s="1936"/>
      <c r="AK1" s="1936"/>
      <c r="AL1" s="1936"/>
      <c r="AM1" s="1936"/>
      <c r="AN1" s="1936"/>
      <c r="AO1" s="1936"/>
      <c r="AP1" s="1936"/>
      <c r="AQ1" s="1936"/>
      <c r="AR1" s="1936"/>
      <c r="AS1" s="1936"/>
      <c r="AT1" s="1936"/>
      <c r="AU1" s="1936"/>
      <c r="AV1" s="1936"/>
      <c r="AW1" s="1936"/>
      <c r="AX1" s="1936"/>
      <c r="AY1" s="1936"/>
      <c r="AZ1" s="1936"/>
      <c r="BA1" s="1936"/>
      <c r="BB1" s="1936"/>
      <c r="BC1" s="1936"/>
      <c r="BD1" s="1936"/>
      <c r="BE1" s="1936"/>
      <c r="BF1" s="1936"/>
      <c r="BG1" s="1937"/>
    </row>
    <row r="2" spans="1:60" x14ac:dyDescent="0.3">
      <c r="A2" s="1938" t="s">
        <v>960</v>
      </c>
      <c r="B2" s="1939"/>
      <c r="C2" s="1939"/>
      <c r="D2" s="1939"/>
      <c r="E2" s="1939"/>
      <c r="F2" s="1939"/>
      <c r="G2" s="1939"/>
      <c r="H2" s="1939"/>
      <c r="I2" s="1939"/>
      <c r="J2" s="1939"/>
      <c r="K2" s="1939"/>
      <c r="L2" s="1939"/>
      <c r="M2" s="1939"/>
      <c r="N2" s="1939"/>
      <c r="O2" s="1939"/>
      <c r="P2" s="1939"/>
      <c r="Q2" s="1939"/>
      <c r="R2" s="1939"/>
      <c r="S2" s="1939"/>
      <c r="T2" s="1939"/>
      <c r="U2" s="1939"/>
      <c r="V2" s="1939"/>
      <c r="W2" s="1939"/>
      <c r="X2" s="1939"/>
      <c r="Y2" s="1939"/>
      <c r="Z2" s="1939"/>
      <c r="AA2" s="1939"/>
      <c r="AB2" s="1939"/>
      <c r="AC2" s="1939"/>
      <c r="AD2" s="1939"/>
      <c r="AE2" s="1939"/>
      <c r="AF2" s="1939"/>
      <c r="AG2" s="1939"/>
      <c r="AH2" s="1939"/>
      <c r="AI2" s="1939"/>
      <c r="AJ2" s="1939"/>
      <c r="AK2" s="1939"/>
      <c r="AL2" s="1939"/>
      <c r="AM2" s="1939"/>
      <c r="AN2" s="1939"/>
      <c r="AO2" s="1939"/>
      <c r="AP2" s="1939"/>
      <c r="AQ2" s="1939"/>
      <c r="AR2" s="1939"/>
      <c r="AS2" s="1939"/>
      <c r="AT2" s="1939"/>
      <c r="AU2" s="1939"/>
      <c r="AV2" s="1939"/>
      <c r="AW2" s="1939"/>
      <c r="AX2" s="1939"/>
      <c r="AY2" s="1939"/>
      <c r="AZ2" s="1939"/>
      <c r="BA2" s="1939"/>
      <c r="BB2" s="1939"/>
      <c r="BC2" s="1939"/>
      <c r="BD2" s="1939"/>
      <c r="BE2" s="1939"/>
      <c r="BF2" s="1939"/>
      <c r="BG2" s="1940"/>
    </row>
    <row r="3" spans="1:60" ht="16.2" thickBot="1" x14ac:dyDescent="0.35">
      <c r="A3" s="1993" t="s">
        <v>959</v>
      </c>
      <c r="B3" s="1994"/>
      <c r="C3" s="1994"/>
      <c r="D3" s="1994"/>
      <c r="E3" s="1994"/>
      <c r="F3" s="1994"/>
      <c r="G3" s="1994"/>
      <c r="H3" s="1994"/>
      <c r="I3" s="1994"/>
      <c r="J3" s="1994"/>
      <c r="K3" s="1994"/>
      <c r="L3" s="1994"/>
      <c r="M3" s="1994"/>
      <c r="N3" s="1994"/>
      <c r="O3" s="1994"/>
      <c r="P3" s="1994"/>
      <c r="Q3" s="1994"/>
      <c r="R3" s="1994"/>
      <c r="S3" s="1994"/>
      <c r="T3" s="1994"/>
      <c r="U3" s="1994"/>
      <c r="V3" s="1994"/>
      <c r="W3" s="1994"/>
      <c r="X3" s="1994"/>
      <c r="Y3" s="1994"/>
      <c r="Z3" s="1994"/>
      <c r="AA3" s="1994"/>
      <c r="AB3" s="1994"/>
      <c r="AC3" s="1994"/>
      <c r="AD3" s="1994"/>
      <c r="AE3" s="1994"/>
      <c r="AF3" s="1994"/>
      <c r="AG3" s="1994"/>
      <c r="AH3" s="1994"/>
      <c r="AI3" s="1994"/>
      <c r="AJ3" s="1994"/>
      <c r="AK3" s="1994"/>
      <c r="AL3" s="1994"/>
      <c r="AM3" s="1994"/>
      <c r="AN3" s="1994"/>
      <c r="AO3" s="1994"/>
      <c r="AP3" s="1994"/>
      <c r="AQ3" s="1994"/>
      <c r="AR3" s="1994"/>
      <c r="AS3" s="1994"/>
      <c r="AT3" s="1994"/>
      <c r="AU3" s="1994"/>
      <c r="AV3" s="1994"/>
      <c r="AW3" s="1994"/>
      <c r="AX3" s="1994"/>
      <c r="AY3" s="1994"/>
      <c r="AZ3" s="1994"/>
      <c r="BA3" s="1994"/>
      <c r="BB3" s="1994"/>
      <c r="BC3" s="1994"/>
      <c r="BD3" s="1994"/>
      <c r="BE3" s="1994"/>
      <c r="BF3" s="1994"/>
      <c r="BG3" s="1995"/>
    </row>
    <row r="4" spans="1:60" ht="33" hidden="1" customHeight="1" x14ac:dyDescent="0.25">
      <c r="A4" s="1908"/>
      <c r="B4" s="1908"/>
      <c r="C4" s="1908"/>
      <c r="D4" s="1908"/>
      <c r="E4" s="1908"/>
      <c r="F4" s="1908"/>
      <c r="G4" s="1908"/>
      <c r="H4" s="1908"/>
      <c r="I4" s="1908"/>
      <c r="J4" s="1908"/>
      <c r="K4" s="1908"/>
      <c r="L4" s="1908"/>
      <c r="M4" s="1908"/>
      <c r="N4" s="1908"/>
      <c r="O4" s="1908"/>
      <c r="P4" s="1908"/>
      <c r="Q4" s="1908"/>
      <c r="R4" s="1908"/>
      <c r="S4" s="1908"/>
      <c r="T4" s="1908"/>
      <c r="U4" s="1908"/>
      <c r="V4" s="1908"/>
      <c r="W4" s="1908"/>
      <c r="X4" s="1908"/>
      <c r="Y4" s="1908"/>
      <c r="Z4" s="1908"/>
      <c r="AA4" s="1908"/>
      <c r="AB4" s="1908"/>
      <c r="AC4" s="1908"/>
      <c r="AD4" s="1908"/>
      <c r="AE4" s="1908"/>
      <c r="AF4" s="1908"/>
      <c r="AG4" s="1908"/>
      <c r="AH4" s="1908"/>
      <c r="AI4" s="1908"/>
      <c r="AJ4" s="1908"/>
      <c r="AK4" s="1908"/>
      <c r="AL4" s="1908"/>
      <c r="AM4" s="1908"/>
      <c r="AN4" s="1908"/>
      <c r="AO4" s="96"/>
      <c r="AP4" s="843"/>
      <c r="AQ4" s="96"/>
      <c r="AR4" s="96"/>
      <c r="AS4" s="96"/>
      <c r="AT4" s="96"/>
      <c r="AV4" s="842"/>
      <c r="AX4" s="842"/>
    </row>
    <row r="5" spans="1:60" s="555" customFormat="1" ht="11.25" hidden="1" customHeight="1" x14ac:dyDescent="0.3">
      <c r="B5" s="555" t="s">
        <v>0</v>
      </c>
      <c r="C5" s="555" t="s">
        <v>0</v>
      </c>
      <c r="D5" s="837" t="s">
        <v>0</v>
      </c>
      <c r="E5" s="841"/>
      <c r="F5" s="572"/>
      <c r="G5" s="837" t="s">
        <v>0</v>
      </c>
      <c r="H5" s="840" t="s">
        <v>1</v>
      </c>
      <c r="I5" s="839" t="s">
        <v>2</v>
      </c>
      <c r="J5" s="838" t="s">
        <v>3</v>
      </c>
      <c r="K5" s="838" t="s">
        <v>4</v>
      </c>
      <c r="L5" s="838" t="s">
        <v>477</v>
      </c>
      <c r="M5" s="838" t="s">
        <v>479</v>
      </c>
      <c r="N5" s="838" t="s">
        <v>5</v>
      </c>
      <c r="O5" s="838" t="s">
        <v>6</v>
      </c>
      <c r="P5" s="838" t="s">
        <v>7</v>
      </c>
      <c r="Q5" s="838" t="s">
        <v>8</v>
      </c>
      <c r="R5" s="837" t="s">
        <v>9</v>
      </c>
      <c r="S5" s="837" t="s">
        <v>468</v>
      </c>
      <c r="T5" s="837" t="s">
        <v>10</v>
      </c>
      <c r="U5" s="837" t="s">
        <v>10</v>
      </c>
      <c r="V5" s="837" t="s">
        <v>11</v>
      </c>
      <c r="W5" s="837" t="s">
        <v>12</v>
      </c>
      <c r="X5" s="835"/>
      <c r="Y5" s="837" t="s">
        <v>0</v>
      </c>
      <c r="Z5" s="837" t="s">
        <v>0</v>
      </c>
      <c r="AA5" s="837" t="s">
        <v>0</v>
      </c>
      <c r="AB5" s="837" t="s">
        <v>0</v>
      </c>
      <c r="AC5" s="837" t="s">
        <v>0</v>
      </c>
      <c r="AD5" s="837" t="s">
        <v>0</v>
      </c>
      <c r="AE5" s="836"/>
      <c r="AF5" s="835"/>
      <c r="AM5" s="572"/>
      <c r="AN5" s="122"/>
      <c r="AP5" s="834"/>
      <c r="AU5" s="833"/>
      <c r="AV5" s="832"/>
      <c r="AW5" s="572"/>
      <c r="AX5" s="832"/>
      <c r="BA5" s="831"/>
    </row>
    <row r="6" spans="1:60" s="571" customFormat="1" ht="81.75" customHeight="1" thickBot="1" x14ac:dyDescent="0.3">
      <c r="A6" s="1381" t="s">
        <v>13</v>
      </c>
      <c r="B6" s="1914" t="s">
        <v>14</v>
      </c>
      <c r="C6" s="1996"/>
      <c r="D6" s="1382" t="s">
        <v>476</v>
      </c>
      <c r="E6" s="1383" t="s">
        <v>550</v>
      </c>
      <c r="F6" s="1382" t="s">
        <v>958</v>
      </c>
      <c r="G6" s="1382" t="s">
        <v>957</v>
      </c>
      <c r="H6" s="1382" t="s">
        <v>957</v>
      </c>
      <c r="I6" s="1382" t="s">
        <v>957</v>
      </c>
      <c r="J6" s="1382" t="s">
        <v>957</v>
      </c>
      <c r="K6" s="1382" t="s">
        <v>957</v>
      </c>
      <c r="L6" s="1382" t="s">
        <v>957</v>
      </c>
      <c r="M6" s="1382" t="s">
        <v>957</v>
      </c>
      <c r="N6" s="1382" t="s">
        <v>957</v>
      </c>
      <c r="O6" s="1382" t="s">
        <v>957</v>
      </c>
      <c r="P6" s="1382" t="s">
        <v>957</v>
      </c>
      <c r="Q6" s="1382" t="s">
        <v>957</v>
      </c>
      <c r="R6" s="1382" t="s">
        <v>957</v>
      </c>
      <c r="S6" s="1382" t="s">
        <v>957</v>
      </c>
      <c r="T6" s="1382" t="s">
        <v>957</v>
      </c>
      <c r="U6" s="1382" t="s">
        <v>957</v>
      </c>
      <c r="V6" s="1382" t="s">
        <v>957</v>
      </c>
      <c r="W6" s="1382" t="s">
        <v>957</v>
      </c>
      <c r="X6" s="1382" t="s">
        <v>957</v>
      </c>
      <c r="Y6" s="1382" t="s">
        <v>957</v>
      </c>
      <c r="Z6" s="1382" t="s">
        <v>957</v>
      </c>
      <c r="AA6" s="1382" t="s">
        <v>957</v>
      </c>
      <c r="AB6" s="1382" t="s">
        <v>957</v>
      </c>
      <c r="AC6" s="1382" t="s">
        <v>957</v>
      </c>
      <c r="AD6" s="1382" t="s">
        <v>957</v>
      </c>
      <c r="AE6" s="1382" t="s">
        <v>957</v>
      </c>
      <c r="AF6" s="1382" t="s">
        <v>957</v>
      </c>
      <c r="AG6" s="1382" t="s">
        <v>957</v>
      </c>
      <c r="AH6" s="1382" t="s">
        <v>957</v>
      </c>
      <c r="AI6" s="1382" t="s">
        <v>957</v>
      </c>
      <c r="AJ6" s="1382" t="s">
        <v>957</v>
      </c>
      <c r="AK6" s="1382" t="s">
        <v>957</v>
      </c>
      <c r="AL6" s="1382" t="s">
        <v>957</v>
      </c>
      <c r="AM6" s="1382" t="s">
        <v>957</v>
      </c>
      <c r="AN6" s="1382" t="s">
        <v>957</v>
      </c>
      <c r="AO6" s="1382" t="s">
        <v>957</v>
      </c>
      <c r="AP6" s="1382" t="s">
        <v>957</v>
      </c>
      <c r="AQ6" s="1382" t="s">
        <v>957</v>
      </c>
      <c r="AR6" s="1382" t="s">
        <v>957</v>
      </c>
      <c r="AS6" s="1382" t="s">
        <v>957</v>
      </c>
      <c r="AT6" s="1382" t="s">
        <v>957</v>
      </c>
      <c r="AU6" s="1382" t="s">
        <v>957</v>
      </c>
      <c r="AV6" s="1382" t="s">
        <v>957</v>
      </c>
      <c r="AW6" s="1382" t="s">
        <v>957</v>
      </c>
      <c r="AX6" s="1382" t="s">
        <v>957</v>
      </c>
      <c r="AY6" s="1382" t="s">
        <v>486</v>
      </c>
      <c r="AZ6" s="1382" t="s">
        <v>956</v>
      </c>
      <c r="BA6" s="1527" t="s">
        <v>486</v>
      </c>
      <c r="BB6" s="1382" t="s">
        <v>955</v>
      </c>
      <c r="BC6" s="1382" t="s">
        <v>954</v>
      </c>
      <c r="BD6" s="1382" t="s">
        <v>953</v>
      </c>
      <c r="BE6" s="1382" t="s">
        <v>486</v>
      </c>
      <c r="BF6" s="1382" t="s">
        <v>952</v>
      </c>
      <c r="BG6" s="1528" t="s">
        <v>951</v>
      </c>
      <c r="BH6" s="830"/>
    </row>
    <row r="7" spans="1:60" ht="20.399999999999999" customHeight="1" x14ac:dyDescent="0.3">
      <c r="A7" s="829"/>
      <c r="B7" s="1997" t="s">
        <v>950</v>
      </c>
      <c r="C7" s="1998"/>
      <c r="D7" s="828">
        <f>SUM(D9+D63+D136+D171+D185+D196+D245+D271+D288+D296)</f>
        <v>74414742211.959198</v>
      </c>
      <c r="E7" s="825">
        <f>SUM(E9+E63+E136+E171+E185+E196+E245+E271+E288+E296)</f>
        <v>74414742211.959198</v>
      </c>
      <c r="F7" s="570">
        <f>F9+F63+F136+F171+F185+F196+F245+F271+F288+F296</f>
        <v>65065338.341000006</v>
      </c>
      <c r="G7" s="825">
        <f t="shared" ref="G7:S7" si="0">+G9+G63+G136+G171+G185+G196+G245+G271+G288+G296</f>
        <v>6126427200.6300001</v>
      </c>
      <c r="H7" s="825">
        <f t="shared" si="0"/>
        <v>32280494.649999999</v>
      </c>
      <c r="I7" s="825">
        <f t="shared" si="0"/>
        <v>207842708.20000002</v>
      </c>
      <c r="J7" s="825">
        <f t="shared" si="0"/>
        <v>216253349.19000003</v>
      </c>
      <c r="K7" s="825">
        <f t="shared" si="0"/>
        <v>247205835.28</v>
      </c>
      <c r="L7" s="438">
        <f t="shared" si="0"/>
        <v>74600000</v>
      </c>
      <c r="M7" s="825">
        <f t="shared" si="0"/>
        <v>587013372.26999998</v>
      </c>
      <c r="N7" s="825">
        <f t="shared" si="0"/>
        <v>12700000</v>
      </c>
      <c r="O7" s="825">
        <f t="shared" si="0"/>
        <v>26302651.960000001</v>
      </c>
      <c r="P7" s="438">
        <f t="shared" si="0"/>
        <v>256819736.79999998</v>
      </c>
      <c r="Q7" s="825">
        <f t="shared" si="0"/>
        <v>388558156.06999999</v>
      </c>
      <c r="R7" s="825">
        <f t="shared" si="0"/>
        <v>173682496.38</v>
      </c>
      <c r="S7" s="825">
        <f t="shared" si="0"/>
        <v>2078602281.0799999</v>
      </c>
      <c r="T7" s="825">
        <f>SUM(T9+T63+T136+T171+T196+T245+T273+T288+T296)</f>
        <v>322402460.48000002</v>
      </c>
      <c r="U7" s="825">
        <f t="shared" ref="U7:AD7" si="1">+U9+U63+U136+U171+U185+U196+U245+U271+U288+U296</f>
        <v>167798184.82999998</v>
      </c>
      <c r="V7" s="825">
        <f t="shared" si="1"/>
        <v>1248516331.5900002</v>
      </c>
      <c r="W7" s="825">
        <f t="shared" si="1"/>
        <v>87474141.849999994</v>
      </c>
      <c r="X7" s="827">
        <f t="shared" si="1"/>
        <v>5098148.4239999996</v>
      </c>
      <c r="Y7" s="825">
        <f t="shared" si="1"/>
        <v>1488294844.2391999</v>
      </c>
      <c r="Z7" s="825">
        <f t="shared" si="1"/>
        <v>253794217</v>
      </c>
      <c r="AA7" s="825">
        <f t="shared" si="1"/>
        <v>407020128.89920008</v>
      </c>
      <c r="AB7" s="825">
        <f t="shared" si="1"/>
        <v>264130137.11999997</v>
      </c>
      <c r="AC7" s="825">
        <f t="shared" si="1"/>
        <v>420365515.75</v>
      </c>
      <c r="AD7" s="825">
        <f t="shared" si="1"/>
        <v>142984845.47</v>
      </c>
      <c r="AE7" s="817">
        <f>X7/X7</f>
        <v>1</v>
      </c>
      <c r="AF7" s="827">
        <f>+AF9+AF63+AF136+AF171+AF185+AF196+AF245+AF271+AF288+AF296</f>
        <v>1447815.452</v>
      </c>
      <c r="AG7" s="439">
        <f>SUM(AG9+AG63+AG136+AG171+AG185+AG196+AG245+AG271+AG296)</f>
        <v>9423582226.0100002</v>
      </c>
      <c r="AH7" s="826">
        <f>+AH9+AH63+AH136+AH171+AH185+AH196+AH245+AH271+AH288+AH296</f>
        <v>216529262.31</v>
      </c>
      <c r="AI7" s="825">
        <f>+AI9+AI63+AI136+AI171+AI185+AI196+AI245+AI271+AI288+AI296</f>
        <v>6571092256.75</v>
      </c>
      <c r="AJ7" s="825">
        <f>+AJ9+AJ63+AJ136+AJ171+AJ185+AJ196+AJ245+AJ271+AJ288+AJ296</f>
        <v>108880236.33</v>
      </c>
      <c r="AK7" s="825">
        <f>+AK9+AK63+AK136+AK171+AK185+AK196+AK245+AK271+AK288+AK296</f>
        <v>2527080470.6199999</v>
      </c>
      <c r="AL7" s="825">
        <f>AL9+AL63+AL136+AL171+AL185+AL196+AL245+AL271+AL288+AL296</f>
        <v>100</v>
      </c>
      <c r="AM7" s="824">
        <f>SUM(AM9+AM63+AM136+AM171+AM185+AM196+AM245+AM271+AM296)</f>
        <v>11471250.259</v>
      </c>
      <c r="AN7" s="435">
        <f t="shared" ref="AN7:AU7" si="2">+AN9+AN63+AN136+AN171+AN185+AN196+AN245+AN271+AN288+AN296</f>
        <v>57376437941.080002</v>
      </c>
      <c r="AO7" s="821">
        <f t="shared" si="2"/>
        <v>46886406766.470001</v>
      </c>
      <c r="AP7" s="823">
        <f t="shared" si="2"/>
        <v>10490031174.610001</v>
      </c>
      <c r="AQ7" s="822">
        <f t="shared" si="2"/>
        <v>120424554.63</v>
      </c>
      <c r="AR7" s="821">
        <f t="shared" si="2"/>
        <v>124694542.55</v>
      </c>
      <c r="AS7" s="821">
        <f t="shared" si="2"/>
        <v>64799110.409999996</v>
      </c>
      <c r="AT7" s="821">
        <f t="shared" si="2"/>
        <v>10180112967.02</v>
      </c>
      <c r="AU7" s="820">
        <f t="shared" si="2"/>
        <v>71760804197.869202</v>
      </c>
      <c r="AV7" s="819">
        <f>AV9+AV63+AV136+AV171+AV185+AV196+AV245+AV271+AV288+AV296</f>
        <v>1</v>
      </c>
      <c r="AW7" s="818">
        <f>+AW9+AW63+AW136+AW171+AW185+AW196+AW245+AW271+AW288+AW296</f>
        <v>51713989.078000002</v>
      </c>
      <c r="AX7" s="817">
        <f>AW7/$AW$7</f>
        <v>1</v>
      </c>
      <c r="AY7" s="816">
        <f>F7/F7</f>
        <v>1</v>
      </c>
      <c r="AZ7" s="570">
        <f>AZ9+AZ63+AZ136+AZ171+AZ185+AZ196+AZ245+AZ271+AZ288+AZ296</f>
        <v>36523498.562140003</v>
      </c>
      <c r="BA7" s="814">
        <f>+BA9+BA63+BA136+BA171+BA185+BA196+BA245+BA271+BA288+BA296</f>
        <v>1</v>
      </c>
      <c r="BB7" s="813">
        <f>F7-AZ7</f>
        <v>28541839.778860003</v>
      </c>
      <c r="BC7" s="815">
        <f>+(F7-AZ7)/AZ7</f>
        <v>0.7814651088339678</v>
      </c>
      <c r="BD7" s="570">
        <f>BD9+BD63+BD136+BD171+BD185+BD196+BD245+BD271+BD288+BD296</f>
        <v>43416596.283000007</v>
      </c>
      <c r="BE7" s="814">
        <f>+BE9+BE63+BE136+BE171+BE185+BE196+BE245+BE271+BE288+BE296</f>
        <v>0.99999999999999978</v>
      </c>
      <c r="BF7" s="813">
        <f>AZ7-BD7</f>
        <v>-6893097.7208600044</v>
      </c>
      <c r="BG7" s="812">
        <f>(AZ7-BD7)/BD7</f>
        <v>-0.1587664236949646</v>
      </c>
      <c r="BH7" s="555"/>
    </row>
    <row r="8" spans="1:60" ht="15" customHeight="1" x14ac:dyDescent="0.3">
      <c r="A8" s="811"/>
      <c r="B8" s="810" t="s">
        <v>0</v>
      </c>
      <c r="C8" s="809"/>
      <c r="D8" s="807"/>
      <c r="E8" s="620"/>
      <c r="F8" s="808"/>
      <c r="G8" s="807"/>
      <c r="H8" s="807"/>
      <c r="I8" s="807"/>
      <c r="J8" s="807"/>
      <c r="K8" s="807"/>
      <c r="L8" s="75"/>
      <c r="M8" s="630"/>
      <c r="N8" s="807"/>
      <c r="O8" s="807"/>
      <c r="P8" s="75"/>
      <c r="Q8" s="807"/>
      <c r="R8" s="630"/>
      <c r="S8" s="630"/>
      <c r="T8" s="630"/>
      <c r="U8" s="630"/>
      <c r="V8" s="630"/>
      <c r="W8" s="630"/>
      <c r="X8" s="806"/>
      <c r="Y8" s="3"/>
      <c r="Z8" s="3"/>
      <c r="AA8" s="3"/>
      <c r="AB8" s="3"/>
      <c r="AC8" s="3"/>
      <c r="AD8" s="3"/>
      <c r="AE8" s="805"/>
      <c r="AF8" s="10"/>
      <c r="AG8" s="123"/>
      <c r="AH8" s="804"/>
      <c r="AI8" s="3"/>
      <c r="AJ8" s="803"/>
      <c r="AK8" s="803"/>
      <c r="AL8" s="802"/>
      <c r="AM8" s="801"/>
      <c r="AN8" s="124"/>
      <c r="AO8" s="798"/>
      <c r="AP8" s="800"/>
      <c r="AQ8" s="799"/>
      <c r="AR8" s="798"/>
      <c r="AS8" s="798"/>
      <c r="AT8" s="798"/>
      <c r="AU8" s="568"/>
      <c r="AV8" s="797"/>
      <c r="AW8" s="796"/>
      <c r="AX8" s="609">
        <f>AW8/$AW$7</f>
        <v>0</v>
      </c>
      <c r="AY8" s="795"/>
      <c r="AZ8" s="606"/>
      <c r="BA8" s="608"/>
      <c r="BB8" s="641"/>
      <c r="BC8" s="608"/>
      <c r="BD8" s="786"/>
      <c r="BE8" s="608"/>
      <c r="BF8" s="556"/>
      <c r="BG8" s="566"/>
      <c r="BH8" s="555"/>
    </row>
    <row r="9" spans="1:60" ht="15.75" customHeight="1" x14ac:dyDescent="0.3">
      <c r="A9" s="31">
        <v>0</v>
      </c>
      <c r="B9" s="1909" t="s">
        <v>22</v>
      </c>
      <c r="C9" s="1968"/>
      <c r="D9" s="19">
        <f>D11+D17+D23+D45+D52+D58</f>
        <v>4041817159.3900003</v>
      </c>
      <c r="E9" s="628">
        <f>SUM(E11+E17+E23+E45+E52+E59)</f>
        <v>4041817159.3900003</v>
      </c>
      <c r="F9" s="787">
        <f>F11+F17+F23+F45+F52</f>
        <v>3788630.2450000001</v>
      </c>
      <c r="G9" s="19">
        <f>G11+G17+G23+G45+G52+G58</f>
        <v>2001643232.1199999</v>
      </c>
      <c r="H9" s="19">
        <f>H11+H17+H23+H45+H52</f>
        <v>26485894.649999999</v>
      </c>
      <c r="I9" s="19">
        <f>I11+I17+I23+I45+I52</f>
        <v>194254114.20000002</v>
      </c>
      <c r="J9" s="19">
        <f>J11+J17+J23+J45+J52</f>
        <v>170853082.61000001</v>
      </c>
      <c r="K9" s="19">
        <f>K11+K17+K23+K45+K52</f>
        <v>114805835.28</v>
      </c>
      <c r="L9" s="19">
        <f>L11+L17+L23+L45+L52</f>
        <v>0</v>
      </c>
      <c r="M9" s="19">
        <f>M11+M17+M23+M45+M52+M58</f>
        <v>156413594.38</v>
      </c>
      <c r="N9" s="19">
        <f>N11+N17+N23+N45+N52</f>
        <v>0</v>
      </c>
      <c r="O9" s="19">
        <f>O11+O17+O23+O45+O52</f>
        <v>21914356.960000001</v>
      </c>
      <c r="P9" s="19">
        <f>P11+P17+P23+P45+P52</f>
        <v>234713786.79999998</v>
      </c>
      <c r="Q9" s="19">
        <f>Q11+Q17+Q23+Q45+Q52</f>
        <v>318908156.06999999</v>
      </c>
      <c r="R9" s="19">
        <f t="shared" ref="R9:W9" si="3">R11+R17+R23+R45+R52+R58</f>
        <v>62512517.909999996</v>
      </c>
      <c r="S9" s="19">
        <f t="shared" si="3"/>
        <v>178432527.53999999</v>
      </c>
      <c r="T9" s="19">
        <f t="shared" si="3"/>
        <v>90274952.780000001</v>
      </c>
      <c r="U9" s="19">
        <f t="shared" si="3"/>
        <v>121034184.83</v>
      </c>
      <c r="V9" s="19">
        <f t="shared" si="3"/>
        <v>270951086.25999999</v>
      </c>
      <c r="W9" s="19">
        <f t="shared" si="3"/>
        <v>40089141.850000001</v>
      </c>
      <c r="X9" s="794">
        <f>+X11+X17+X23+X45+X52</f>
        <v>1872506.5999999999</v>
      </c>
      <c r="Y9" s="19">
        <f t="shared" ref="Y9:AD9" si="4">Y11+Y17+Y23+Y45+Y52+Y58</f>
        <v>804056315.10000002</v>
      </c>
      <c r="Z9" s="19">
        <f t="shared" si="4"/>
        <v>85473490.909999996</v>
      </c>
      <c r="AA9" s="19">
        <f t="shared" si="4"/>
        <v>102237325.84999999</v>
      </c>
      <c r="AB9" s="19">
        <f t="shared" si="4"/>
        <v>248445137.11999997</v>
      </c>
      <c r="AC9" s="19">
        <f t="shared" si="4"/>
        <v>251440515.74999997</v>
      </c>
      <c r="AD9" s="19">
        <f t="shared" si="4"/>
        <v>116459845.47</v>
      </c>
      <c r="AE9" s="782">
        <f>X9/$X$7*100</f>
        <v>36.729150355548768</v>
      </c>
      <c r="AF9" s="794">
        <f>+AF11+AF17+AF23+AF45+AF52</f>
        <v>667177.53799999994</v>
      </c>
      <c r="AG9" s="4">
        <f>SUM(AG11+AG17+AG23+AG45+AG52)</f>
        <v>545519495.52999997</v>
      </c>
      <c r="AH9" s="19">
        <f>AH11+AH17+AH23+AH45+AH52+AH58</f>
        <v>61464267.150000006</v>
      </c>
      <c r="AI9" s="19">
        <f>AI11+AI17+AI23+AI45+AI52+AI58</f>
        <v>218896945.03</v>
      </c>
      <c r="AJ9" s="4">
        <f>+AJ11+AJ17+AJ23+AJ45+AJ52+AJ58</f>
        <v>104165236.33</v>
      </c>
      <c r="AK9" s="4">
        <f>+AK11+AK17+AK23+AK45+AK52+AK58</f>
        <v>160993047.01999998</v>
      </c>
      <c r="AL9" s="793">
        <f>(AF9/AF7)*100</f>
        <v>46.081669944768613</v>
      </c>
      <c r="AM9" s="792">
        <f>+AM11+AM23+AM45+AM52</f>
        <v>471762.43800000002</v>
      </c>
      <c r="AN9" s="77">
        <f t="shared" ref="AN9:AU9" si="5">+AN11+AN17+AN23+AN45+AN52+AN58</f>
        <v>690598116.63999999</v>
      </c>
      <c r="AO9" s="790">
        <f t="shared" si="5"/>
        <v>362952208.35000002</v>
      </c>
      <c r="AP9" s="77">
        <f t="shared" si="5"/>
        <v>327645908.29000002</v>
      </c>
      <c r="AQ9" s="791">
        <f t="shared" si="5"/>
        <v>102526919.33</v>
      </c>
      <c r="AR9" s="790">
        <f t="shared" si="5"/>
        <v>69568042.549999997</v>
      </c>
      <c r="AS9" s="790">
        <f t="shared" si="5"/>
        <v>52794610.409999996</v>
      </c>
      <c r="AT9" s="790">
        <f t="shared" si="5"/>
        <v>102756336</v>
      </c>
      <c r="AU9" s="789">
        <f t="shared" si="5"/>
        <v>4041817159.3900003</v>
      </c>
      <c r="AV9" s="611">
        <f>AM9/$AM$7</f>
        <v>4.1125633854066548E-2</v>
      </c>
      <c r="AW9" s="788">
        <f>+AW11+AW17+AW23+AW45+AW52+AW58</f>
        <v>605790.57799999998</v>
      </c>
      <c r="AX9" s="609">
        <f>AW9/$AW$7</f>
        <v>1.1714249641161668E-2</v>
      </c>
      <c r="AY9" s="608">
        <f>+F9/F7</f>
        <v>5.8228087974340835E-2</v>
      </c>
      <c r="AZ9" s="787">
        <f>AZ11+AZ17+AZ23+AZ45+AZ52</f>
        <v>3321856.3125599995</v>
      </c>
      <c r="BA9" s="608">
        <f>+AZ9/$AZ$7</f>
        <v>9.0951207943792439E-2</v>
      </c>
      <c r="BB9" s="560">
        <f>+F9-AZ9</f>
        <v>466773.93244000059</v>
      </c>
      <c r="BC9" s="607">
        <f>+BB9/AZ9</f>
        <v>0.1405159912170553</v>
      </c>
      <c r="BD9" s="787">
        <f>BD11+BD17+BD23+BD45+BD52</f>
        <v>3103909.5589999994</v>
      </c>
      <c r="BE9" s="605">
        <f>+BD9/$BD$7</f>
        <v>7.149131495172853E-2</v>
      </c>
      <c r="BF9" s="560">
        <f>AZ9-BD9</f>
        <v>217946.7535600001</v>
      </c>
      <c r="BG9" s="604">
        <f>+BF9/BD9</f>
        <v>7.0216850529052466E-2</v>
      </c>
      <c r="BH9" s="786"/>
    </row>
    <row r="10" spans="1:60" ht="15.75" customHeight="1" x14ac:dyDescent="0.3">
      <c r="A10" s="785"/>
      <c r="B10" s="641"/>
      <c r="D10" s="560" t="s">
        <v>0</v>
      </c>
      <c r="E10" s="620"/>
      <c r="F10" s="558"/>
      <c r="G10" s="560"/>
      <c r="H10" s="560"/>
      <c r="I10" s="560"/>
      <c r="J10" s="560"/>
      <c r="K10" s="560"/>
      <c r="L10" s="5"/>
      <c r="M10" s="1"/>
      <c r="N10" s="560"/>
      <c r="O10" s="560"/>
      <c r="P10" s="5"/>
      <c r="Q10" s="560"/>
      <c r="R10" s="784"/>
      <c r="S10" s="1"/>
      <c r="T10" s="1"/>
      <c r="U10" s="1"/>
      <c r="V10" s="1"/>
      <c r="W10" s="1"/>
      <c r="X10" s="617"/>
      <c r="Y10" s="783"/>
      <c r="Z10" s="783"/>
      <c r="AA10" s="783"/>
      <c r="AB10" s="783"/>
      <c r="AC10" s="783"/>
      <c r="AD10" s="783"/>
      <c r="AE10" s="782"/>
      <c r="AF10" s="781"/>
      <c r="AG10" s="2">
        <f>SUM(AH10:AJ10)</f>
        <v>0</v>
      </c>
      <c r="AH10" s="730"/>
      <c r="AI10" s="5"/>
      <c r="AJ10" s="777"/>
      <c r="AK10" s="777"/>
      <c r="AL10" s="777"/>
      <c r="AM10" s="7">
        <f>SUM(AN10:AP10)</f>
        <v>0</v>
      </c>
      <c r="AN10" s="780"/>
      <c r="AO10" s="777"/>
      <c r="AP10" s="779"/>
      <c r="AQ10" s="778"/>
      <c r="AR10" s="777"/>
      <c r="AS10" s="777"/>
      <c r="AT10" s="777"/>
      <c r="AU10" s="776"/>
      <c r="AV10" s="611"/>
      <c r="AW10" s="610"/>
      <c r="AX10" s="609"/>
      <c r="AY10" s="608"/>
      <c r="AZ10" s="606"/>
      <c r="BA10" s="608"/>
      <c r="BB10" s="560"/>
      <c r="BC10" s="607"/>
      <c r="BD10" s="606"/>
      <c r="BE10" s="605"/>
      <c r="BF10" s="560"/>
      <c r="BG10" s="604"/>
      <c r="BH10" s="555"/>
    </row>
    <row r="11" spans="1:60" ht="15.75" customHeight="1" x14ac:dyDescent="0.3">
      <c r="A11" s="32" t="s">
        <v>23</v>
      </c>
      <c r="B11" s="1916" t="s">
        <v>24</v>
      </c>
      <c r="C11" s="1983"/>
      <c r="D11" s="21">
        <f>SUM(D12:D15)</f>
        <v>1356931765.6500001</v>
      </c>
      <c r="E11" s="628">
        <f>SUM(G11+Y11+AG11+AN11)</f>
        <v>1356931765.6500001</v>
      </c>
      <c r="F11" s="561">
        <f>F12+F13+F14+F15</f>
        <v>1310966.064</v>
      </c>
      <c r="G11" s="21">
        <f t="shared" ref="G11:W11" si="6">SUM(G12:G15)</f>
        <v>701739835.92999995</v>
      </c>
      <c r="H11" s="19">
        <f t="shared" si="6"/>
        <v>0</v>
      </c>
      <c r="I11" s="19">
        <f t="shared" si="6"/>
        <v>52735250.159999996</v>
      </c>
      <c r="J11" s="19">
        <f t="shared" si="6"/>
        <v>82413245.239999995</v>
      </c>
      <c r="K11" s="19">
        <f t="shared" si="6"/>
        <v>68416555.200000003</v>
      </c>
      <c r="L11" s="19">
        <f t="shared" si="6"/>
        <v>0</v>
      </c>
      <c r="M11" s="19">
        <f t="shared" si="6"/>
        <v>48235505.640000001</v>
      </c>
      <c r="N11" s="19">
        <f t="shared" si="6"/>
        <v>0</v>
      </c>
      <c r="O11" s="19">
        <f t="shared" si="6"/>
        <v>8307069.4800000004</v>
      </c>
      <c r="P11" s="19">
        <f t="shared" si="6"/>
        <v>81698957.280000001</v>
      </c>
      <c r="Q11" s="19">
        <f t="shared" si="6"/>
        <v>87094851.239999995</v>
      </c>
      <c r="R11" s="19">
        <f t="shared" si="6"/>
        <v>21358980.600000001</v>
      </c>
      <c r="S11" s="19">
        <f t="shared" si="6"/>
        <v>71377516.799999997</v>
      </c>
      <c r="T11" s="19">
        <f t="shared" si="6"/>
        <v>34488756.649999999</v>
      </c>
      <c r="U11" s="19">
        <f t="shared" si="6"/>
        <v>40586136.479999997</v>
      </c>
      <c r="V11" s="19">
        <f t="shared" si="6"/>
        <v>91678446</v>
      </c>
      <c r="W11" s="19">
        <f t="shared" si="6"/>
        <v>13348565.16</v>
      </c>
      <c r="X11" s="25">
        <f>+X12+X15</f>
        <v>693607.72199999995</v>
      </c>
      <c r="Y11" s="2">
        <f t="shared" ref="Y11:AD11" si="7">SUM(Y12:Y15)</f>
        <v>236288927.63999999</v>
      </c>
      <c r="Z11" s="2">
        <f t="shared" si="7"/>
        <v>30275438.760000002</v>
      </c>
      <c r="AA11" s="2">
        <f t="shared" si="7"/>
        <v>27153721.079999998</v>
      </c>
      <c r="AB11" s="2">
        <f t="shared" si="7"/>
        <v>66784750.920000002</v>
      </c>
      <c r="AC11" s="2">
        <f t="shared" si="7"/>
        <v>72251393.519999996</v>
      </c>
      <c r="AD11" s="303">
        <f t="shared" si="7"/>
        <v>39823623.359999999</v>
      </c>
      <c r="AE11" s="615">
        <f>X11/$X$7*100</f>
        <v>13.605090795999155</v>
      </c>
      <c r="AF11" s="6">
        <f>+AF12+AF15</f>
        <v>214502.91</v>
      </c>
      <c r="AG11" s="2">
        <f>SUM(AG12:AG15)</f>
        <v>196727857.63999999</v>
      </c>
      <c r="AH11" s="303">
        <f>SUM(AH12:AH15)</f>
        <v>24049962</v>
      </c>
      <c r="AI11" s="4">
        <f>SUM(AI12:AI15)</f>
        <v>80723543.159999996</v>
      </c>
      <c r="AJ11" s="33">
        <f>SUM(AJ12:AJ15)</f>
        <v>32792649.719999999</v>
      </c>
      <c r="AK11" s="33">
        <f>SUM(AK12:AK15)</f>
        <v>59161702.759999998</v>
      </c>
      <c r="AL11" s="623">
        <f>(AF11/AF7)*100</f>
        <v>14.815625133969077</v>
      </c>
      <c r="AM11" s="623">
        <f>+AM12+AM13+AM15</f>
        <v>183426.158</v>
      </c>
      <c r="AN11" s="34">
        <f t="shared" ref="AN11:AU11" si="8">SUM(AN12:AN15)</f>
        <v>222175144.44</v>
      </c>
      <c r="AO11" s="35">
        <f t="shared" si="8"/>
        <v>119355707.02000001</v>
      </c>
      <c r="AP11" s="34">
        <f t="shared" si="8"/>
        <v>102819437.42</v>
      </c>
      <c r="AQ11" s="305">
        <f t="shared" si="8"/>
        <v>25098912</v>
      </c>
      <c r="AR11" s="35">
        <f t="shared" si="8"/>
        <v>26568079.559999999</v>
      </c>
      <c r="AS11" s="35">
        <f t="shared" si="8"/>
        <v>18613770.66</v>
      </c>
      <c r="AT11" s="35">
        <f t="shared" si="8"/>
        <v>32538675.199999999</v>
      </c>
      <c r="AU11" s="622">
        <f t="shared" si="8"/>
        <v>1356931765.6500001</v>
      </c>
      <c r="AV11" s="611">
        <f>AM11/$AM$7</f>
        <v>1.5990075524338711E-2</v>
      </c>
      <c r="AW11" s="34">
        <f>SUM(AW12:AW15)</f>
        <v>219251.75099999999</v>
      </c>
      <c r="AX11" s="609">
        <f>AW11/$AW$7</f>
        <v>4.2396990622654051E-3</v>
      </c>
      <c r="AY11" s="608">
        <f>+F11/F7</f>
        <v>2.014845534390948E-2</v>
      </c>
      <c r="AZ11" s="561">
        <f>AZ12+AZ14+AZ15</f>
        <v>1196142.3742999998</v>
      </c>
      <c r="BA11" s="608">
        <f>+AZ11/$AZ$7</f>
        <v>3.2749939665963776E-2</v>
      </c>
      <c r="BB11" s="560">
        <f>+F11-AZ11</f>
        <v>114823.68970000022</v>
      </c>
      <c r="BC11" s="607">
        <f>+BB11/AZ11</f>
        <v>9.5995002072555735E-2</v>
      </c>
      <c r="BD11" s="561">
        <f>BD12+BD13+BD14+BD15</f>
        <v>1100898.2999999998</v>
      </c>
      <c r="BE11" s="605">
        <f t="shared" ref="BE11:BE43" si="9">+BD11/$BD$7</f>
        <v>2.5356623831681208E-2</v>
      </c>
      <c r="BF11" s="560">
        <f>AZ11-BD11</f>
        <v>95244.074299999978</v>
      </c>
      <c r="BG11" s="604">
        <f>+BF11/BD11</f>
        <v>8.651487090133575E-2</v>
      </c>
      <c r="BH11" s="555"/>
    </row>
    <row r="12" spans="1:60" ht="15.75" customHeight="1" x14ac:dyDescent="0.3">
      <c r="A12" s="767" t="s">
        <v>25</v>
      </c>
      <c r="B12" s="1967" t="s">
        <v>26</v>
      </c>
      <c r="C12" s="1968"/>
      <c r="D12" s="20">
        <f>+G12+Y12+AG12+AN12</f>
        <v>1322984201.6500001</v>
      </c>
      <c r="E12" s="620">
        <f>SUM(G12+Y12+AG12+AN12)</f>
        <v>1322984201.6500001</v>
      </c>
      <c r="F12" s="558">
        <f>1306966064/1000</f>
        <v>1306966.064</v>
      </c>
      <c r="G12" s="20">
        <f>SUM(H12:W12)</f>
        <v>695870221.92999995</v>
      </c>
      <c r="H12" s="375"/>
      <c r="I12" s="375">
        <v>52735250.159999996</v>
      </c>
      <c r="J12" s="375">
        <f>81723195.24+690050</f>
        <v>82413245.239999995</v>
      </c>
      <c r="K12" s="375">
        <v>68416555.200000003</v>
      </c>
      <c r="L12" s="341"/>
      <c r="M12" s="1">
        <v>48235505.640000001</v>
      </c>
      <c r="N12" s="375"/>
      <c r="O12" s="375">
        <v>8307069.4800000004</v>
      </c>
      <c r="P12" s="341">
        <v>81698957.280000001</v>
      </c>
      <c r="Q12" s="375">
        <v>87094851.239999995</v>
      </c>
      <c r="R12" s="1">
        <v>15489366.6</v>
      </c>
      <c r="S12" s="1">
        <v>71377516.799999997</v>
      </c>
      <c r="T12" s="1">
        <v>34488756.649999999</v>
      </c>
      <c r="U12" s="1">
        <v>40586136.479999997</v>
      </c>
      <c r="V12" s="1">
        <v>91678446</v>
      </c>
      <c r="W12" s="1">
        <v>13348565.16</v>
      </c>
      <c r="X12" s="617">
        <f>+'[3]Egresos -2015 '!$Z$12</f>
        <v>681107.72199999995</v>
      </c>
      <c r="Y12" s="8">
        <f>SUM(Z12:AD12)</f>
        <v>229790927.63999999</v>
      </c>
      <c r="Z12" s="8">
        <v>23777438.760000002</v>
      </c>
      <c r="AA12" s="8">
        <v>27153721.079999998</v>
      </c>
      <c r="AB12" s="8">
        <v>66784750.920000002</v>
      </c>
      <c r="AC12" s="8">
        <v>72251393.519999996</v>
      </c>
      <c r="AD12" s="8">
        <v>39823623.359999999</v>
      </c>
      <c r="AE12" s="642">
        <f>X12/$X$7</f>
        <v>0.13359903740613419</v>
      </c>
      <c r="AF12" s="8">
        <f>+'[2]Egresos -2015 '!$AG$12</f>
        <v>212002.91</v>
      </c>
      <c r="AG12" s="2">
        <f>SUM(AH12:AK12)</f>
        <v>182133857.63999999</v>
      </c>
      <c r="AH12" s="309">
        <v>18112962</v>
      </c>
      <c r="AI12" s="13">
        <v>80723543.159999996</v>
      </c>
      <c r="AJ12" s="35">
        <v>32792649.719999999</v>
      </c>
      <c r="AK12" s="35">
        <v>50504702.759999998</v>
      </c>
      <c r="AL12" s="614">
        <f>(AF12/AF7)*100</f>
        <v>14.642951192925935</v>
      </c>
      <c r="AM12" s="614">
        <f>+'[2]Egresos -2015 '!$AM$12</f>
        <v>179426.158</v>
      </c>
      <c r="AN12" s="30">
        <f>SUM(AO12+AP12)</f>
        <v>215189194.44</v>
      </c>
      <c r="AO12" s="35">
        <f>43432131.54+75923575.48</f>
        <v>119355707.02000001</v>
      </c>
      <c r="AP12" s="34">
        <f>SUM(AQ12:AT12)</f>
        <v>95833487.420000002</v>
      </c>
      <c r="AQ12" s="305">
        <v>18112962</v>
      </c>
      <c r="AR12" s="35">
        <v>26568079.559999999</v>
      </c>
      <c r="AS12" s="35">
        <v>18613770.66</v>
      </c>
      <c r="AT12" s="35">
        <v>32538675.199999999</v>
      </c>
      <c r="AU12" s="612">
        <f>SUM(AN12+AG12+Y12+G12)</f>
        <v>1322984201.6500001</v>
      </c>
      <c r="AV12" s="611">
        <f>AM12/$AM$7</f>
        <v>1.5641377700676314E-2</v>
      </c>
      <c r="AW12" s="610">
        <f>+'[2]Egresos -2015 '!$AO$12</f>
        <v>215251.75099999999</v>
      </c>
      <c r="AX12" s="609">
        <f>AW12/$AW$7</f>
        <v>4.1623505522913086E-3</v>
      </c>
      <c r="AY12" s="608">
        <f>+F12/F7</f>
        <v>2.0086978679037065E-2</v>
      </c>
      <c r="AZ12" s="606">
        <f>((585041743.8/6))*12/1000</f>
        <v>1170083.4875999999</v>
      </c>
      <c r="BA12" s="608">
        <f>+AZ12/$AZ$7</f>
        <v>3.2036456902102474E-2</v>
      </c>
      <c r="BB12" s="560">
        <f>+F12-AZ12</f>
        <v>136882.57640000014</v>
      </c>
      <c r="BC12" s="607">
        <f>+BB12/AZ12</f>
        <v>0.11698530733115881</v>
      </c>
      <c r="BD12" s="606">
        <f>1093777.42</f>
        <v>1093777.42</v>
      </c>
      <c r="BE12" s="605">
        <f t="shared" si="9"/>
        <v>2.5192610974625714E-2</v>
      </c>
      <c r="BF12" s="560">
        <f>AZ12-BD12</f>
        <v>76306.067599999951</v>
      </c>
      <c r="BG12" s="604">
        <f>+BF12/BD12</f>
        <v>6.9763798561502541E-2</v>
      </c>
      <c r="BH12" s="555"/>
    </row>
    <row r="13" spans="1:60" ht="15.75" hidden="1" customHeight="1" x14ac:dyDescent="0.3">
      <c r="A13" s="767" t="s">
        <v>27</v>
      </c>
      <c r="B13" s="1981" t="s">
        <v>28</v>
      </c>
      <c r="C13" s="1982"/>
      <c r="D13" s="20">
        <f>+G13+Y13+AG13+AN13</f>
        <v>2000000</v>
      </c>
      <c r="E13" s="620">
        <f>SUM(G13+Y13+AG13+AN13)</f>
        <v>2000000</v>
      </c>
      <c r="F13" s="558">
        <v>0</v>
      </c>
      <c r="G13" s="20">
        <f>SUM(H13:W13)</f>
        <v>0</v>
      </c>
      <c r="H13" s="375"/>
      <c r="I13" s="375"/>
      <c r="J13" s="375"/>
      <c r="K13" s="375"/>
      <c r="L13" s="341"/>
      <c r="M13" s="1"/>
      <c r="N13" s="375"/>
      <c r="O13" s="375"/>
      <c r="P13" s="341"/>
      <c r="Q13" s="375"/>
      <c r="R13" s="1"/>
      <c r="S13" s="1"/>
      <c r="T13" s="1"/>
      <c r="U13" s="1"/>
      <c r="V13" s="1"/>
      <c r="W13" s="1"/>
      <c r="X13" s="617"/>
      <c r="Y13" s="8">
        <f>SUM(Z13:AD13)</f>
        <v>0</v>
      </c>
      <c r="Z13" s="8"/>
      <c r="AA13" s="8"/>
      <c r="AB13" s="8"/>
      <c r="AC13" s="8"/>
      <c r="AD13" s="8"/>
      <c r="AE13" s="642"/>
      <c r="AF13" s="8"/>
      <c r="AG13" s="2">
        <f>SUM(AH13:AK13)</f>
        <v>2000000</v>
      </c>
      <c r="AH13" s="765"/>
      <c r="AI13" s="13"/>
      <c r="AJ13" s="35"/>
      <c r="AK13" s="35">
        <v>2000000</v>
      </c>
      <c r="AL13" s="614"/>
      <c r="AM13" s="614">
        <v>0</v>
      </c>
      <c r="AN13" s="30">
        <f>SUM(AO13+AP13)</f>
        <v>0</v>
      </c>
      <c r="AO13" s="35"/>
      <c r="AP13" s="34">
        <f>SUM(AQ13:AT13)</f>
        <v>0</v>
      </c>
      <c r="AQ13" s="305"/>
      <c r="AR13" s="35"/>
      <c r="AS13" s="35"/>
      <c r="AT13" s="35"/>
      <c r="AU13" s="612">
        <f>SUM(AN13+AG13+Y13+G13)</f>
        <v>2000000</v>
      </c>
      <c r="AV13" s="611">
        <f>AM13/$AM$7</f>
        <v>0</v>
      </c>
      <c r="AW13" s="610"/>
      <c r="AX13" s="609"/>
      <c r="AY13" s="608"/>
      <c r="AZ13" s="606">
        <v>0</v>
      </c>
      <c r="BA13" s="608">
        <f>+AZ13/$AZ$7</f>
        <v>0</v>
      </c>
      <c r="BB13" s="560">
        <f>+F13-AZ13</f>
        <v>0</v>
      </c>
      <c r="BC13" s="607">
        <v>0</v>
      </c>
      <c r="BD13" s="606">
        <v>0</v>
      </c>
      <c r="BE13" s="605">
        <f t="shared" si="9"/>
        <v>0</v>
      </c>
      <c r="BF13" s="775">
        <v>0</v>
      </c>
      <c r="BG13" s="604">
        <v>0</v>
      </c>
      <c r="BH13" s="555"/>
    </row>
    <row r="14" spans="1:60" hidden="1" x14ac:dyDescent="0.3">
      <c r="A14" s="36" t="s">
        <v>29</v>
      </c>
      <c r="B14" s="1981" t="s">
        <v>30</v>
      </c>
      <c r="C14" s="1982"/>
      <c r="D14" s="20">
        <f>+G14+Y14+AG14+AN14</f>
        <v>0</v>
      </c>
      <c r="E14" s="620">
        <f>SUM(G14+Y14+AG14+AN14)</f>
        <v>0</v>
      </c>
      <c r="F14" s="558">
        <f>+X14+AF14+AM14+AW14</f>
        <v>0</v>
      </c>
      <c r="G14" s="20">
        <f>SUM(H14:W14)</f>
        <v>0</v>
      </c>
      <c r="H14" s="20"/>
      <c r="I14" s="20"/>
      <c r="J14" s="20"/>
      <c r="K14" s="20"/>
      <c r="L14" s="20"/>
      <c r="M14" s="1"/>
      <c r="N14" s="20"/>
      <c r="O14" s="20"/>
      <c r="P14" s="20"/>
      <c r="Q14" s="20"/>
      <c r="R14" s="1"/>
      <c r="S14" s="1"/>
      <c r="T14" s="1"/>
      <c r="U14" s="1"/>
      <c r="V14" s="1"/>
      <c r="W14" s="1"/>
      <c r="X14" s="617"/>
      <c r="Y14" s="8">
        <f>SUM(Z14:AD14)</f>
        <v>0</v>
      </c>
      <c r="Z14" s="8"/>
      <c r="AA14" s="8"/>
      <c r="AB14" s="8"/>
      <c r="AC14" s="8"/>
      <c r="AD14" s="8"/>
      <c r="AE14" s="642"/>
      <c r="AF14" s="8">
        <f>Y14/1000</f>
        <v>0</v>
      </c>
      <c r="AG14" s="2">
        <f>SUM(AH14:AK14)</f>
        <v>0</v>
      </c>
      <c r="AH14" s="765"/>
      <c r="AI14" s="13"/>
      <c r="AJ14" s="35"/>
      <c r="AK14" s="35"/>
      <c r="AL14" s="614">
        <f>(AF14/AF9)*100</f>
        <v>0</v>
      </c>
      <c r="AM14" s="614">
        <f>AG14/1000</f>
        <v>0</v>
      </c>
      <c r="AN14" s="30">
        <f>SUM(AO14+AP14)</f>
        <v>0</v>
      </c>
      <c r="AO14" s="35"/>
      <c r="AP14" s="34">
        <f>SUM(AQ14:AT14)</f>
        <v>0</v>
      </c>
      <c r="AQ14" s="305"/>
      <c r="AR14" s="35"/>
      <c r="AS14" s="35"/>
      <c r="AT14" s="35"/>
      <c r="AU14" s="612">
        <f>SUM(AN14+AG14+Y14+G14)</f>
        <v>0</v>
      </c>
      <c r="AV14" s="611">
        <f>AM14/$AM$7</f>
        <v>0</v>
      </c>
      <c r="AW14" s="610">
        <f>AN14/1000</f>
        <v>0</v>
      </c>
      <c r="AX14" s="609">
        <f>AW14/$AW$7</f>
        <v>0</v>
      </c>
      <c r="AY14" s="608">
        <f>+F14/F12</f>
        <v>0</v>
      </c>
      <c r="AZ14" s="606">
        <v>0</v>
      </c>
      <c r="BA14" s="608">
        <f>+AZ14/$AZ$7</f>
        <v>0</v>
      </c>
      <c r="BB14" s="560">
        <f>+F14-AZ14</f>
        <v>0</v>
      </c>
      <c r="BC14" s="607">
        <v>0</v>
      </c>
      <c r="BD14" s="606">
        <v>0</v>
      </c>
      <c r="BE14" s="605">
        <f t="shared" si="9"/>
        <v>0</v>
      </c>
      <c r="BF14" s="560">
        <f t="shared" ref="BF14:BF21" si="10">AZ14-BD14</f>
        <v>0</v>
      </c>
      <c r="BG14" s="604">
        <v>0</v>
      </c>
      <c r="BH14" s="555"/>
    </row>
    <row r="15" spans="1:60" s="567" customFormat="1" ht="15.75" customHeight="1" x14ac:dyDescent="0.3">
      <c r="A15" s="36" t="s">
        <v>31</v>
      </c>
      <c r="B15" s="1903" t="s">
        <v>32</v>
      </c>
      <c r="C15" s="1980"/>
      <c r="D15" s="20">
        <f>+G15+Y15+AG15+AN15</f>
        <v>31947564</v>
      </c>
      <c r="E15" s="98">
        <f>SUM(G15+Y15+AG15+AN15)</f>
        <v>31947564</v>
      </c>
      <c r="F15" s="558">
        <f>4000000/1000</f>
        <v>4000</v>
      </c>
      <c r="G15" s="20">
        <f>SUM(H15:W15)</f>
        <v>5869614</v>
      </c>
      <c r="H15" s="341"/>
      <c r="I15" s="341"/>
      <c r="J15" s="341"/>
      <c r="K15" s="341"/>
      <c r="L15" s="341"/>
      <c r="M15" s="1"/>
      <c r="N15" s="341"/>
      <c r="O15" s="341"/>
      <c r="P15" s="341"/>
      <c r="Q15" s="341"/>
      <c r="R15" s="1">
        <v>5869614</v>
      </c>
      <c r="S15" s="1"/>
      <c r="T15" s="1"/>
      <c r="U15" s="1"/>
      <c r="V15" s="1"/>
      <c r="W15" s="1"/>
      <c r="X15" s="617">
        <f>+'[3]Egresos -2015 '!$Z$15</f>
        <v>12500</v>
      </c>
      <c r="Y15" s="8">
        <f>SUM(Z15:AD15)</f>
        <v>6498000</v>
      </c>
      <c r="Z15" s="8">
        <v>6498000</v>
      </c>
      <c r="AA15" s="8"/>
      <c r="AB15" s="8"/>
      <c r="AC15" s="8"/>
      <c r="AD15" s="8"/>
      <c r="AE15" s="642">
        <f>X15/$X$7</f>
        <v>2.4518705538573785E-3</v>
      </c>
      <c r="AF15" s="8">
        <f>+'[2]Egresos -2015 '!$AG$15</f>
        <v>2500</v>
      </c>
      <c r="AG15" s="2">
        <f>SUM(AH15:AK15)</f>
        <v>12594000</v>
      </c>
      <c r="AH15" s="765">
        <v>5937000</v>
      </c>
      <c r="AI15" s="13"/>
      <c r="AJ15" s="35"/>
      <c r="AK15" s="35">
        <v>6657000</v>
      </c>
      <c r="AL15" s="614">
        <f>AF15/AF7%</f>
        <v>0.1726739410431434</v>
      </c>
      <c r="AM15" s="614">
        <f>+'[2]Egresos -2015 '!$AM$15</f>
        <v>4000</v>
      </c>
      <c r="AN15" s="30">
        <f>SUM(AO15+AP15)</f>
        <v>6985950</v>
      </c>
      <c r="AO15" s="678"/>
      <c r="AP15" s="34">
        <f>SUM(AQ15:AT15)</f>
        <v>6985950</v>
      </c>
      <c r="AQ15" s="305">
        <v>6985950</v>
      </c>
      <c r="AR15" s="678"/>
      <c r="AS15" s="678"/>
      <c r="AT15" s="678"/>
      <c r="AU15" s="612">
        <f>SUM(AN15+AG15+Y15+G15)</f>
        <v>31947564</v>
      </c>
      <c r="AV15" s="611">
        <f>AM15/$AM$7</f>
        <v>3.4869782366239634E-4</v>
      </c>
      <c r="AW15" s="610">
        <f>+'[2]Egresos -2015 '!$AO$15</f>
        <v>4000</v>
      </c>
      <c r="AX15" s="609">
        <f>AW15/$AW$7</f>
        <v>7.7348509974096486E-5</v>
      </c>
      <c r="AY15" s="608">
        <f>+F15/F7</f>
        <v>6.1476664872415742E-5</v>
      </c>
      <c r="AZ15" s="606">
        <f>+((13029443.35/6))*12/1000</f>
        <v>26058.886699999999</v>
      </c>
      <c r="BA15" s="608">
        <f>+AZ15/$AZ$7</f>
        <v>7.1348276386130362E-4</v>
      </c>
      <c r="BB15" s="560">
        <f>+F15-AZ15</f>
        <v>-22058.886699999999</v>
      </c>
      <c r="BC15" s="607">
        <f>+BB15/AZ15</f>
        <v>-0.84650150077209552</v>
      </c>
      <c r="BD15" s="606">
        <f>7120.88</f>
        <v>7120.88</v>
      </c>
      <c r="BE15" s="605">
        <f t="shared" si="9"/>
        <v>1.6401285705549924E-4</v>
      </c>
      <c r="BF15" s="560">
        <f t="shared" si="10"/>
        <v>18938.006699999998</v>
      </c>
      <c r="BG15" s="604">
        <f>+BF15/BD15</f>
        <v>2.6595036989810246</v>
      </c>
      <c r="BH15" s="666"/>
    </row>
    <row r="16" spans="1:60" ht="15.75" customHeight="1" x14ac:dyDescent="0.3">
      <c r="A16" s="772"/>
      <c r="B16" s="634"/>
      <c r="C16" s="635"/>
      <c r="D16" s="20"/>
      <c r="E16" s="620"/>
      <c r="F16" s="558"/>
      <c r="G16" s="20"/>
      <c r="H16" s="375"/>
      <c r="I16" s="375"/>
      <c r="J16" s="375"/>
      <c r="K16" s="375"/>
      <c r="L16" s="341"/>
      <c r="M16" s="1"/>
      <c r="N16" s="375"/>
      <c r="O16" s="375"/>
      <c r="P16" s="341"/>
      <c r="Q16" s="375"/>
      <c r="R16" s="1"/>
      <c r="S16" s="1"/>
      <c r="T16" s="1"/>
      <c r="U16" s="1"/>
      <c r="V16" s="1"/>
      <c r="W16" s="1"/>
      <c r="X16" s="617"/>
      <c r="Y16" s="8"/>
      <c r="Z16" s="8"/>
      <c r="AA16" s="8"/>
      <c r="AB16" s="8"/>
      <c r="AC16" s="8"/>
      <c r="AD16" s="8"/>
      <c r="AE16" s="615"/>
      <c r="AF16" s="8"/>
      <c r="AG16" s="2"/>
      <c r="AH16" s="765"/>
      <c r="AI16" s="13"/>
      <c r="AJ16" s="560"/>
      <c r="AK16" s="560"/>
      <c r="AL16" s="641"/>
      <c r="AM16" s="614"/>
      <c r="AN16" s="124"/>
      <c r="AO16" s="560"/>
      <c r="AP16" s="774"/>
      <c r="AQ16" s="556"/>
      <c r="AR16" s="560"/>
      <c r="AS16" s="560"/>
      <c r="AT16" s="560"/>
      <c r="AU16" s="568"/>
      <c r="AV16" s="611"/>
      <c r="AW16" s="610"/>
      <c r="AX16" s="609"/>
      <c r="AY16" s="608"/>
      <c r="AZ16" s="606"/>
      <c r="BA16" s="608"/>
      <c r="BB16" s="560"/>
      <c r="BC16" s="607"/>
      <c r="BD16" s="606"/>
      <c r="BE16" s="605">
        <f t="shared" si="9"/>
        <v>0</v>
      </c>
      <c r="BF16" s="560">
        <f t="shared" si="10"/>
        <v>0</v>
      </c>
      <c r="BG16" s="604">
        <v>0</v>
      </c>
      <c r="BH16" s="555"/>
    </row>
    <row r="17" spans="1:60" ht="15.75" customHeight="1" x14ac:dyDescent="0.3">
      <c r="A17" s="32" t="s">
        <v>33</v>
      </c>
      <c r="B17" s="1973" t="s">
        <v>34</v>
      </c>
      <c r="C17" s="1974"/>
      <c r="D17" s="21">
        <f>SUM(D18:D21)</f>
        <v>117688768.22999999</v>
      </c>
      <c r="E17" s="628">
        <f>SUM(G17+Y17+AG17+AN17)</f>
        <v>117688768.23000002</v>
      </c>
      <c r="F17" s="561">
        <f>F18+F19+F21</f>
        <v>49246.127999999997</v>
      </c>
      <c r="G17" s="21">
        <f>SUM(H17:W17)</f>
        <v>83970864.830000013</v>
      </c>
      <c r="H17" s="21">
        <f t="shared" ref="H17:W17" si="11">SUM(H18:H21)</f>
        <v>26485894.649999999</v>
      </c>
      <c r="I17" s="21">
        <f t="shared" si="11"/>
        <v>0</v>
      </c>
      <c r="J17" s="21">
        <f t="shared" si="11"/>
        <v>0</v>
      </c>
      <c r="K17" s="21">
        <f t="shared" si="11"/>
        <v>0</v>
      </c>
      <c r="L17" s="21">
        <f t="shared" si="11"/>
        <v>0</v>
      </c>
      <c r="M17" s="21">
        <f t="shared" si="11"/>
        <v>4000000</v>
      </c>
      <c r="N17" s="21">
        <f t="shared" si="11"/>
        <v>0</v>
      </c>
      <c r="O17" s="21">
        <f t="shared" si="11"/>
        <v>0</v>
      </c>
      <c r="P17" s="21">
        <f t="shared" si="11"/>
        <v>0</v>
      </c>
      <c r="Q17" s="21">
        <f t="shared" si="11"/>
        <v>6637344</v>
      </c>
      <c r="R17" s="21">
        <f t="shared" si="11"/>
        <v>5869614</v>
      </c>
      <c r="S17" s="21">
        <f t="shared" si="11"/>
        <v>11797892</v>
      </c>
      <c r="T17" s="21">
        <f t="shared" si="11"/>
        <v>4000000</v>
      </c>
      <c r="U17" s="21">
        <f t="shared" si="11"/>
        <v>644733</v>
      </c>
      <c r="V17" s="21">
        <f t="shared" si="11"/>
        <v>21082200</v>
      </c>
      <c r="W17" s="21">
        <f t="shared" si="11"/>
        <v>3453187.18</v>
      </c>
      <c r="X17" s="350">
        <f>+X18+X19+X21</f>
        <v>84547.97099999999</v>
      </c>
      <c r="Y17" s="2">
        <f t="shared" ref="Y17:AD17" si="12">SUM(Y18:Y21)</f>
        <v>6498000</v>
      </c>
      <c r="Z17" s="2">
        <f t="shared" si="12"/>
        <v>6498000</v>
      </c>
      <c r="AA17" s="2">
        <f t="shared" si="12"/>
        <v>0</v>
      </c>
      <c r="AB17" s="2">
        <f t="shared" si="12"/>
        <v>0</v>
      </c>
      <c r="AC17" s="2">
        <f t="shared" si="12"/>
        <v>0</v>
      </c>
      <c r="AD17" s="2">
        <f t="shared" si="12"/>
        <v>0</v>
      </c>
      <c r="AE17" s="615">
        <f>X17/$X$7*100</f>
        <v>1.6584054438663003</v>
      </c>
      <c r="AF17" s="10">
        <f>+AF18+AF19+AF21</f>
        <v>4500</v>
      </c>
      <c r="AG17" s="2">
        <f>SUM(AG18:AG21)</f>
        <v>5937000</v>
      </c>
      <c r="AH17" s="315">
        <f>SUM(AH18:AH21)</f>
        <v>5937000</v>
      </c>
      <c r="AI17" s="2">
        <f>SUM(AI18:AI21)</f>
        <v>0</v>
      </c>
      <c r="AJ17" s="33">
        <f>SUM(AJ18:AJ21)</f>
        <v>0</v>
      </c>
      <c r="AK17" s="33">
        <f>SUM(AK18:AK21)</f>
        <v>0</v>
      </c>
      <c r="AL17" s="623">
        <f>(AF17/AF7)*100</f>
        <v>0.3108130938776581</v>
      </c>
      <c r="AM17" s="623">
        <f>+AM18+AM19+AM21</f>
        <v>0</v>
      </c>
      <c r="AN17" s="34">
        <f t="shared" ref="AN17:AU17" si="13">SUM(AN18:AN21)</f>
        <v>21282903.399999999</v>
      </c>
      <c r="AO17" s="35">
        <f t="shared" si="13"/>
        <v>0</v>
      </c>
      <c r="AP17" s="34">
        <f t="shared" si="13"/>
        <v>21282903.399999999</v>
      </c>
      <c r="AQ17" s="305">
        <f t="shared" si="13"/>
        <v>21282903.399999999</v>
      </c>
      <c r="AR17" s="35">
        <f t="shared" si="13"/>
        <v>0</v>
      </c>
      <c r="AS17" s="35">
        <f t="shared" si="13"/>
        <v>0</v>
      </c>
      <c r="AT17" s="35">
        <f t="shared" si="13"/>
        <v>0</v>
      </c>
      <c r="AU17" s="773">
        <f t="shared" si="13"/>
        <v>117688768.22999999</v>
      </c>
      <c r="AV17" s="611">
        <f>AM17/$AM$7</f>
        <v>0</v>
      </c>
      <c r="AW17" s="621">
        <f>+AW18+AW19+AW21</f>
        <v>8500</v>
      </c>
      <c r="AX17" s="609">
        <f>AW17/$AW$7</f>
        <v>1.6436558369495503E-4</v>
      </c>
      <c r="AY17" s="608">
        <f>+F17/F7</f>
        <v>7.5687192683002223E-4</v>
      </c>
      <c r="AZ17" s="561">
        <f>AZ18+AZ19+AZ21</f>
        <v>26477.793659999999</v>
      </c>
      <c r="BA17" s="608">
        <f>+AZ17/$AZ$7</f>
        <v>7.249522828420027E-4</v>
      </c>
      <c r="BB17" s="560">
        <f>+F17-AZ17</f>
        <v>22768.334339999998</v>
      </c>
      <c r="BC17" s="607">
        <f>+BB17/AZ17</f>
        <v>0.8599030052264558</v>
      </c>
      <c r="BD17" s="561">
        <f>BD18+BD19+BD21</f>
        <v>49631.79</v>
      </c>
      <c r="BE17" s="605">
        <f t="shared" si="9"/>
        <v>1.143152486585725E-3</v>
      </c>
      <c r="BF17" s="560">
        <f t="shared" si="10"/>
        <v>-23153.996340000002</v>
      </c>
      <c r="BG17" s="604">
        <f>+BF17/BD17</f>
        <v>-0.46651543980178833</v>
      </c>
      <c r="BH17" s="555"/>
    </row>
    <row r="18" spans="1:60" ht="15.75" customHeight="1" x14ac:dyDescent="0.3">
      <c r="A18" s="767" t="s">
        <v>35</v>
      </c>
      <c r="B18" s="1967" t="s">
        <v>36</v>
      </c>
      <c r="C18" s="1968"/>
      <c r="D18" s="20">
        <f>+G18+Y18+AG18+AN18</f>
        <v>52192765.579999998</v>
      </c>
      <c r="E18" s="620">
        <f>SUM(G18+Y18+AG18+AN18)</f>
        <v>52192765.579999998</v>
      </c>
      <c r="F18" s="558">
        <f>21500000/1000</f>
        <v>21500</v>
      </c>
      <c r="G18" s="20">
        <f>SUM(H18:W18)</f>
        <v>37895812.18</v>
      </c>
      <c r="H18" s="375"/>
      <c r="I18" s="375"/>
      <c r="J18" s="375"/>
      <c r="K18" s="375"/>
      <c r="L18" s="341">
        <v>0</v>
      </c>
      <c r="M18" s="1">
        <v>1000000</v>
      </c>
      <c r="N18" s="375"/>
      <c r="O18" s="375"/>
      <c r="P18" s="341"/>
      <c r="Q18" s="375"/>
      <c r="R18" s="1"/>
      <c r="S18" s="1">
        <v>11797892</v>
      </c>
      <c r="T18" s="1">
        <v>1000000</v>
      </c>
      <c r="U18" s="1">
        <v>644733</v>
      </c>
      <c r="V18" s="1">
        <v>20000000</v>
      </c>
      <c r="W18" s="1">
        <v>3453187.18</v>
      </c>
      <c r="X18" s="617">
        <f>+'[3]Egresos -2015 '!$Z$18</f>
        <v>40733.315000000002</v>
      </c>
      <c r="Y18" s="8">
        <f>SUM(Z18:AD18)</f>
        <v>0</v>
      </c>
      <c r="Z18" s="8"/>
      <c r="AA18" s="8"/>
      <c r="AB18" s="8"/>
      <c r="AC18" s="8"/>
      <c r="AD18" s="8"/>
      <c r="AE18" s="642">
        <f>X18/$X$7*100</f>
        <v>0.79898252487597654</v>
      </c>
      <c r="AF18" s="8">
        <f>+'[2]Egresos -2015 '!$AG$18</f>
        <v>1500</v>
      </c>
      <c r="AG18" s="2">
        <f>SUM(AH18:AK18)</f>
        <v>0</v>
      </c>
      <c r="AH18" s="765"/>
      <c r="AI18" s="13"/>
      <c r="AJ18" s="35"/>
      <c r="AK18" s="35"/>
      <c r="AL18" s="614"/>
      <c r="AM18" s="614">
        <v>0</v>
      </c>
      <c r="AN18" s="30">
        <f>SUM(AO18+AP18)</f>
        <v>14296953.4</v>
      </c>
      <c r="AO18" s="35"/>
      <c r="AP18" s="30">
        <f>SUM(AQ18:AT18)</f>
        <v>14296953.4</v>
      </c>
      <c r="AQ18" s="305">
        <v>14296953.4</v>
      </c>
      <c r="AR18" s="35"/>
      <c r="AS18" s="35"/>
      <c r="AT18" s="35"/>
      <c r="AU18" s="768">
        <f>SUM(AN18+AG18+Y18+G18)</f>
        <v>52192765.579999998</v>
      </c>
      <c r="AV18" s="611">
        <f>AM18/$AM$7</f>
        <v>0</v>
      </c>
      <c r="AW18" s="610">
        <f>+'[2]Egresos -2015 '!$AO$18</f>
        <v>8500</v>
      </c>
      <c r="AX18" s="609">
        <f>AW18/$AW$7</f>
        <v>1.6436558369495503E-4</v>
      </c>
      <c r="AY18" s="608">
        <f>+F18/F7</f>
        <v>3.3043707368923461E-4</v>
      </c>
      <c r="AZ18" s="606">
        <f>((5175488.93/6))*12/1000</f>
        <v>10350.977859999999</v>
      </c>
      <c r="BA18" s="608">
        <f>+AZ18/$AZ$7</f>
        <v>2.8340597882180294E-4</v>
      </c>
      <c r="BB18" s="560">
        <f>+F18-AZ18</f>
        <v>11149.022140000001</v>
      </c>
      <c r="BC18" s="607">
        <f>+BB18/AZ18</f>
        <v>1.0770984433348989</v>
      </c>
      <c r="BD18" s="606">
        <f>29529.425</f>
        <v>29529.424999999999</v>
      </c>
      <c r="BE18" s="605">
        <f t="shared" si="9"/>
        <v>6.8014140969319603E-4</v>
      </c>
      <c r="BF18" s="560">
        <f t="shared" si="10"/>
        <v>-19178.44714</v>
      </c>
      <c r="BG18" s="604">
        <f>+BF18/BD18</f>
        <v>-0.64946903436148862</v>
      </c>
      <c r="BH18" s="555"/>
    </row>
    <row r="19" spans="1:60" ht="15.75" customHeight="1" x14ac:dyDescent="0.3">
      <c r="A19" s="767" t="s">
        <v>37</v>
      </c>
      <c r="B19" s="1967" t="s">
        <v>38</v>
      </c>
      <c r="C19" s="1968"/>
      <c r="D19" s="20">
        <f>+G19+Y19+AG19+AN19</f>
        <v>39010108</v>
      </c>
      <c r="E19" s="620">
        <f>SUM(G19+Y19+AG19+AN19)</f>
        <v>39010108</v>
      </c>
      <c r="F19" s="558"/>
      <c r="G19" s="20">
        <f>SUM(H19:W19)</f>
        <v>19589158</v>
      </c>
      <c r="H19" s="375"/>
      <c r="I19" s="375"/>
      <c r="J19" s="375"/>
      <c r="K19" s="375"/>
      <c r="L19" s="341">
        <v>0</v>
      </c>
      <c r="M19" s="1">
        <v>3000000</v>
      </c>
      <c r="N19" s="375"/>
      <c r="O19" s="375"/>
      <c r="P19" s="341"/>
      <c r="Q19" s="375">
        <v>6637344</v>
      </c>
      <c r="R19" s="1">
        <v>5869614</v>
      </c>
      <c r="S19" s="1"/>
      <c r="T19" s="1">
        <v>3000000</v>
      </c>
      <c r="U19" s="1"/>
      <c r="V19" s="1">
        <v>1082200</v>
      </c>
      <c r="W19" s="1"/>
      <c r="X19" s="617">
        <f>+'[3]Egresos -2015 '!$Z$19</f>
        <v>16090.037</v>
      </c>
      <c r="Y19" s="8">
        <f>SUM(Z19:AD19)</f>
        <v>6498000</v>
      </c>
      <c r="Z19" s="8">
        <v>6498000</v>
      </c>
      <c r="AA19" s="8"/>
      <c r="AB19" s="8"/>
      <c r="AC19" s="8"/>
      <c r="AD19" s="8"/>
      <c r="AE19" s="642">
        <f>X19/$X$7*100</f>
        <v>0.31560550344620569</v>
      </c>
      <c r="AF19" s="8">
        <f>+'[2]Egresos -2015 '!$AG$19</f>
        <v>3000</v>
      </c>
      <c r="AG19" s="2">
        <f>SUM(AH19:AK19)</f>
        <v>5937000</v>
      </c>
      <c r="AH19" s="765">
        <v>5937000</v>
      </c>
      <c r="AI19" s="13"/>
      <c r="AJ19" s="35"/>
      <c r="AK19" s="35"/>
      <c r="AL19" s="614">
        <f>(AF19/AF7)*100</f>
        <v>0.20720872925177208</v>
      </c>
      <c r="AM19" s="614">
        <v>0</v>
      </c>
      <c r="AN19" s="30">
        <f>SUM(AO19+AP19)</f>
        <v>6985950</v>
      </c>
      <c r="AO19" s="35"/>
      <c r="AP19" s="30">
        <f>SUM(AQ19:AT19)</f>
        <v>6985950</v>
      </c>
      <c r="AQ19" s="305">
        <v>6985950</v>
      </c>
      <c r="AR19" s="35"/>
      <c r="AS19" s="35"/>
      <c r="AT19" s="35"/>
      <c r="AU19" s="768">
        <f>SUM(AN19+AG19+Y19+G19)</f>
        <v>39010108</v>
      </c>
      <c r="AV19" s="611">
        <f>AM19/$AM$7</f>
        <v>0</v>
      </c>
      <c r="AW19" s="610">
        <v>0</v>
      </c>
      <c r="AX19" s="609">
        <f>AW19/$AW$7</f>
        <v>0</v>
      </c>
      <c r="AY19" s="608"/>
      <c r="AZ19" s="606">
        <f>((1565930.8/6))*12/1000</f>
        <v>3131.8616000000002</v>
      </c>
      <c r="BA19" s="608">
        <f>+AZ19/$AZ$7</f>
        <v>8.5749222371770962E-5</v>
      </c>
      <c r="BB19" s="560">
        <f>+F19-AZ19</f>
        <v>-3131.8616000000002</v>
      </c>
      <c r="BC19" s="607">
        <f>+BB19/AZ19</f>
        <v>-1</v>
      </c>
      <c r="BD19" s="606">
        <v>4894.8630000000003</v>
      </c>
      <c r="BE19" s="605">
        <f t="shared" si="9"/>
        <v>1.1274174898681796E-4</v>
      </c>
      <c r="BF19" s="560">
        <f t="shared" si="10"/>
        <v>-1763.0014000000001</v>
      </c>
      <c r="BG19" s="604">
        <f>+BF19/BD19</f>
        <v>-0.36017379853123571</v>
      </c>
      <c r="BH19" s="555"/>
    </row>
    <row r="20" spans="1:60" ht="15.75" hidden="1" customHeight="1" x14ac:dyDescent="0.3">
      <c r="A20" s="767" t="s">
        <v>39</v>
      </c>
      <c r="B20" s="1967" t="s">
        <v>40</v>
      </c>
      <c r="C20" s="1968"/>
      <c r="D20" s="20">
        <f>+G20+Y20+AG20+AN20</f>
        <v>0</v>
      </c>
      <c r="E20" s="620">
        <f>SUM(G20+Y20+AG20+AN20)</f>
        <v>0</v>
      </c>
      <c r="F20" s="558">
        <f>+X20+AF20+AM20+AW20</f>
        <v>0</v>
      </c>
      <c r="G20" s="20">
        <f>SUM(H20:W20)</f>
        <v>0</v>
      </c>
      <c r="H20" s="375"/>
      <c r="I20" s="375"/>
      <c r="J20" s="375"/>
      <c r="K20" s="375"/>
      <c r="L20" s="341"/>
      <c r="M20" s="1"/>
      <c r="N20" s="375"/>
      <c r="O20" s="375"/>
      <c r="P20" s="341"/>
      <c r="Q20" s="375"/>
      <c r="R20" s="1"/>
      <c r="S20" s="1"/>
      <c r="T20" s="1"/>
      <c r="U20" s="1"/>
      <c r="V20" s="1"/>
      <c r="W20" s="1"/>
      <c r="X20" s="617"/>
      <c r="Y20" s="8">
        <f>SUM(Z20:AD20)</f>
        <v>0</v>
      </c>
      <c r="Z20" s="8"/>
      <c r="AA20" s="8"/>
      <c r="AB20" s="8"/>
      <c r="AC20" s="8"/>
      <c r="AD20" s="8"/>
      <c r="AE20" s="642"/>
      <c r="AF20" s="8">
        <f>Y20/1000</f>
        <v>0</v>
      </c>
      <c r="AG20" s="2">
        <f>SUM(AH20:AK20)</f>
        <v>0</v>
      </c>
      <c r="AH20" s="765"/>
      <c r="AI20" s="13"/>
      <c r="AJ20" s="35"/>
      <c r="AK20" s="35"/>
      <c r="AL20" s="614"/>
      <c r="AM20" s="614">
        <f>AG20/1000</f>
        <v>0</v>
      </c>
      <c r="AN20" s="30">
        <f>SUM(AO20+AP20)</f>
        <v>0</v>
      </c>
      <c r="AO20" s="35"/>
      <c r="AP20" s="30">
        <f>SUM(AQ20:AT20)</f>
        <v>0</v>
      </c>
      <c r="AQ20" s="305"/>
      <c r="AR20" s="35"/>
      <c r="AS20" s="35"/>
      <c r="AT20" s="35"/>
      <c r="AU20" s="768">
        <f>SUM(AN20+AG20+Y20+G20)</f>
        <v>0</v>
      </c>
      <c r="AV20" s="611">
        <f>AM20/$AM$7</f>
        <v>0</v>
      </c>
      <c r="AW20" s="610">
        <f>AN20/1000</f>
        <v>0</v>
      </c>
      <c r="AX20" s="609">
        <f>AW20/$AW$7</f>
        <v>0</v>
      </c>
      <c r="AY20" s="608" t="e">
        <f>+F20/F10</f>
        <v>#DIV/0!</v>
      </c>
      <c r="AZ20" s="606">
        <f>+((629427716.75/7))/12/1000</f>
        <v>7493.1871041666673</v>
      </c>
      <c r="BA20" s="608">
        <f>+AZ20/$AZ$7</f>
        <v>2.0516071568056328E-4</v>
      </c>
      <c r="BB20" s="560">
        <f>+F20-AZ20</f>
        <v>-7493.1871041666673</v>
      </c>
      <c r="BC20" s="607">
        <f>+BB20/AZ20</f>
        <v>-1</v>
      </c>
      <c r="BD20" s="606"/>
      <c r="BE20" s="605">
        <f t="shared" si="9"/>
        <v>0</v>
      </c>
      <c r="BF20" s="560">
        <f t="shared" si="10"/>
        <v>7493.1871041666673</v>
      </c>
      <c r="BG20" s="604" t="e">
        <f>+BF20/BD20</f>
        <v>#DIV/0!</v>
      </c>
      <c r="BH20" s="555"/>
    </row>
    <row r="21" spans="1:60" ht="15.75" customHeight="1" x14ac:dyDescent="0.3">
      <c r="A21" s="767" t="s">
        <v>41</v>
      </c>
      <c r="B21" s="1967" t="s">
        <v>42</v>
      </c>
      <c r="C21" s="1968"/>
      <c r="D21" s="20">
        <f>+G21+Y21+AG21+AN21</f>
        <v>26485894.649999999</v>
      </c>
      <c r="E21" s="620">
        <f>SUM(G21+Y21+AG21+AN21)</f>
        <v>26485894.649999999</v>
      </c>
      <c r="F21" s="558">
        <f>27746128/1000</f>
        <v>27746.128000000001</v>
      </c>
      <c r="G21" s="20">
        <f>SUM(H21:W21)</f>
        <v>26485894.649999999</v>
      </c>
      <c r="H21" s="375">
        <v>26485894.649999999</v>
      </c>
      <c r="I21" s="375"/>
      <c r="J21" s="375"/>
      <c r="K21" s="375"/>
      <c r="L21" s="341"/>
      <c r="M21" s="1"/>
      <c r="N21" s="375"/>
      <c r="O21" s="375"/>
      <c r="P21" s="341"/>
      <c r="Q21" s="375"/>
      <c r="R21" s="1"/>
      <c r="S21" s="1"/>
      <c r="T21" s="1" t="s">
        <v>0</v>
      </c>
      <c r="U21" s="1" t="s">
        <v>0</v>
      </c>
      <c r="V21" s="1"/>
      <c r="W21" s="1"/>
      <c r="X21" s="617">
        <f>+'[3]Egresos -2015 '!$Z$21</f>
        <v>27724.618999999999</v>
      </c>
      <c r="Y21" s="8">
        <f>SUM(Z21:AD21)</f>
        <v>0</v>
      </c>
      <c r="Z21" s="8"/>
      <c r="AA21" s="8"/>
      <c r="AB21" s="8"/>
      <c r="AC21" s="8"/>
      <c r="AD21" s="8"/>
      <c r="AE21" s="642">
        <f>X21/$X$7*100</f>
        <v>0.54381741554411833</v>
      </c>
      <c r="AF21" s="8"/>
      <c r="AG21" s="2">
        <f>SUM(AH21:AK21)</f>
        <v>0</v>
      </c>
      <c r="AH21" s="765"/>
      <c r="AI21" s="13"/>
      <c r="AJ21" s="35"/>
      <c r="AK21" s="35"/>
      <c r="AL21" s="614"/>
      <c r="AM21" s="614">
        <f>AG21/1000</f>
        <v>0</v>
      </c>
      <c r="AN21" s="30">
        <f>SUM(AO21+AP21)</f>
        <v>0</v>
      </c>
      <c r="AO21" s="35"/>
      <c r="AP21" s="30">
        <f>SUM(AQ21:AT21)</f>
        <v>0</v>
      </c>
      <c r="AQ21" s="305"/>
      <c r="AR21" s="35"/>
      <c r="AS21" s="35"/>
      <c r="AT21" s="35"/>
      <c r="AU21" s="768">
        <f>SUM(AN21+AG21+Y21+G21)</f>
        <v>26485894.649999999</v>
      </c>
      <c r="AV21" s="611">
        <f>AM21/$AM$7</f>
        <v>0</v>
      </c>
      <c r="AW21" s="610">
        <f>AN21/1000</f>
        <v>0</v>
      </c>
      <c r="AX21" s="609"/>
      <c r="AY21" s="608">
        <f>+F21/F11</f>
        <v>2.1164642443406528E-2</v>
      </c>
      <c r="AZ21" s="606">
        <f>+((6497477.1/6))*12/1000</f>
        <v>12994.9542</v>
      </c>
      <c r="BA21" s="608">
        <f>+AZ21/$AZ$7</f>
        <v>3.5579708164842883E-4</v>
      </c>
      <c r="BB21" s="560">
        <f>+F21-AZ21</f>
        <v>14751.1738</v>
      </c>
      <c r="BC21" s="607">
        <f>+BB21/AZ21</f>
        <v>1.135146270850266</v>
      </c>
      <c r="BD21" s="606">
        <v>15207.502</v>
      </c>
      <c r="BE21" s="605">
        <f t="shared" si="9"/>
        <v>3.5026932790571094E-4</v>
      </c>
      <c r="BF21" s="560">
        <f t="shared" si="10"/>
        <v>-2212.5478000000003</v>
      </c>
      <c r="BG21" s="604">
        <f>+BF21/BD21</f>
        <v>-0.14549054802031261</v>
      </c>
      <c r="BH21" s="555"/>
    </row>
    <row r="22" spans="1:60" ht="15.75" customHeight="1" x14ac:dyDescent="0.3">
      <c r="A22" s="772"/>
      <c r="B22" s="634"/>
      <c r="C22" s="635"/>
      <c r="D22" s="20"/>
      <c r="E22" s="620"/>
      <c r="F22" s="558"/>
      <c r="G22" s="20"/>
      <c r="H22" s="375"/>
      <c r="I22" s="341"/>
      <c r="J22" s="375"/>
      <c r="K22" s="375"/>
      <c r="L22" s="341"/>
      <c r="M22" s="1"/>
      <c r="N22" s="375"/>
      <c r="O22" s="375"/>
      <c r="P22" s="341"/>
      <c r="Q22" s="375"/>
      <c r="R22" s="1"/>
      <c r="S22" s="1"/>
      <c r="T22" s="1"/>
      <c r="U22" s="1"/>
      <c r="V22" s="1"/>
      <c r="W22" s="1"/>
      <c r="X22" s="617"/>
      <c r="Y22" s="8"/>
      <c r="Z22" s="8"/>
      <c r="AA22" s="8"/>
      <c r="AB22" s="8"/>
      <c r="AC22" s="8"/>
      <c r="AD22" s="8"/>
      <c r="AE22" s="615"/>
      <c r="AF22" s="8"/>
      <c r="AG22" s="2"/>
      <c r="AH22" s="765"/>
      <c r="AI22" s="13"/>
      <c r="AJ22" s="35"/>
      <c r="AK22" s="35"/>
      <c r="AL22" s="614"/>
      <c r="AM22" s="614"/>
      <c r="AN22" s="34"/>
      <c r="AO22" s="35"/>
      <c r="AP22" s="34"/>
      <c r="AQ22" s="305"/>
      <c r="AR22" s="35"/>
      <c r="AS22" s="35"/>
      <c r="AT22" s="35"/>
      <c r="AU22" s="612"/>
      <c r="AV22" s="611"/>
      <c r="AW22" s="610"/>
      <c r="AX22" s="609"/>
      <c r="AY22" s="608"/>
      <c r="AZ22" s="606"/>
      <c r="BA22" s="608"/>
      <c r="BB22" s="560"/>
      <c r="BC22" s="607"/>
      <c r="BD22" s="606"/>
      <c r="BE22" s="605">
        <f t="shared" si="9"/>
        <v>0</v>
      </c>
      <c r="BF22" s="560"/>
      <c r="BG22" s="604"/>
      <c r="BH22" s="555"/>
    </row>
    <row r="23" spans="1:60" ht="15.75" customHeight="1" x14ac:dyDescent="0.3">
      <c r="A23" s="771" t="s">
        <v>43</v>
      </c>
      <c r="B23" s="1916" t="s">
        <v>44</v>
      </c>
      <c r="C23" s="1983"/>
      <c r="D23" s="21">
        <f>+D24+D28+D32+D33+D35</f>
        <v>1695051066.1300001</v>
      </c>
      <c r="E23" s="628">
        <f>SUM(G23+Y23+AG23+AN23)</f>
        <v>1695051066.1300001</v>
      </c>
      <c r="F23" s="561">
        <f>F24+F28+F32+F33+F35</f>
        <v>1606428.9569999999</v>
      </c>
      <c r="G23" s="21">
        <f>SUM(H23:W23)</f>
        <v>787262327.73000002</v>
      </c>
      <c r="H23" s="21">
        <f t="shared" ref="H23:W23" si="14">H24+H28+H32+H33+H35</f>
        <v>0</v>
      </c>
      <c r="I23" s="21">
        <f t="shared" si="14"/>
        <v>99203725.950000003</v>
      </c>
      <c r="J23" s="21">
        <f t="shared" si="14"/>
        <v>51222238.07</v>
      </c>
      <c r="K23" s="21">
        <f t="shared" si="14"/>
        <v>21598507.140000001</v>
      </c>
      <c r="L23" s="21">
        <f t="shared" si="14"/>
        <v>0</v>
      </c>
      <c r="M23" s="21">
        <f t="shared" si="14"/>
        <v>70432650.879999995</v>
      </c>
      <c r="N23" s="21">
        <f t="shared" si="14"/>
        <v>0</v>
      </c>
      <c r="O23" s="21">
        <f t="shared" si="14"/>
        <v>8833596.910000002</v>
      </c>
      <c r="P23" s="21">
        <f t="shared" si="14"/>
        <v>101886201.73</v>
      </c>
      <c r="Q23" s="21">
        <f t="shared" si="14"/>
        <v>155706942.31999999</v>
      </c>
      <c r="R23" s="21">
        <f t="shared" si="14"/>
        <v>21666331.509999998</v>
      </c>
      <c r="S23" s="21">
        <f t="shared" si="14"/>
        <v>56824126.989999995</v>
      </c>
      <c r="T23" s="21">
        <f t="shared" si="14"/>
        <v>32129069.579999998</v>
      </c>
      <c r="U23" s="21">
        <f t="shared" si="14"/>
        <v>53437962.590000004</v>
      </c>
      <c r="V23" s="21">
        <f t="shared" si="14"/>
        <v>99767142.260000005</v>
      </c>
      <c r="W23" s="21">
        <f t="shared" si="14"/>
        <v>14553831.800000001</v>
      </c>
      <c r="X23" s="350">
        <f>+'[3]Egresos -2015 '!$Z$23</f>
        <v>685478.55099999998</v>
      </c>
      <c r="Y23" s="2">
        <f t="shared" ref="Y23:AD23" si="15">Y24+Y28+Y32+Y33+Y35</f>
        <v>386118636.34000003</v>
      </c>
      <c r="Z23" s="2">
        <f t="shared" si="15"/>
        <v>30081025.280000001</v>
      </c>
      <c r="AA23" s="2">
        <f t="shared" si="15"/>
        <v>52812845.770000003</v>
      </c>
      <c r="AB23" s="2">
        <f t="shared" si="15"/>
        <v>127540604.34999999</v>
      </c>
      <c r="AC23" s="2">
        <f t="shared" si="15"/>
        <v>124416845.25999999</v>
      </c>
      <c r="AD23" s="2">
        <f t="shared" si="15"/>
        <v>51267315.68</v>
      </c>
      <c r="AE23" s="615">
        <f>X23/$X$7*100</f>
        <v>13.445637395981786</v>
      </c>
      <c r="AF23" s="10">
        <f>+AF24+AF28+AF32+AF33+AF35</f>
        <v>300009.99400000001</v>
      </c>
      <c r="AG23" s="2">
        <f>SUM(AG24+AG28+AG32+AG33+AG35)</f>
        <v>224965738.75999999</v>
      </c>
      <c r="AH23" s="315">
        <f>AH24+AH28+AH32+AH33+AH35</f>
        <v>18088301.98</v>
      </c>
      <c r="AI23" s="2">
        <f>AI24+AI28+AI32+AI33+AI35</f>
        <v>90490218.959999993</v>
      </c>
      <c r="AJ23" s="2">
        <f>AJ24+AJ28+AJ32+AJ33+AJ35</f>
        <v>48661007.649999999</v>
      </c>
      <c r="AK23" s="2">
        <f>AK24+AK28+AK32+AK33+AK35</f>
        <v>67726210.170000002</v>
      </c>
      <c r="AL23" s="623">
        <f>(AF23/AF7)*100</f>
        <v>20.721563206523921</v>
      </c>
      <c r="AM23" s="623">
        <f>+AM24+AM28+AM32+AM33+AM35</f>
        <v>183290.019</v>
      </c>
      <c r="AN23" s="29">
        <f t="shared" ref="AN23:AU23" si="16">AN24+AN28+AN32+AN33+AN35</f>
        <v>296704363.29999995</v>
      </c>
      <c r="AO23" s="11">
        <f t="shared" si="16"/>
        <v>164533193.55999997</v>
      </c>
      <c r="AP23" s="29">
        <f t="shared" si="16"/>
        <v>132171169.73999999</v>
      </c>
      <c r="AQ23" s="307">
        <f t="shared" si="16"/>
        <v>33811261.379999995</v>
      </c>
      <c r="AR23" s="11">
        <f t="shared" si="16"/>
        <v>27845682.539999999</v>
      </c>
      <c r="AS23" s="11">
        <f t="shared" si="16"/>
        <v>22680382.029999997</v>
      </c>
      <c r="AT23" s="11">
        <f t="shared" si="16"/>
        <v>47833843.789999992</v>
      </c>
      <c r="AU23" s="770">
        <f t="shared" si="16"/>
        <v>1695051066.1300001</v>
      </c>
      <c r="AV23" s="611">
        <f>AM23/$AM$7</f>
        <v>1.5978207681084818E-2</v>
      </c>
      <c r="AW23" s="621">
        <f>+AW24+AW28+AW32+AW33+AW35</f>
        <v>243250.93299999999</v>
      </c>
      <c r="AX23" s="609">
        <f>AW23/$AW$7</f>
        <v>4.703774304339694E-3</v>
      </c>
      <c r="AY23" s="608">
        <f>+F23/F7</f>
        <v>2.4689473657708339E-2</v>
      </c>
      <c r="AZ23" s="561">
        <f>AZ24+AZ28+AZ32+AZ33+AZ35</f>
        <v>1336481.3251400001</v>
      </c>
      <c r="BA23" s="608">
        <f>+AZ23/$AZ$7</f>
        <v>3.6592368687412301E-2</v>
      </c>
      <c r="BB23" s="560">
        <f>+F23-AZ23</f>
        <v>269947.63185999985</v>
      </c>
      <c r="BC23" s="607">
        <f>+BB23/AZ23</f>
        <v>0.20198384128691219</v>
      </c>
      <c r="BD23" s="561">
        <f>BD24+BD28+BD32+BD33+BD35</f>
        <v>1278405.55</v>
      </c>
      <c r="BE23" s="605">
        <f t="shared" si="9"/>
        <v>2.9445089192783321E-2</v>
      </c>
      <c r="BF23" s="560">
        <f t="shared" ref="BF23:BF30" si="17">AZ23-BD23</f>
        <v>58075.775140000042</v>
      </c>
      <c r="BG23" s="604">
        <f>+BF23/BD23</f>
        <v>4.5428287713550709E-2</v>
      </c>
      <c r="BH23" s="555"/>
    </row>
    <row r="24" spans="1:60" ht="15.75" customHeight="1" x14ac:dyDescent="0.3">
      <c r="A24" s="767" t="s">
        <v>45</v>
      </c>
      <c r="B24" s="1967" t="s">
        <v>46</v>
      </c>
      <c r="C24" s="1968"/>
      <c r="D24" s="20">
        <f>+D25+D26</f>
        <v>575792099.45000005</v>
      </c>
      <c r="E24" s="620">
        <f>SUM(G24+Y24+AG24+AN24)</f>
        <v>575792099.45000005</v>
      </c>
      <c r="F24" s="558">
        <f>F25+F26</f>
        <v>500534.62099999998</v>
      </c>
      <c r="G24" s="20">
        <f>SUM(G25:G26)</f>
        <v>269040958.44</v>
      </c>
      <c r="H24" s="20"/>
      <c r="I24" s="21">
        <f>SUM(I25:I26)</f>
        <v>36708390.420000002</v>
      </c>
      <c r="J24" s="21">
        <f>SUM(J25:J26)</f>
        <v>11170852</v>
      </c>
      <c r="K24" s="21">
        <f>SUM(K25:K26)</f>
        <v>7533420</v>
      </c>
      <c r="L24" s="21">
        <f>SUM(L25:L26)</f>
        <v>0</v>
      </c>
      <c r="M24" s="20">
        <f>+M25+M26</f>
        <v>21722714.829999998</v>
      </c>
      <c r="N24" s="21">
        <f>+N25+N26</f>
        <v>0</v>
      </c>
      <c r="O24" s="20">
        <f>SUM(O25:O26)</f>
        <v>1310160</v>
      </c>
      <c r="P24" s="20">
        <f>SUM(P25:P26)</f>
        <v>24237960</v>
      </c>
      <c r="Q24" s="20">
        <f>SUM(Q25:Q26)</f>
        <v>67194424.849999994</v>
      </c>
      <c r="R24" s="20">
        <f>SUM(R25:R26)</f>
        <v>5240640</v>
      </c>
      <c r="S24" s="20">
        <f>+S25+S26</f>
        <v>27794101.09</v>
      </c>
      <c r="T24" s="20">
        <f>+T25+T26</f>
        <v>5961228</v>
      </c>
      <c r="U24" s="20">
        <f>+U25+U26</f>
        <v>15721920</v>
      </c>
      <c r="V24" s="20">
        <f>+V25+V26</f>
        <v>40514667.25</v>
      </c>
      <c r="W24" s="20">
        <f>+W25+W26</f>
        <v>3930480</v>
      </c>
      <c r="X24" s="696">
        <f>+'[3]Egresos -2015 '!$Z$24</f>
        <v>262654.76899999997</v>
      </c>
      <c r="Y24" s="11">
        <f t="shared" ref="Y24:AD24" si="18">SUM(Y25:Y26)</f>
        <v>150755512.53999999</v>
      </c>
      <c r="Z24" s="11">
        <f t="shared" si="18"/>
        <v>11267376</v>
      </c>
      <c r="AA24" s="11">
        <f t="shared" si="18"/>
        <v>24368976</v>
      </c>
      <c r="AB24" s="11">
        <f t="shared" si="18"/>
        <v>54699180</v>
      </c>
      <c r="AC24" s="11">
        <f t="shared" si="18"/>
        <v>44676456</v>
      </c>
      <c r="AD24" s="11">
        <f t="shared" si="18"/>
        <v>15743524.539999999</v>
      </c>
      <c r="AE24" s="642">
        <f>X24/$X$7*100</f>
        <v>5.1519639515304938</v>
      </c>
      <c r="AF24" s="8">
        <f>+AF25+AF26</f>
        <v>136962.14500000002</v>
      </c>
      <c r="AG24" s="11">
        <f>SUM(AG25:AG26)</f>
        <v>51947844</v>
      </c>
      <c r="AH24" s="307">
        <f>SUM(AH25:AH26)</f>
        <v>2816844</v>
      </c>
      <c r="AI24" s="11">
        <f>SUM(AI25:AI26)</f>
        <v>11791440</v>
      </c>
      <c r="AJ24" s="35">
        <f>+AJ25+AJ26</f>
        <v>13101600</v>
      </c>
      <c r="AK24" s="35">
        <f>+AK25+AK26</f>
        <v>24237960</v>
      </c>
      <c r="AL24" s="614">
        <f>(AF24/AF7)*100</f>
        <v>9.4599173403489836</v>
      </c>
      <c r="AM24" s="614">
        <f>+AM25+AM26</f>
        <v>45658.544000000002</v>
      </c>
      <c r="AN24" s="34">
        <f>SUM(AN25:AN26)</f>
        <v>104047784.47</v>
      </c>
      <c r="AO24" s="35">
        <f t="shared" ref="AO24:AT24" si="19">+AO25+AO26</f>
        <v>59993881.130000003</v>
      </c>
      <c r="AP24" s="34">
        <f t="shared" si="19"/>
        <v>44053903.340000004</v>
      </c>
      <c r="AQ24" s="305">
        <f t="shared" si="19"/>
        <v>14411760</v>
      </c>
      <c r="AR24" s="35">
        <f t="shared" si="19"/>
        <v>3930480</v>
      </c>
      <c r="AS24" s="35">
        <f t="shared" si="19"/>
        <v>11343939.129999999</v>
      </c>
      <c r="AT24" s="35">
        <f t="shared" si="19"/>
        <v>14367724.210000001</v>
      </c>
      <c r="AU24" s="768">
        <f>SUM(AU25:AU26)</f>
        <v>575792099.45000005</v>
      </c>
      <c r="AV24" s="611">
        <f>AM24/$AM$7</f>
        <v>3.9802587310984409E-3</v>
      </c>
      <c r="AW24" s="610">
        <f>+AW25+AW26</f>
        <v>92884.748999999996</v>
      </c>
      <c r="AX24" s="609">
        <f>AW24/$AW$7</f>
        <v>1.7961242336169872E-3</v>
      </c>
      <c r="AY24" s="608">
        <f>+F24/F7</f>
        <v>7.6927997880646562E-3</v>
      </c>
      <c r="AZ24" s="558">
        <f>AZ25+AZ26</f>
        <v>449047.2438</v>
      </c>
      <c r="BA24" s="608">
        <f>+AZ24/$AZ$7</f>
        <v>1.2294748900793396E-2</v>
      </c>
      <c r="BB24" s="560">
        <f>+F24-AZ24</f>
        <v>51487.377199999988</v>
      </c>
      <c r="BC24" s="607">
        <f>+BB24/AZ24</f>
        <v>0.11465915426692123</v>
      </c>
      <c r="BD24" s="558">
        <f>436215.92</f>
        <v>436215.92</v>
      </c>
      <c r="BE24" s="605">
        <f t="shared" si="9"/>
        <v>1.0047215980650297E-2</v>
      </c>
      <c r="BF24" s="560">
        <f t="shared" si="17"/>
        <v>12831.323800000013</v>
      </c>
      <c r="BG24" s="604">
        <f>+BF24/BD24</f>
        <v>2.9415074534647919E-2</v>
      </c>
      <c r="BH24" s="555"/>
    </row>
    <row r="25" spans="1:60" ht="15.75" customHeight="1" x14ac:dyDescent="0.3">
      <c r="A25" s="767" t="s">
        <v>47</v>
      </c>
      <c r="B25" s="1967" t="s">
        <v>745</v>
      </c>
      <c r="C25" s="1968"/>
      <c r="D25" s="20">
        <f>+G25+Y25+AG25+AN25</f>
        <v>446113340.45999998</v>
      </c>
      <c r="E25" s="620">
        <f>SUM(G25+Y25+AG25+AN25)</f>
        <v>446113340.45999998</v>
      </c>
      <c r="F25" s="558">
        <f>386214859/1000</f>
        <v>386214.859</v>
      </c>
      <c r="G25" s="20">
        <f>SUM(H25:W25)</f>
        <v>218342024.45999998</v>
      </c>
      <c r="H25" s="375"/>
      <c r="I25" s="341">
        <v>29478600</v>
      </c>
      <c r="J25" s="375">
        <f>11070852+100000</f>
        <v>11170852</v>
      </c>
      <c r="K25" s="375">
        <v>7533420</v>
      </c>
      <c r="L25" s="341">
        <v>0</v>
      </c>
      <c r="M25" s="1">
        <v>17687160</v>
      </c>
      <c r="N25" s="375"/>
      <c r="O25" s="375">
        <v>1310160</v>
      </c>
      <c r="P25" s="341">
        <v>24237960</v>
      </c>
      <c r="Q25" s="375">
        <v>47542024.850000001</v>
      </c>
      <c r="R25" s="1">
        <v>5240640</v>
      </c>
      <c r="S25" s="1">
        <v>20883203.609999999</v>
      </c>
      <c r="T25" s="1">
        <v>5961228</v>
      </c>
      <c r="U25" s="1">
        <v>11136360</v>
      </c>
      <c r="V25" s="1">
        <v>32229936</v>
      </c>
      <c r="W25" s="1">
        <v>3930480</v>
      </c>
      <c r="X25" s="696">
        <f>+'[3]Egresos -2015 '!$Z$25</f>
        <v>206263.538</v>
      </c>
      <c r="Y25" s="8">
        <f>SUM(Z25:AD25)</f>
        <v>104747292</v>
      </c>
      <c r="Z25" s="8">
        <v>6681816</v>
      </c>
      <c r="AA25" s="8">
        <v>13887696</v>
      </c>
      <c r="AB25" s="8">
        <v>38322180</v>
      </c>
      <c r="AC25" s="8">
        <v>34064160</v>
      </c>
      <c r="AD25" s="8">
        <v>11791440</v>
      </c>
      <c r="AE25" s="642">
        <f>X25/$X$7*100</f>
        <v>4.0458519612531392</v>
      </c>
      <c r="AF25" s="8">
        <f>+'[2]Egresos -2015 '!$AG$25</f>
        <v>86616.592000000004</v>
      </c>
      <c r="AG25" s="2">
        <f>SUM(AH25:AK25)</f>
        <v>51947844</v>
      </c>
      <c r="AH25" s="765">
        <v>2816844</v>
      </c>
      <c r="AI25" s="13">
        <v>11791440</v>
      </c>
      <c r="AJ25" s="35">
        <v>13101600</v>
      </c>
      <c r="AK25" s="35">
        <v>24237960</v>
      </c>
      <c r="AL25" s="614">
        <f>(AF25/AF7)*100</f>
        <v>5.9825713201464019</v>
      </c>
      <c r="AM25" s="614">
        <f>+'[2]Egresos -2015 '!$AM$25</f>
        <v>35191.050000000003</v>
      </c>
      <c r="AN25" s="30">
        <f>SUM(AO25+AP25)</f>
        <v>71076180</v>
      </c>
      <c r="AO25" s="35">
        <f>17425128+22698522</f>
        <v>40123650</v>
      </c>
      <c r="AP25" s="30">
        <f>SUM(AQ25:AT25)</f>
        <v>30952530</v>
      </c>
      <c r="AQ25" s="305">
        <v>9826200</v>
      </c>
      <c r="AR25" s="35">
        <v>3930480</v>
      </c>
      <c r="AS25" s="35">
        <v>7467912</v>
      </c>
      <c r="AT25" s="35">
        <v>9727938</v>
      </c>
      <c r="AU25" s="768">
        <f>SUM(AN25+AG25+Y25+G25)</f>
        <v>446113340.45999998</v>
      </c>
      <c r="AV25" s="611">
        <f>AM25/$AM$7</f>
        <v>3.0677606368486434E-3</v>
      </c>
      <c r="AW25" s="610">
        <f>+'[2]Egresos -2015 '!$AO$25</f>
        <v>60412.392</v>
      </c>
      <c r="AX25" s="609">
        <f>AW25/$AW$7</f>
        <v>1.1682021262927568E-3</v>
      </c>
      <c r="AY25" s="608">
        <f>+F25/F7</f>
        <v>5.9358003638725742E-3</v>
      </c>
      <c r="AZ25" s="606">
        <f>+((162057640.25/6))*12/1000</f>
        <v>324115.28049999999</v>
      </c>
      <c r="BA25" s="608">
        <f>+AZ25/$AZ$7</f>
        <v>8.874157549517328E-3</v>
      </c>
      <c r="BB25" s="560">
        <f>+F25-AZ25</f>
        <v>62099.578500000003</v>
      </c>
      <c r="BC25" s="607">
        <f>+BB25/AZ25</f>
        <v>0.19159719469011582</v>
      </c>
      <c r="BD25" s="558">
        <f>0</f>
        <v>0</v>
      </c>
      <c r="BE25" s="605">
        <f t="shared" si="9"/>
        <v>0</v>
      </c>
      <c r="BF25" s="560">
        <f t="shared" si="17"/>
        <v>324115.28049999999</v>
      </c>
      <c r="BG25" s="604"/>
      <c r="BH25" s="555"/>
    </row>
    <row r="26" spans="1:60" ht="15.75" customHeight="1" x14ac:dyDescent="0.3">
      <c r="A26" s="767" t="s">
        <v>48</v>
      </c>
      <c r="B26" s="1967" t="s">
        <v>49</v>
      </c>
      <c r="C26" s="1968"/>
      <c r="D26" s="20">
        <f>+G26+Y26+AG26+AN26</f>
        <v>129678758.99000001</v>
      </c>
      <c r="E26" s="620">
        <f>SUM(G26+Y26+AG26+AN26)</f>
        <v>129678758.99000001</v>
      </c>
      <c r="F26" s="558">
        <f>114319762/1000</f>
        <v>114319.762</v>
      </c>
      <c r="G26" s="20">
        <f>SUM(H26:W26)</f>
        <v>50698933.980000004</v>
      </c>
      <c r="H26" s="375"/>
      <c r="I26" s="341">
        <v>7229790.4199999999</v>
      </c>
      <c r="J26" s="375"/>
      <c r="K26" s="375"/>
      <c r="L26" s="341">
        <v>0</v>
      </c>
      <c r="M26" s="1">
        <v>4035554.83</v>
      </c>
      <c r="N26" s="375"/>
      <c r="O26" s="375"/>
      <c r="P26" s="341"/>
      <c r="Q26" s="375">
        <v>19652400</v>
      </c>
      <c r="R26" s="1"/>
      <c r="S26" s="1">
        <v>6910897.4800000004</v>
      </c>
      <c r="T26" s="1"/>
      <c r="U26" s="1">
        <v>4585560</v>
      </c>
      <c r="V26" s="1">
        <v>8284731.25</v>
      </c>
      <c r="W26" s="1"/>
      <c r="X26" s="696">
        <f>+'[3]Egresos -2015 '!$Z$26</f>
        <v>56391.231</v>
      </c>
      <c r="Y26" s="8">
        <f>SUM(Z26:AD26)</f>
        <v>46008220.539999999</v>
      </c>
      <c r="Z26" s="8">
        <v>4585560</v>
      </c>
      <c r="AA26" s="8">
        <v>10481280</v>
      </c>
      <c r="AB26" s="8">
        <v>16377000</v>
      </c>
      <c r="AC26" s="8">
        <v>10612296</v>
      </c>
      <c r="AD26" s="8">
        <v>3952084.54</v>
      </c>
      <c r="AE26" s="642">
        <f>X26/$X$7*100</f>
        <v>1.1061119902773551</v>
      </c>
      <c r="AF26" s="8">
        <f>+'[2]Egresos -2015 '!$AG$26</f>
        <v>50345.553</v>
      </c>
      <c r="AG26" s="2">
        <f>SUM(AH26:AK26)</f>
        <v>0</v>
      </c>
      <c r="AH26" s="765"/>
      <c r="AI26" s="13"/>
      <c r="AJ26" s="35"/>
      <c r="AK26" s="35"/>
      <c r="AL26" s="614">
        <f>(AF26/AF7)*100</f>
        <v>3.4773460202025803</v>
      </c>
      <c r="AM26" s="614">
        <f>+'[2]Egresos -2015 '!$AM$26</f>
        <v>10467.494000000001</v>
      </c>
      <c r="AN26" s="30">
        <f>SUM(AO26+AP26)</f>
        <v>32971604.470000003</v>
      </c>
      <c r="AO26" s="35">
        <f>9044063.3+10826167.83</f>
        <v>19870231.130000003</v>
      </c>
      <c r="AP26" s="30">
        <f>SUM(AQ26:AT26)</f>
        <v>13101373.34</v>
      </c>
      <c r="AQ26" s="305">
        <v>4585560</v>
      </c>
      <c r="AR26" s="35"/>
      <c r="AS26" s="35">
        <v>3876027.13</v>
      </c>
      <c r="AT26" s="35">
        <v>4639786.21</v>
      </c>
      <c r="AU26" s="768">
        <f>SUM(AN26+AG26+Y26+G26)</f>
        <v>129678758.99000001</v>
      </c>
      <c r="AV26" s="611">
        <f>AM26/$AM$7</f>
        <v>9.1249809424979794E-4</v>
      </c>
      <c r="AW26" s="610">
        <f>+'[2]Egresos -2015 '!$AO$26</f>
        <v>32472.357</v>
      </c>
      <c r="AX26" s="609">
        <f>AW26/$AW$7</f>
        <v>6.279221073242305E-4</v>
      </c>
      <c r="AY26" s="608">
        <f>+F26/F7</f>
        <v>1.756999424192082E-3</v>
      </c>
      <c r="AZ26" s="606">
        <f>+((62465981.65/6))*12/1000</f>
        <v>124931.9633</v>
      </c>
      <c r="BA26" s="608">
        <f>+AZ26/$AZ$7</f>
        <v>3.4205913512760683E-3</v>
      </c>
      <c r="BB26" s="560">
        <f>+F26-AZ26</f>
        <v>-10612.201300000001</v>
      </c>
      <c r="BC26" s="607">
        <f>+BB26/AZ26</f>
        <v>-8.4943844791079179E-2</v>
      </c>
      <c r="BD26" s="558">
        <f>0</f>
        <v>0</v>
      </c>
      <c r="BE26" s="605">
        <f t="shared" si="9"/>
        <v>0</v>
      </c>
      <c r="BF26" s="560">
        <f t="shared" si="17"/>
        <v>124931.9633</v>
      </c>
      <c r="BG26" s="604"/>
      <c r="BH26" s="555"/>
    </row>
    <row r="27" spans="1:60" ht="15.75" customHeight="1" x14ac:dyDescent="0.3">
      <c r="A27" s="767"/>
      <c r="B27" s="634"/>
      <c r="C27" s="635"/>
      <c r="D27" s="20"/>
      <c r="E27" s="620"/>
      <c r="F27" s="558"/>
      <c r="G27" s="20"/>
      <c r="H27" s="375"/>
      <c r="I27" s="341"/>
      <c r="J27" s="375"/>
      <c r="K27" s="375"/>
      <c r="L27" s="341"/>
      <c r="M27" s="1"/>
      <c r="N27" s="375"/>
      <c r="O27" s="375"/>
      <c r="P27" s="341"/>
      <c r="Q27" s="375"/>
      <c r="R27" s="1"/>
      <c r="S27" s="1"/>
      <c r="T27" s="1"/>
      <c r="U27" s="1"/>
      <c r="V27" s="1"/>
      <c r="W27" s="1"/>
      <c r="X27" s="617"/>
      <c r="Y27" s="8"/>
      <c r="Z27" s="8"/>
      <c r="AA27" s="8"/>
      <c r="AB27" s="8"/>
      <c r="AC27" s="8"/>
      <c r="AD27" s="8"/>
      <c r="AE27" s="615"/>
      <c r="AF27" s="8"/>
      <c r="AG27" s="2"/>
      <c r="AH27" s="765"/>
      <c r="AI27" s="13"/>
      <c r="AJ27" s="35"/>
      <c r="AK27" s="35"/>
      <c r="AL27" s="614"/>
      <c r="AM27" s="614"/>
      <c r="AN27" s="34"/>
      <c r="AO27" s="35"/>
      <c r="AP27" s="34"/>
      <c r="AQ27" s="305"/>
      <c r="AR27" s="35"/>
      <c r="AS27" s="35"/>
      <c r="AT27" s="35"/>
      <c r="AU27" s="612"/>
      <c r="AV27" s="611"/>
      <c r="AW27" s="610"/>
      <c r="AX27" s="609"/>
      <c r="AY27" s="608"/>
      <c r="AZ27" s="606"/>
      <c r="BA27" s="608"/>
      <c r="BB27" s="560"/>
      <c r="BC27" s="607"/>
      <c r="BD27" s="606"/>
      <c r="BE27" s="605">
        <f t="shared" si="9"/>
        <v>0</v>
      </c>
      <c r="BF27" s="560">
        <f t="shared" si="17"/>
        <v>0</v>
      </c>
      <c r="BG27" s="604"/>
      <c r="BH27" s="555"/>
    </row>
    <row r="28" spans="1:60" ht="15.75" customHeight="1" x14ac:dyDescent="0.3">
      <c r="A28" s="767" t="s">
        <v>50</v>
      </c>
      <c r="B28" s="1967" t="s">
        <v>51</v>
      </c>
      <c r="C28" s="1968"/>
      <c r="D28" s="20">
        <f>SUM(D29:D30)</f>
        <v>539420810.18000007</v>
      </c>
      <c r="E28" s="628">
        <f>SUM(G28+Y28+AG28+AN28)</f>
        <v>539420810.18000007</v>
      </c>
      <c r="F28" s="558">
        <f>F29+F30</f>
        <v>556975.78</v>
      </c>
      <c r="G28" s="20">
        <f t="shared" ref="G28:W28" si="20">SUM(G29:G30)</f>
        <v>234857446.39000005</v>
      </c>
      <c r="H28" s="375">
        <f t="shared" si="20"/>
        <v>0</v>
      </c>
      <c r="I28" s="341">
        <f t="shared" si="20"/>
        <v>31023540.670000002</v>
      </c>
      <c r="J28" s="375">
        <f t="shared" si="20"/>
        <v>17152294.079999998</v>
      </c>
      <c r="K28" s="375">
        <f t="shared" si="20"/>
        <v>0</v>
      </c>
      <c r="L28" s="341">
        <f t="shared" si="20"/>
        <v>0</v>
      </c>
      <c r="M28" s="341">
        <f t="shared" si="20"/>
        <v>24160234.760000002</v>
      </c>
      <c r="N28" s="375">
        <f t="shared" si="20"/>
        <v>0</v>
      </c>
      <c r="O28" s="375">
        <f t="shared" si="20"/>
        <v>4568888.21</v>
      </c>
      <c r="P28" s="341">
        <f t="shared" si="20"/>
        <v>42776265.439999998</v>
      </c>
      <c r="Q28" s="375">
        <f t="shared" si="20"/>
        <v>41005420.43</v>
      </c>
      <c r="R28" s="341">
        <f t="shared" si="20"/>
        <v>7517534.3099999996</v>
      </c>
      <c r="S28" s="341">
        <f t="shared" si="20"/>
        <v>5474667.3300000001</v>
      </c>
      <c r="T28" s="341">
        <f t="shared" si="20"/>
        <v>13813009.02</v>
      </c>
      <c r="U28" s="341">
        <f t="shared" si="20"/>
        <v>20594536.050000001</v>
      </c>
      <c r="V28" s="341">
        <f t="shared" si="20"/>
        <v>21798638.600000001</v>
      </c>
      <c r="W28" s="341">
        <f t="shared" si="20"/>
        <v>4972417.49</v>
      </c>
      <c r="X28" s="617">
        <f>+'[3]Egresos -2015 '!$Z$28</f>
        <v>237253.024</v>
      </c>
      <c r="Y28" s="12">
        <f t="shared" ref="Y28:AD28" si="21">SUM(Y29:Y30)</f>
        <v>115085469.77</v>
      </c>
      <c r="Z28" s="12">
        <f t="shared" si="21"/>
        <v>8674798.6400000006</v>
      </c>
      <c r="AA28" s="12">
        <f t="shared" si="21"/>
        <v>12776385.529999999</v>
      </c>
      <c r="AB28" s="12">
        <f t="shared" si="21"/>
        <v>34362319.659999996</v>
      </c>
      <c r="AC28" s="12">
        <f t="shared" si="21"/>
        <v>39738266.439999998</v>
      </c>
      <c r="AD28" s="12">
        <f t="shared" si="21"/>
        <v>19533699.5</v>
      </c>
      <c r="AE28" s="642">
        <f>X28/$X$7*100</f>
        <v>4.6537096268737432</v>
      </c>
      <c r="AF28" s="8">
        <f>+AF29+AF30</f>
        <v>105373.224</v>
      </c>
      <c r="AG28" s="2">
        <f>SUM(AG29:AG30)</f>
        <v>92442433.060000002</v>
      </c>
      <c r="AH28" s="636">
        <f>SUM(AH29:AH30)</f>
        <v>7803968.04</v>
      </c>
      <c r="AI28" s="9">
        <f>SUM(AI29:AI30)</f>
        <v>44397948.740000002</v>
      </c>
      <c r="AJ28" s="35">
        <f>SUM(AJ29:AJ30)</f>
        <v>18035957.350000001</v>
      </c>
      <c r="AK28" s="35">
        <f>SUM(AK29:AK30)</f>
        <v>22204558.93</v>
      </c>
      <c r="AL28" s="614">
        <f>(AF28/AF7)*100</f>
        <v>7.2780839474007761</v>
      </c>
      <c r="AM28" s="614">
        <f>+AM29+AM30</f>
        <v>91028.383000000002</v>
      </c>
      <c r="AN28" s="34">
        <f t="shared" ref="AN28:AU28" si="22">SUM(AN29:AN30)</f>
        <v>97035460.959999993</v>
      </c>
      <c r="AO28" s="35">
        <f t="shared" si="22"/>
        <v>52233334.409999996</v>
      </c>
      <c r="AP28" s="34">
        <f t="shared" si="22"/>
        <v>44802126.549999997</v>
      </c>
      <c r="AQ28" s="305">
        <f t="shared" si="22"/>
        <v>7803968.04</v>
      </c>
      <c r="AR28" s="35">
        <f t="shared" si="22"/>
        <v>14612443.76</v>
      </c>
      <c r="AS28" s="35">
        <f t="shared" si="22"/>
        <v>4489443.3899999997</v>
      </c>
      <c r="AT28" s="35">
        <f t="shared" si="22"/>
        <v>17896271.359999999</v>
      </c>
      <c r="AU28" s="768">
        <f t="shared" si="22"/>
        <v>539420810.18000007</v>
      </c>
      <c r="AV28" s="611">
        <f>AM28/$AM$7</f>
        <v>7.9353497609017682E-3</v>
      </c>
      <c r="AW28" s="610">
        <f>+AW29+AW30</f>
        <v>97230.937999999995</v>
      </c>
      <c r="AX28" s="609">
        <f>AW28/$AW$7</f>
        <v>1.8801670444209392E-3</v>
      </c>
      <c r="AY28" s="608">
        <f>+F28/$F$7</f>
        <v>8.5602533422780899E-3</v>
      </c>
      <c r="AZ28" s="558">
        <f>AZ29+AZ30</f>
        <v>479863.33899999998</v>
      </c>
      <c r="BA28" s="608">
        <f>+AZ28/$AZ$7</f>
        <v>1.3138482289246597E-2</v>
      </c>
      <c r="BB28" s="560">
        <f>+F28-AZ28</f>
        <v>77112.44100000005</v>
      </c>
      <c r="BC28" s="607">
        <f>+BB28/AZ28</f>
        <v>0.16069667076609087</v>
      </c>
      <c r="BD28" s="558">
        <v>403880.14</v>
      </c>
      <c r="BE28" s="605">
        <f t="shared" si="9"/>
        <v>9.3024367310465868E-3</v>
      </c>
      <c r="BF28" s="560">
        <f t="shared" si="17"/>
        <v>75983.198999999964</v>
      </c>
      <c r="BG28" s="604">
        <f>+BF28/BD28</f>
        <v>0.18813304115423937</v>
      </c>
      <c r="BH28" s="555"/>
    </row>
    <row r="29" spans="1:60" ht="15.75" customHeight="1" x14ac:dyDescent="0.3">
      <c r="A29" s="767" t="s">
        <v>52</v>
      </c>
      <c r="B29" s="1967" t="s">
        <v>53</v>
      </c>
      <c r="C29" s="1968"/>
      <c r="D29" s="20">
        <f>+G29+Y29+AG29+AN29</f>
        <v>489213218.96000004</v>
      </c>
      <c r="E29" s="620">
        <f>SUM(G29+Y29+AG29+AN29)</f>
        <v>489213218.96000004</v>
      </c>
      <c r="F29" s="558">
        <f>513945627/1000</f>
        <v>513945.62699999998</v>
      </c>
      <c r="G29" s="20">
        <f>SUM(H29:W29)</f>
        <v>184649855.17000005</v>
      </c>
      <c r="H29" s="375"/>
      <c r="I29" s="341">
        <v>2096256</v>
      </c>
      <c r="J29" s="375">
        <f>16772766.58+379527.5</f>
        <v>17152294.079999998</v>
      </c>
      <c r="K29" s="375"/>
      <c r="L29" s="341">
        <v>0</v>
      </c>
      <c r="M29" s="1">
        <v>24160234.760000002</v>
      </c>
      <c r="N29" s="375"/>
      <c r="O29" s="375">
        <v>4568888.21</v>
      </c>
      <c r="P29" s="341">
        <v>42776265.439999998</v>
      </c>
      <c r="Q29" s="375">
        <v>41005420.43</v>
      </c>
      <c r="R29" s="1"/>
      <c r="S29" s="1">
        <v>5474667.3300000001</v>
      </c>
      <c r="T29" s="1">
        <v>13813009.02</v>
      </c>
      <c r="U29" s="1">
        <v>13713149.93</v>
      </c>
      <c r="V29" s="1">
        <v>14917252.48</v>
      </c>
      <c r="W29" s="1">
        <v>4972417.49</v>
      </c>
      <c r="X29" s="617">
        <f>+'[3]Egresos -2015 '!$Z$29</f>
        <v>194589.77299999999</v>
      </c>
      <c r="Y29" s="8">
        <f>SUM(Z29:AD29)</f>
        <v>115085469.77</v>
      </c>
      <c r="Z29" s="8">
        <v>8674798.6400000006</v>
      </c>
      <c r="AA29" s="8">
        <v>12776385.529999999</v>
      </c>
      <c r="AB29" s="8">
        <v>34362319.659999996</v>
      </c>
      <c r="AC29" s="8">
        <v>39738266.439999998</v>
      </c>
      <c r="AD29" s="8">
        <v>19533699.5</v>
      </c>
      <c r="AE29" s="642">
        <f>X29/$X$7*100</f>
        <v>3.8168714760039322</v>
      </c>
      <c r="AF29" s="8">
        <f>+'[2]Egresos -2015 '!$AG$29</f>
        <v>105373.224</v>
      </c>
      <c r="AG29" s="2">
        <f>SUM(AH29:AK29)</f>
        <v>92442433.060000002</v>
      </c>
      <c r="AH29" s="769">
        <v>7803968.04</v>
      </c>
      <c r="AI29" s="8">
        <v>44397948.740000002</v>
      </c>
      <c r="AJ29" s="35">
        <v>18035957.350000001</v>
      </c>
      <c r="AK29" s="35">
        <v>22204558.93</v>
      </c>
      <c r="AL29" s="614">
        <f>(AF29/AF7)*100</f>
        <v>7.2780839474007761</v>
      </c>
      <c r="AM29" s="614">
        <f>+'[2]Egresos -2015 '!$AM$29</f>
        <v>91028.383000000002</v>
      </c>
      <c r="AN29" s="30">
        <f>SUM(AO29+AP29)</f>
        <v>97035460.959999993</v>
      </c>
      <c r="AO29" s="35">
        <f>10475367.9+41757966.51</f>
        <v>52233334.409999996</v>
      </c>
      <c r="AP29" s="30">
        <f>SUM(AQ29:AT29)</f>
        <v>44802126.549999997</v>
      </c>
      <c r="AQ29" s="305">
        <v>7803968.04</v>
      </c>
      <c r="AR29" s="35">
        <v>14612443.76</v>
      </c>
      <c r="AS29" s="35">
        <v>4489443.3899999997</v>
      </c>
      <c r="AT29" s="35">
        <v>17896271.359999999</v>
      </c>
      <c r="AU29" s="768">
        <f>SUM(AN29+AG29+Y29+G29)</f>
        <v>489213218.96000004</v>
      </c>
      <c r="AV29" s="611">
        <f>AM29/$AM$7</f>
        <v>7.9353497609017682E-3</v>
      </c>
      <c r="AW29" s="610">
        <f>+'[2]Egresos -2015 '!$AO$29</f>
        <v>97230.937999999995</v>
      </c>
      <c r="AX29" s="609">
        <f>AW29/$AW$7</f>
        <v>1.8801670444209392E-3</v>
      </c>
      <c r="AY29" s="608">
        <f>+F29/$F$7</f>
        <v>7.8989157684306449E-3</v>
      </c>
      <c r="AZ29" s="606">
        <f>+((222445481.95/6))*12/1000</f>
        <v>444890.96389999997</v>
      </c>
      <c r="BA29" s="608">
        <f>+AZ29/$AZ$7</f>
        <v>1.2180951480950698E-2</v>
      </c>
      <c r="BB29" s="560">
        <f>+F29-AZ29</f>
        <v>69054.663100000005</v>
      </c>
      <c r="BC29" s="607">
        <f>+BB29/AZ29</f>
        <v>0.15521705025126498</v>
      </c>
      <c r="BD29" s="606">
        <f>0/1000</f>
        <v>0</v>
      </c>
      <c r="BE29" s="605">
        <f t="shared" si="9"/>
        <v>0</v>
      </c>
      <c r="BF29" s="560">
        <f t="shared" si="17"/>
        <v>444890.96389999997</v>
      </c>
      <c r="BG29" s="604"/>
      <c r="BH29" s="555"/>
    </row>
    <row r="30" spans="1:60" ht="15.75" customHeight="1" x14ac:dyDescent="0.3">
      <c r="A30" s="767" t="s">
        <v>54</v>
      </c>
      <c r="B30" s="1967" t="s">
        <v>55</v>
      </c>
      <c r="C30" s="1968"/>
      <c r="D30" s="20">
        <f>+G30+Y30+AG30+AN30</f>
        <v>50207591.219999999</v>
      </c>
      <c r="E30" s="620">
        <f>SUM(G30+Y30+AG30+AN30)</f>
        <v>50207591.219999999</v>
      </c>
      <c r="F30" s="558">
        <f>43030153/1000</f>
        <v>43030.152999999998</v>
      </c>
      <c r="G30" s="20">
        <f>SUM(H30:W30)</f>
        <v>50207591.219999999</v>
      </c>
      <c r="H30" s="20"/>
      <c r="I30" s="20">
        <v>28927284.670000002</v>
      </c>
      <c r="J30" s="20"/>
      <c r="K30" s="20"/>
      <c r="L30" s="20"/>
      <c r="M30" s="1"/>
      <c r="N30" s="20"/>
      <c r="O30" s="20"/>
      <c r="P30" s="20"/>
      <c r="Q30" s="20"/>
      <c r="R30" s="1">
        <v>7517534.3099999996</v>
      </c>
      <c r="S30" s="1"/>
      <c r="T30" s="1"/>
      <c r="U30" s="1">
        <v>6881386.1200000001</v>
      </c>
      <c r="V30" s="1">
        <v>6881386.1200000001</v>
      </c>
      <c r="W30" s="1"/>
      <c r="X30" s="617">
        <f>+'[3]Egresos -2015 '!$Z$30</f>
        <v>42663.250999999997</v>
      </c>
      <c r="Y30" s="8">
        <f>SUM(Z30:AD30)</f>
        <v>0</v>
      </c>
      <c r="Z30" s="8"/>
      <c r="AA30" s="8"/>
      <c r="AB30" s="8"/>
      <c r="AC30" s="8"/>
      <c r="AD30" s="8"/>
      <c r="AE30" s="642">
        <f>X30/$X$7*100</f>
        <v>0.83683815086981073</v>
      </c>
      <c r="AF30" s="8">
        <f>Y30/1000</f>
        <v>0</v>
      </c>
      <c r="AG30" s="2">
        <f>SUM(AH30:AK30)</f>
        <v>0</v>
      </c>
      <c r="AH30" s="765"/>
      <c r="AI30" s="13"/>
      <c r="AJ30" s="35"/>
      <c r="AK30" s="35"/>
      <c r="AL30" s="614"/>
      <c r="AM30" s="614">
        <f>AG30/1000</f>
        <v>0</v>
      </c>
      <c r="AN30" s="30">
        <f>SUM(AO30+AP30)</f>
        <v>0</v>
      </c>
      <c r="AO30" s="35"/>
      <c r="AP30" s="34"/>
      <c r="AQ30" s="305"/>
      <c r="AR30" s="35"/>
      <c r="AS30" s="35"/>
      <c r="AT30" s="35"/>
      <c r="AU30" s="768">
        <f>SUM(AN30+AG30+Y30+G30)</f>
        <v>50207591.219999999</v>
      </c>
      <c r="AV30" s="611">
        <f>AM30/$AM$7</f>
        <v>0</v>
      </c>
      <c r="AW30" s="610">
        <f>AN30/1000</f>
        <v>0</v>
      </c>
      <c r="AX30" s="609"/>
      <c r="AY30" s="608">
        <f>+F30/$F$7</f>
        <v>6.6133757384744364E-4</v>
      </c>
      <c r="AZ30" s="606">
        <f>+((17486187.55/6))*12/1000</f>
        <v>34972.375100000005</v>
      </c>
      <c r="BA30" s="608">
        <f>+AZ30/$AZ$7</f>
        <v>9.5753080829589859E-4</v>
      </c>
      <c r="BB30" s="560">
        <f>+F30-AZ30</f>
        <v>8057.7778999999937</v>
      </c>
      <c r="BC30" s="607">
        <f>+BB30/AZ30</f>
        <v>0.23040407970461213</v>
      </c>
      <c r="BD30" s="606">
        <f>0/1000</f>
        <v>0</v>
      </c>
      <c r="BE30" s="605">
        <f t="shared" si="9"/>
        <v>0</v>
      </c>
      <c r="BF30" s="560">
        <f t="shared" si="17"/>
        <v>34972.375100000005</v>
      </c>
      <c r="BG30" s="604"/>
      <c r="BH30" s="555"/>
    </row>
    <row r="31" spans="1:60" ht="15.75" customHeight="1" x14ac:dyDescent="0.3">
      <c r="A31" s="767"/>
      <c r="B31" s="634"/>
      <c r="C31" s="635"/>
      <c r="D31" s="20"/>
      <c r="E31" s="620"/>
      <c r="F31" s="558"/>
      <c r="G31" s="20"/>
      <c r="H31" s="20"/>
      <c r="I31" s="20"/>
      <c r="J31" s="20"/>
      <c r="K31" s="20"/>
      <c r="L31" s="20"/>
      <c r="M31" s="1"/>
      <c r="N31" s="20"/>
      <c r="O31" s="20"/>
      <c r="P31" s="20"/>
      <c r="Q31" s="20"/>
      <c r="R31" s="1"/>
      <c r="S31" s="1"/>
      <c r="T31" s="1"/>
      <c r="U31" s="1"/>
      <c r="V31" s="1"/>
      <c r="W31" s="1"/>
      <c r="X31" s="617"/>
      <c r="Y31" s="8"/>
      <c r="Z31" s="8"/>
      <c r="AA31" s="8"/>
      <c r="AB31" s="8"/>
      <c r="AC31" s="8"/>
      <c r="AD31" s="8"/>
      <c r="AE31" s="615"/>
      <c r="AF31" s="8"/>
      <c r="AG31" s="2"/>
      <c r="AH31" s="765"/>
      <c r="AI31" s="13"/>
      <c r="AJ31" s="35"/>
      <c r="AK31" s="35"/>
      <c r="AL31" s="614"/>
      <c r="AM31" s="614"/>
      <c r="AN31" s="34"/>
      <c r="AO31" s="35"/>
      <c r="AP31" s="34"/>
      <c r="AQ31" s="305"/>
      <c r="AR31" s="35"/>
      <c r="AS31" s="35"/>
      <c r="AT31" s="35"/>
      <c r="AU31" s="612"/>
      <c r="AV31" s="611"/>
      <c r="AW31" s="610"/>
      <c r="AX31" s="609"/>
      <c r="AY31" s="608"/>
      <c r="AZ31" s="606"/>
      <c r="BA31" s="608"/>
      <c r="BB31" s="560"/>
      <c r="BC31" s="607"/>
      <c r="BD31" s="606"/>
      <c r="BE31" s="605">
        <f t="shared" si="9"/>
        <v>0</v>
      </c>
      <c r="BF31" s="560"/>
      <c r="BG31" s="604"/>
      <c r="BH31" s="555"/>
    </row>
    <row r="32" spans="1:60" ht="15.75" customHeight="1" x14ac:dyDescent="0.3">
      <c r="A32" s="767" t="s">
        <v>56</v>
      </c>
      <c r="B32" s="1967" t="s">
        <v>57</v>
      </c>
      <c r="C32" s="1968"/>
      <c r="D32" s="20">
        <f>+G32+Y32+AG32+AN32</f>
        <v>240471075.56999999</v>
      </c>
      <c r="E32" s="620">
        <f>SUM(G32+Y32+AG32+AN32)</f>
        <v>240471075.56999999</v>
      </c>
      <c r="F32" s="558">
        <f>228743462/1000</f>
        <v>228743.462</v>
      </c>
      <c r="G32" s="20">
        <f>SUM(H32:W32)</f>
        <v>118359137.13</v>
      </c>
      <c r="H32" s="375"/>
      <c r="I32" s="375">
        <f>11683297.99</f>
        <v>11683297.99</v>
      </c>
      <c r="J32" s="375">
        <f>10163692.73+112164.15</f>
        <v>10275856.880000001</v>
      </c>
      <c r="K32" s="375">
        <f>6844784.17</f>
        <v>6844784.1699999999</v>
      </c>
      <c r="L32" s="341">
        <v>0</v>
      </c>
      <c r="M32" s="1">
        <f>8983985.86+333200</f>
        <v>9317185.8599999994</v>
      </c>
      <c r="N32" s="375"/>
      <c r="O32" s="375">
        <f>1318025.95</f>
        <v>1318025.95</v>
      </c>
      <c r="P32" s="341">
        <f>14116720.9</f>
        <v>14116720.9</v>
      </c>
      <c r="Q32" s="375">
        <f>18627650.33+552890.76</f>
        <v>19180541.09</v>
      </c>
      <c r="R32" s="1">
        <f>2781881.7+977877.69</f>
        <v>3759759.39</v>
      </c>
      <c r="S32" s="1">
        <f>9628664.87+982764.4</f>
        <v>10611429.27</v>
      </c>
      <c r="T32" s="1">
        <f>5096934.7+333200</f>
        <v>5430134.7000000002</v>
      </c>
      <c r="U32" s="1">
        <f>7225822.69+53706.26</f>
        <v>7279528.9500000002</v>
      </c>
      <c r="V32" s="1">
        <f>14291347.31+1839447.26</f>
        <v>16130794.57</v>
      </c>
      <c r="W32" s="1">
        <f>2123426.92+287650.49</f>
        <v>2411077.41</v>
      </c>
      <c r="X32" s="617">
        <f>+'[3]Egresos -2015 '!$Z$32</f>
        <v>61407.534</v>
      </c>
      <c r="Y32" s="8">
        <f>SUM(Z32:AD32)</f>
        <v>48359488.109999999</v>
      </c>
      <c r="Z32" s="8">
        <f>4058185.4+1082566.8</f>
        <v>5140752.2</v>
      </c>
      <c r="AA32" s="8">
        <f>6149003.06</f>
        <v>6149003.0599999996</v>
      </c>
      <c r="AB32" s="8">
        <f>14942584.78</f>
        <v>14942584.779999999</v>
      </c>
      <c r="AC32" s="8">
        <f>15122740.04</f>
        <v>15122740.039999999</v>
      </c>
      <c r="AD32" s="8">
        <f>7004408.03</f>
        <v>7004408.0300000003</v>
      </c>
      <c r="AE32" s="642">
        <f>X32/$X$7*100</f>
        <v>1.2045065951967664</v>
      </c>
      <c r="AF32" s="8">
        <f>+'[2]Egresos -2015 '!$AG$32</f>
        <v>19113.829000000002</v>
      </c>
      <c r="AG32" s="11">
        <f>SUM(AH32:AK32)</f>
        <v>32216837.979999997</v>
      </c>
      <c r="AH32" s="765">
        <f>2707627.54+989104.2</f>
        <v>3696731.74</v>
      </c>
      <c r="AI32" s="13">
        <f>13165426.37</f>
        <v>13165426.369999999</v>
      </c>
      <c r="AJ32" s="35">
        <f>6263352.4</f>
        <v>6263352.4000000004</v>
      </c>
      <c r="AK32" s="35">
        <f>9091327.47</f>
        <v>9091327.4700000007</v>
      </c>
      <c r="AL32" s="614">
        <f>(AF32/AF7)*100</f>
        <v>1.3201840727418899</v>
      </c>
      <c r="AM32" s="614">
        <f>+'[2]Egresos -2015 '!$AM$32</f>
        <v>16176.763000000001</v>
      </c>
      <c r="AN32" s="30">
        <f>SUM(AO32+AP32)</f>
        <v>41535612.350000001</v>
      </c>
      <c r="AO32" s="35">
        <f>(7409034.26+14420510.12)</f>
        <v>21829544.379999999</v>
      </c>
      <c r="AP32" s="30">
        <f>SUM(AQ32:AT32)</f>
        <v>19706067.970000003</v>
      </c>
      <c r="AQ32" s="305">
        <f>3811624.98+2354795.49</f>
        <v>6166420.4700000007</v>
      </c>
      <c r="AR32" s="35">
        <f>4184128.48</f>
        <v>4184128.48</v>
      </c>
      <c r="AS32" s="35">
        <f>(3175300.4)</f>
        <v>3175300.4</v>
      </c>
      <c r="AT32" s="35">
        <f>(6180218.62)</f>
        <v>6180218.6200000001</v>
      </c>
      <c r="AU32" s="768">
        <f>SUM(AN32+AG32+Y32+G32)</f>
        <v>240471075.56999999</v>
      </c>
      <c r="AV32" s="611">
        <f>AM32/$AM$7</f>
        <v>1.4102005130005944E-3</v>
      </c>
      <c r="AW32" s="610">
        <f>+'[2]Egresos -2015 '!$AO$32</f>
        <v>19406.738000000001</v>
      </c>
      <c r="AX32" s="609">
        <f>AW32/$AW$7</f>
        <v>3.7527056693941938E-4</v>
      </c>
      <c r="AY32" s="608">
        <f>+F32/F7</f>
        <v>3.515596288782541E-3</v>
      </c>
      <c r="AZ32" s="606">
        <f>+((0/6))*12/1000</f>
        <v>0</v>
      </c>
      <c r="BA32" s="608">
        <f>+AZ32/$AZ$7</f>
        <v>0</v>
      </c>
      <c r="BB32" s="560">
        <f>+F32-AZ32</f>
        <v>228743.462</v>
      </c>
      <c r="BC32" s="607" t="e">
        <f>+BB32/AZ32</f>
        <v>#DIV/0!</v>
      </c>
      <c r="BD32" s="606">
        <f>177599.96</f>
        <v>177599.96</v>
      </c>
      <c r="BE32" s="605">
        <f t="shared" si="9"/>
        <v>4.0906007196501535E-3</v>
      </c>
      <c r="BF32" s="560">
        <f>AZ32-BD32</f>
        <v>-177599.96</v>
      </c>
      <c r="BG32" s="604">
        <f>+BF32/BD32</f>
        <v>-1</v>
      </c>
      <c r="BH32" s="555"/>
    </row>
    <row r="33" spans="1:60" ht="15.75" customHeight="1" x14ac:dyDescent="0.3">
      <c r="A33" s="767" t="s">
        <v>58</v>
      </c>
      <c r="B33" s="1967" t="s">
        <v>59</v>
      </c>
      <c r="C33" s="1968"/>
      <c r="D33" s="20">
        <f>+G33+Y33+AG33+AN33</f>
        <v>211637519.51000002</v>
      </c>
      <c r="E33" s="620">
        <f>SUM(G33+Y33+AG33+AN33)</f>
        <v>211637519.51000002</v>
      </c>
      <c r="F33" s="558">
        <f>209109025/1000</f>
        <v>209109.02499999999</v>
      </c>
      <c r="G33" s="20">
        <f>SUM(H33:W33)</f>
        <v>104689035.49000001</v>
      </c>
      <c r="H33" s="375"/>
      <c r="I33" s="375">
        <v>10617376.869999999</v>
      </c>
      <c r="J33" s="375">
        <f>9236412.21+101930.9</f>
        <v>9338343.1100000013</v>
      </c>
      <c r="K33" s="375">
        <v>6220302.9699999997</v>
      </c>
      <c r="L33" s="341">
        <v>0</v>
      </c>
      <c r="M33" s="1">
        <v>8164335.4299999997</v>
      </c>
      <c r="N33" s="375"/>
      <c r="O33" s="375">
        <v>1197776.3700000001</v>
      </c>
      <c r="P33" s="341">
        <v>12828787.390000001</v>
      </c>
      <c r="Q33" s="375">
        <v>16928163.949999999</v>
      </c>
      <c r="R33" s="1">
        <v>2528077.81</v>
      </c>
      <c r="S33" s="1">
        <f>8750197.4+2000000</f>
        <v>10750197.4</v>
      </c>
      <c r="T33" s="1">
        <v>4631917.8600000003</v>
      </c>
      <c r="U33" s="1">
        <v>6566577.5899999999</v>
      </c>
      <c r="V33" s="1">
        <v>12987481.84</v>
      </c>
      <c r="W33" s="1">
        <v>1929696.9</v>
      </c>
      <c r="X33" s="617">
        <f>+'[3]Egresos -2015 '!$Z$33</f>
        <v>55782.713000000003</v>
      </c>
      <c r="Y33" s="8">
        <f>SUM(Z33:AD33)</f>
        <v>42963629.920000002</v>
      </c>
      <c r="Z33" s="8">
        <v>3687938.44</v>
      </c>
      <c r="AA33" s="8">
        <v>5588001.1799999997</v>
      </c>
      <c r="AB33" s="8">
        <v>13579303.91</v>
      </c>
      <c r="AC33" s="8">
        <v>13743022.779999999</v>
      </c>
      <c r="AD33" s="8">
        <v>6365363.6100000003</v>
      </c>
      <c r="AE33" s="642">
        <f>X33/$X$7*100</f>
        <v>1.0941759313518176</v>
      </c>
      <c r="AF33" s="8">
        <f>+'[2]Egresos -2015 '!$AG$33</f>
        <v>17363.036</v>
      </c>
      <c r="AG33" s="2">
        <f>SUM(AH33:AK33)</f>
        <v>28378683.720000003</v>
      </c>
      <c r="AH33" s="765">
        <v>2460598.2000000002</v>
      </c>
      <c r="AI33" s="13">
        <v>11964283.85</v>
      </c>
      <c r="AJ33" s="35">
        <v>5691917.9000000004</v>
      </c>
      <c r="AK33" s="35">
        <v>8261883.7699999996</v>
      </c>
      <c r="AL33" s="614">
        <f>(AF33/AF7)*100</f>
        <v>1.1992575418375906</v>
      </c>
      <c r="AM33" s="614">
        <f>+'[2]Egresos -2015 '!$AM$33</f>
        <v>14695.001</v>
      </c>
      <c r="AN33" s="30">
        <f>SUM(AO33+AP33)</f>
        <v>35606170.379999995</v>
      </c>
      <c r="AO33" s="35">
        <f>6733073.92+13104860.52</f>
        <v>19837934.439999998</v>
      </c>
      <c r="AP33" s="30">
        <f>SUM(AQ33:AT33)</f>
        <v>15768235.940000001</v>
      </c>
      <c r="AQ33" s="305">
        <v>3463872.87</v>
      </c>
      <c r="AR33" s="35">
        <v>3802391.16</v>
      </c>
      <c r="AS33" s="35">
        <v>2885603.11</v>
      </c>
      <c r="AT33" s="35">
        <v>5616368.7999999998</v>
      </c>
      <c r="AU33" s="768">
        <f>SUM(AN33+AG33+Y33+G33)</f>
        <v>211637519.50999999</v>
      </c>
      <c r="AV33" s="611">
        <f>AM33/$AM$7</f>
        <v>1.2810287168541843E-3</v>
      </c>
      <c r="AW33" s="610">
        <f>+'[2]Egresos -2015 '!$AO$33</f>
        <v>17629.116000000002</v>
      </c>
      <c r="AX33" s="609">
        <f>AW33/$AW$7</f>
        <v>3.4089646369012605E-4</v>
      </c>
      <c r="AY33" s="608">
        <f>+F33/F7</f>
        <v>3.2138313629306511E-3</v>
      </c>
      <c r="AZ33" s="606">
        <f>+((159042577/6))*12/1000</f>
        <v>318085.15399999998</v>
      </c>
      <c r="BA33" s="608">
        <f>+AZ33/$AZ$7</f>
        <v>8.7090548967760934E-3</v>
      </c>
      <c r="BB33" s="560">
        <f>+F33-AZ33</f>
        <v>-108976.12899999999</v>
      </c>
      <c r="BC33" s="607">
        <f>+BB33/AZ33</f>
        <v>-0.34260048804415433</v>
      </c>
      <c r="BD33" s="606">
        <v>175368.74</v>
      </c>
      <c r="BE33" s="605">
        <f t="shared" si="9"/>
        <v>4.0392097726156054E-3</v>
      </c>
      <c r="BF33" s="560">
        <f>AZ33-BD33</f>
        <v>142716.41399999999</v>
      </c>
      <c r="BG33" s="604">
        <f>+BF33/BD33</f>
        <v>0.81380760333911273</v>
      </c>
      <c r="BH33" s="555"/>
    </row>
    <row r="34" spans="1:60" ht="15.75" customHeight="1" x14ac:dyDescent="0.3">
      <c r="A34" s="767"/>
      <c r="B34" s="634"/>
      <c r="C34" s="635"/>
      <c r="D34" s="20"/>
      <c r="E34" s="620"/>
      <c r="F34" s="558"/>
      <c r="G34" s="20"/>
      <c r="H34" s="375"/>
      <c r="I34" s="375"/>
      <c r="J34" s="375"/>
      <c r="K34" s="375"/>
      <c r="L34" s="341"/>
      <c r="M34" s="1"/>
      <c r="N34" s="375"/>
      <c r="O34" s="375"/>
      <c r="P34" s="341"/>
      <c r="Q34" s="375"/>
      <c r="R34" s="1"/>
      <c r="S34" s="1"/>
      <c r="T34" s="1"/>
      <c r="U34" s="1"/>
      <c r="V34" s="1"/>
      <c r="W34" s="1"/>
      <c r="X34" s="617"/>
      <c r="Y34" s="8"/>
      <c r="Z34" s="8"/>
      <c r="AA34" s="8"/>
      <c r="AB34" s="8"/>
      <c r="AC34" s="8"/>
      <c r="AD34" s="8"/>
      <c r="AE34" s="615"/>
      <c r="AF34" s="8"/>
      <c r="AG34" s="2"/>
      <c r="AH34" s="765"/>
      <c r="AI34" s="13"/>
      <c r="AJ34" s="35"/>
      <c r="AK34" s="35"/>
      <c r="AL34" s="614"/>
      <c r="AM34" s="614"/>
      <c r="AN34" s="34"/>
      <c r="AO34" s="35"/>
      <c r="AP34" s="34"/>
      <c r="AQ34" s="305"/>
      <c r="AR34" s="35"/>
      <c r="AS34" s="35"/>
      <c r="AT34" s="35"/>
      <c r="AU34" s="612"/>
      <c r="AV34" s="611"/>
      <c r="AW34" s="610"/>
      <c r="AX34" s="609"/>
      <c r="AY34" s="608"/>
      <c r="AZ34" s="606"/>
      <c r="BA34" s="608"/>
      <c r="BB34" s="560"/>
      <c r="BC34" s="607"/>
      <c r="BD34" s="606"/>
      <c r="BE34" s="605">
        <f t="shared" si="9"/>
        <v>0</v>
      </c>
      <c r="BF34" s="560"/>
      <c r="BG34" s="604"/>
      <c r="BH34" s="555"/>
    </row>
    <row r="35" spans="1:60" ht="15.75" customHeight="1" x14ac:dyDescent="0.3">
      <c r="A35" s="36" t="s">
        <v>60</v>
      </c>
      <c r="B35" s="1967" t="s">
        <v>61</v>
      </c>
      <c r="C35" s="1983"/>
      <c r="D35" s="22">
        <f>SUM(D36:D42)</f>
        <v>127729561.42</v>
      </c>
      <c r="E35" s="620">
        <f t="shared" ref="E35:E42" si="23">SUM(G35+Y35+AG35+AN35)</f>
        <v>127729561.42</v>
      </c>
      <c r="F35" s="558">
        <f>F36+F37+F38+F39</f>
        <v>111066.069</v>
      </c>
      <c r="G35" s="22">
        <f t="shared" ref="G35:W35" si="24">SUM(G36:G43)</f>
        <v>60315750.279999994</v>
      </c>
      <c r="H35" s="22">
        <f t="shared" si="24"/>
        <v>0</v>
      </c>
      <c r="I35" s="22">
        <f t="shared" si="24"/>
        <v>9171120</v>
      </c>
      <c r="J35" s="22">
        <f t="shared" si="24"/>
        <v>3284892</v>
      </c>
      <c r="K35" s="22">
        <f t="shared" si="24"/>
        <v>1000000</v>
      </c>
      <c r="L35" s="22">
        <f t="shared" si="24"/>
        <v>0</v>
      </c>
      <c r="M35" s="22">
        <f t="shared" si="24"/>
        <v>7068180</v>
      </c>
      <c r="N35" s="22">
        <f t="shared" si="24"/>
        <v>0</v>
      </c>
      <c r="O35" s="22">
        <f t="shared" si="24"/>
        <v>438746.38</v>
      </c>
      <c r="P35" s="22">
        <f t="shared" si="24"/>
        <v>7926468</v>
      </c>
      <c r="Q35" s="22">
        <f t="shared" si="24"/>
        <v>11398392</v>
      </c>
      <c r="R35" s="22">
        <f t="shared" si="24"/>
        <v>2620320</v>
      </c>
      <c r="S35" s="22">
        <f t="shared" si="24"/>
        <v>2193731.9</v>
      </c>
      <c r="T35" s="22">
        <f t="shared" si="24"/>
        <v>2292780</v>
      </c>
      <c r="U35" s="22">
        <f t="shared" si="24"/>
        <v>3275400</v>
      </c>
      <c r="V35" s="22">
        <f t="shared" si="24"/>
        <v>8335560</v>
      </c>
      <c r="W35" s="22">
        <f t="shared" si="24"/>
        <v>1310160</v>
      </c>
      <c r="X35" s="617">
        <f>+'[3]Egresos -2015 '!$Z$35</f>
        <v>68380.510999999999</v>
      </c>
      <c r="Y35" s="7">
        <f t="shared" ref="Y35:AD35" si="25">SUM(Y36:Y43)</f>
        <v>28954536</v>
      </c>
      <c r="Z35" s="7">
        <f t="shared" si="25"/>
        <v>1310160</v>
      </c>
      <c r="AA35" s="7">
        <f t="shared" si="25"/>
        <v>3930480</v>
      </c>
      <c r="AB35" s="7">
        <f t="shared" si="25"/>
        <v>9957216</v>
      </c>
      <c r="AC35" s="7">
        <f t="shared" si="25"/>
        <v>11136360</v>
      </c>
      <c r="AD35" s="7">
        <f t="shared" si="25"/>
        <v>2620320</v>
      </c>
      <c r="AE35" s="642">
        <f>X35/$X$7*100</f>
        <v>1.3412812910289644</v>
      </c>
      <c r="AF35" s="8">
        <f>+AF37</f>
        <v>21197.759999999998</v>
      </c>
      <c r="AG35" s="11">
        <f>SUM(AG36:AG43)</f>
        <v>19979940</v>
      </c>
      <c r="AH35" s="318">
        <f>SUM(AH36:AH43)</f>
        <v>1310160</v>
      </c>
      <c r="AI35" s="7">
        <f>SUM(AI36:AI43)</f>
        <v>9171120</v>
      </c>
      <c r="AJ35" s="35">
        <f>SUM(AJ36:AJ43)</f>
        <v>5568180</v>
      </c>
      <c r="AK35" s="35">
        <f>SUM(AK36:AK43)</f>
        <v>3930480</v>
      </c>
      <c r="AL35" s="614">
        <f>(AF35/AF7)*100</f>
        <v>1.4641203041946811</v>
      </c>
      <c r="AM35" s="614">
        <f>+AM36+AM37+AM38+AM39</f>
        <v>15731.328</v>
      </c>
      <c r="AN35" s="34">
        <f t="shared" ref="AN35:AU35" si="26">SUM(AN36:AN43)</f>
        <v>18479335.140000001</v>
      </c>
      <c r="AO35" s="35">
        <f t="shared" si="26"/>
        <v>10638499.199999999</v>
      </c>
      <c r="AP35" s="34">
        <f t="shared" si="26"/>
        <v>7840835.9399999995</v>
      </c>
      <c r="AQ35" s="305">
        <f t="shared" si="26"/>
        <v>1965240</v>
      </c>
      <c r="AR35" s="35">
        <f t="shared" si="26"/>
        <v>1316239.1399999999</v>
      </c>
      <c r="AS35" s="35">
        <f t="shared" si="26"/>
        <v>786096</v>
      </c>
      <c r="AT35" s="35">
        <f t="shared" si="26"/>
        <v>3773260.8</v>
      </c>
      <c r="AU35" s="612">
        <f t="shared" si="26"/>
        <v>127729561.41999999</v>
      </c>
      <c r="AV35" s="611">
        <f>AM35/$AM$7</f>
        <v>1.3713699592298294E-3</v>
      </c>
      <c r="AW35" s="610">
        <f>+AW36+AW37+AW38+AW39</f>
        <v>16099.392</v>
      </c>
      <c r="AX35" s="609">
        <f>AW35/$AW$7</f>
        <v>3.1131599567222229E-4</v>
      </c>
      <c r="AY35" s="608">
        <f t="shared" ref="AY35:AY43" si="27">+F35/$F$7</f>
        <v>1.7069928756524007E-3</v>
      </c>
      <c r="AZ35" s="558">
        <f>AZ36+AZ37+AZ38+AZ39</f>
        <v>89485.588340000002</v>
      </c>
      <c r="BA35" s="608">
        <f t="shared" ref="BA35:BA43" si="28">+AZ35/$AZ$7</f>
        <v>2.4500826005962122E-3</v>
      </c>
      <c r="BB35" s="560">
        <f t="shared" ref="BB35:BB43" si="29">+F35-AZ35</f>
        <v>21580.480660000001</v>
      </c>
      <c r="BC35" s="607">
        <f>+BB35/AZ35</f>
        <v>0.24116152176376249</v>
      </c>
      <c r="BD35" s="558">
        <f>85340.79</f>
        <v>85340.79</v>
      </c>
      <c r="BE35" s="605">
        <f t="shared" si="9"/>
        <v>1.9656259888206763E-3</v>
      </c>
      <c r="BF35" s="560">
        <f t="shared" ref="BF35:BF43" si="30">AZ35-BD35</f>
        <v>4144.7983400000085</v>
      </c>
      <c r="BG35" s="604">
        <f>+BF35/BD35</f>
        <v>4.8567611572379502E-2</v>
      </c>
      <c r="BH35" s="555"/>
    </row>
    <row r="36" spans="1:60" ht="15.75" hidden="1" customHeight="1" x14ac:dyDescent="0.3">
      <c r="A36" s="36" t="s">
        <v>938</v>
      </c>
      <c r="B36" s="1967" t="s">
        <v>937</v>
      </c>
      <c r="C36" s="1968"/>
      <c r="D36" s="20">
        <f t="shared" ref="D36:D43" si="31">+G36+Y36+AG36+AN36</f>
        <v>2250000</v>
      </c>
      <c r="E36" s="620">
        <f t="shared" si="23"/>
        <v>2250000</v>
      </c>
      <c r="F36" s="558">
        <f>0/1000</f>
        <v>0</v>
      </c>
      <c r="G36" s="20">
        <f t="shared" ref="G36:G43" si="32">SUM(H36:W36)</f>
        <v>2250000</v>
      </c>
      <c r="H36" s="346"/>
      <c r="I36" s="346"/>
      <c r="J36" s="346"/>
      <c r="K36" s="346">
        <v>1000000</v>
      </c>
      <c r="L36" s="346"/>
      <c r="M36" s="1"/>
      <c r="N36" s="346"/>
      <c r="O36" s="346"/>
      <c r="P36" s="346"/>
      <c r="Q36" s="346"/>
      <c r="R36" s="1"/>
      <c r="S36" s="1"/>
      <c r="T36" s="1"/>
      <c r="U36" s="1"/>
      <c r="V36" s="1">
        <v>1250000</v>
      </c>
      <c r="W36" s="1"/>
      <c r="X36" s="617">
        <f>+'[3]Egresos -2015 '!$Z$36</f>
        <v>3261.192</v>
      </c>
      <c r="Y36" s="8">
        <f t="shared" ref="Y36:Y43" si="33">SUM(Z36:AD36)</f>
        <v>0</v>
      </c>
      <c r="Z36" s="8"/>
      <c r="AA36" s="8"/>
      <c r="AB36" s="8"/>
      <c r="AC36" s="8"/>
      <c r="AD36" s="8"/>
      <c r="AE36" s="642">
        <f>X36/$X$7*100</f>
        <v>6.3968165082202016E-2</v>
      </c>
      <c r="AF36" s="8">
        <f>Y36/1000</f>
        <v>0</v>
      </c>
      <c r="AG36" s="2">
        <f t="shared" ref="AG36:AG43" si="34">SUM(AH36:AK36)</f>
        <v>0</v>
      </c>
      <c r="AH36" s="765"/>
      <c r="AI36" s="13"/>
      <c r="AJ36" s="35"/>
      <c r="AK36" s="35"/>
      <c r="AL36" s="614"/>
      <c r="AM36" s="614">
        <f>AG36/1000</f>
        <v>0</v>
      </c>
      <c r="AN36" s="30">
        <f t="shared" ref="AN36:AN43" si="35">SUM(AO36+AP36)</f>
        <v>0</v>
      </c>
      <c r="AO36" s="35"/>
      <c r="AP36" s="34"/>
      <c r="AQ36" s="305"/>
      <c r="AR36" s="35"/>
      <c r="AS36" s="35"/>
      <c r="AT36" s="35"/>
      <c r="AU36" s="612">
        <f t="shared" ref="AU36:AU43" si="36">SUM(AN36+AG36+Y36+G36)</f>
        <v>2250000</v>
      </c>
      <c r="AV36" s="611">
        <f>AM36/$AM$7</f>
        <v>0</v>
      </c>
      <c r="AW36" s="610">
        <v>0</v>
      </c>
      <c r="AX36" s="609"/>
      <c r="AY36" s="608">
        <f t="shared" si="27"/>
        <v>0</v>
      </c>
      <c r="AZ36" s="606">
        <f>+((0/6))*12/1000</f>
        <v>0</v>
      </c>
      <c r="BA36" s="608">
        <f t="shared" si="28"/>
        <v>0</v>
      </c>
      <c r="BB36" s="560">
        <f t="shared" si="29"/>
        <v>0</v>
      </c>
      <c r="BC36" s="607" t="e">
        <f>+BB36/AZ36</f>
        <v>#DIV/0!</v>
      </c>
      <c r="BD36" s="606">
        <f>0/1000</f>
        <v>0</v>
      </c>
      <c r="BE36" s="605">
        <f t="shared" si="9"/>
        <v>0</v>
      </c>
      <c r="BF36" s="560">
        <f t="shared" si="30"/>
        <v>0</v>
      </c>
      <c r="BG36" s="604"/>
      <c r="BH36" s="555"/>
    </row>
    <row r="37" spans="1:60" ht="15.75" customHeight="1" x14ac:dyDescent="0.3">
      <c r="A37" s="36" t="s">
        <v>62</v>
      </c>
      <c r="B37" s="1967" t="s">
        <v>63</v>
      </c>
      <c r="C37" s="1968"/>
      <c r="D37" s="20">
        <f t="shared" si="31"/>
        <v>121479561.42</v>
      </c>
      <c r="E37" s="620">
        <f t="shared" si="23"/>
        <v>121479561.42</v>
      </c>
      <c r="F37" s="558">
        <f>111066069/1000</f>
        <v>111066.069</v>
      </c>
      <c r="G37" s="20">
        <f t="shared" si="32"/>
        <v>54065750.279999994</v>
      </c>
      <c r="H37" s="346"/>
      <c r="I37" s="346">
        <v>9171120</v>
      </c>
      <c r="J37" s="346">
        <f>3209892+75000</f>
        <v>3284892</v>
      </c>
      <c r="K37" s="346">
        <v>0</v>
      </c>
      <c r="L37" s="346">
        <v>0</v>
      </c>
      <c r="M37" s="1">
        <v>5568180</v>
      </c>
      <c r="N37" s="346"/>
      <c r="O37" s="346">
        <v>438746.38</v>
      </c>
      <c r="P37" s="346">
        <v>7926468</v>
      </c>
      <c r="Q37" s="346">
        <v>11398392</v>
      </c>
      <c r="R37" s="1">
        <v>2620320</v>
      </c>
      <c r="S37" s="1">
        <v>2193731.9</v>
      </c>
      <c r="T37" s="1">
        <v>2292780</v>
      </c>
      <c r="U37" s="1">
        <v>3275400</v>
      </c>
      <c r="V37" s="1">
        <v>4585560</v>
      </c>
      <c r="W37" s="1">
        <v>1310160</v>
      </c>
      <c r="X37" s="617">
        <f>+'[3]Egresos -2015 '!$Z$37</f>
        <v>49661.375999999997</v>
      </c>
      <c r="Y37" s="8">
        <f t="shared" si="33"/>
        <v>28954536</v>
      </c>
      <c r="Z37" s="8">
        <v>1310160</v>
      </c>
      <c r="AA37" s="8">
        <v>3930480</v>
      </c>
      <c r="AB37" s="8">
        <v>9957216</v>
      </c>
      <c r="AC37" s="8">
        <v>11136360</v>
      </c>
      <c r="AD37" s="8">
        <v>2620320</v>
      </c>
      <c r="AE37" s="642">
        <f>X37/$X$7*100</f>
        <v>0.97410612382751605</v>
      </c>
      <c r="AF37" s="8">
        <f>+'[2]Egresos -2015 '!$AG$37</f>
        <v>21197.759999999998</v>
      </c>
      <c r="AG37" s="2">
        <f t="shared" si="34"/>
        <v>19979940</v>
      </c>
      <c r="AH37" s="765">
        <v>1310160</v>
      </c>
      <c r="AI37" s="13">
        <v>9171120</v>
      </c>
      <c r="AJ37" s="35">
        <v>5568180</v>
      </c>
      <c r="AK37" s="35">
        <v>3930480</v>
      </c>
      <c r="AL37" s="614">
        <f>(AF37/AF7)*100</f>
        <v>1.4641203041946811</v>
      </c>
      <c r="AM37" s="614">
        <f>+'[2]Egresos -2015 '!$AM$37</f>
        <v>15731.328</v>
      </c>
      <c r="AN37" s="30">
        <f t="shared" si="35"/>
        <v>18479335.140000001</v>
      </c>
      <c r="AO37" s="35">
        <f>1834224+8804275.2</f>
        <v>10638499.199999999</v>
      </c>
      <c r="AP37" s="30">
        <f t="shared" ref="AP37:AP43" si="37">SUM(AQ37:AT37)</f>
        <v>7840835.9399999995</v>
      </c>
      <c r="AQ37" s="305">
        <v>1965240</v>
      </c>
      <c r="AR37" s="35">
        <v>1316239.1399999999</v>
      </c>
      <c r="AS37" s="35">
        <v>786096</v>
      </c>
      <c r="AT37" s="35">
        <v>3773260.8</v>
      </c>
      <c r="AU37" s="612">
        <f t="shared" si="36"/>
        <v>121479561.41999999</v>
      </c>
      <c r="AV37" s="611">
        <f>AM37/$AM$7</f>
        <v>1.3713699592298294E-3</v>
      </c>
      <c r="AW37" s="610">
        <f>+'[2]Egresos -2015 '!$AO$37</f>
        <v>16099.392</v>
      </c>
      <c r="AX37" s="609">
        <f>AW37/$AW$7</f>
        <v>3.1131599567222229E-4</v>
      </c>
      <c r="AY37" s="608">
        <f t="shared" si="27"/>
        <v>1.7069928756524007E-3</v>
      </c>
      <c r="AZ37" s="606">
        <f>+((44742794.17/6))*12/1000</f>
        <v>89485.588340000002</v>
      </c>
      <c r="BA37" s="608">
        <f t="shared" si="28"/>
        <v>2.4500826005962122E-3</v>
      </c>
      <c r="BB37" s="560">
        <f t="shared" si="29"/>
        <v>21580.480660000001</v>
      </c>
      <c r="BC37" s="607">
        <f>+BB37/AZ37</f>
        <v>0.24116152176376249</v>
      </c>
      <c r="BD37" s="606">
        <f>0/1000</f>
        <v>0</v>
      </c>
      <c r="BE37" s="605">
        <f t="shared" si="9"/>
        <v>0</v>
      </c>
      <c r="BF37" s="560">
        <f t="shared" si="30"/>
        <v>89485.588340000002</v>
      </c>
      <c r="BG37" s="604"/>
      <c r="BH37" s="555"/>
    </row>
    <row r="38" spans="1:60" ht="15.75" hidden="1" customHeight="1" x14ac:dyDescent="0.3">
      <c r="A38" s="36" t="s">
        <v>936</v>
      </c>
      <c r="B38" s="1967" t="s">
        <v>935</v>
      </c>
      <c r="C38" s="1968"/>
      <c r="D38" s="20">
        <f t="shared" si="31"/>
        <v>3000000</v>
      </c>
      <c r="E38" s="620">
        <f t="shared" si="23"/>
        <v>3000000</v>
      </c>
      <c r="F38" s="558">
        <v>0</v>
      </c>
      <c r="G38" s="20">
        <f t="shared" si="32"/>
        <v>3000000</v>
      </c>
      <c r="H38" s="766"/>
      <c r="I38" s="766"/>
      <c r="J38" s="766"/>
      <c r="K38" s="766"/>
      <c r="L38" s="347"/>
      <c r="M38" s="1">
        <v>1500000</v>
      </c>
      <c r="N38" s="766"/>
      <c r="O38" s="766"/>
      <c r="P38" s="347"/>
      <c r="Q38" s="766"/>
      <c r="R38" s="1"/>
      <c r="S38" s="1"/>
      <c r="T38" s="1"/>
      <c r="U38" s="1"/>
      <c r="V38" s="1">
        <v>1500000</v>
      </c>
      <c r="W38" s="1"/>
      <c r="X38" s="617">
        <f>G38/1000</f>
        <v>3000</v>
      </c>
      <c r="Y38" s="8">
        <f t="shared" si="33"/>
        <v>0</v>
      </c>
      <c r="Z38" s="8"/>
      <c r="AA38" s="8"/>
      <c r="AB38" s="8"/>
      <c r="AC38" s="8"/>
      <c r="AD38" s="8"/>
      <c r="AE38" s="642">
        <f>X38/$X$7*100</f>
        <v>5.8844893292577083E-2</v>
      </c>
      <c r="AF38" s="8">
        <f t="shared" ref="AF38:AF44" si="38">Y38/1000</f>
        <v>0</v>
      </c>
      <c r="AG38" s="2">
        <f t="shared" si="34"/>
        <v>0</v>
      </c>
      <c r="AH38" s="765"/>
      <c r="AI38" s="13"/>
      <c r="AJ38" s="35"/>
      <c r="AK38" s="35"/>
      <c r="AL38" s="614"/>
      <c r="AM38" s="614">
        <f t="shared" ref="AM38:AM43" si="39">AG38/1000</f>
        <v>0</v>
      </c>
      <c r="AN38" s="30">
        <f t="shared" si="35"/>
        <v>0</v>
      </c>
      <c r="AO38" s="35"/>
      <c r="AP38" s="30">
        <f t="shared" si="37"/>
        <v>0</v>
      </c>
      <c r="AQ38" s="305"/>
      <c r="AR38" s="35"/>
      <c r="AS38" s="35"/>
      <c r="AT38" s="35"/>
      <c r="AU38" s="612">
        <f t="shared" si="36"/>
        <v>3000000</v>
      </c>
      <c r="AV38" s="611"/>
      <c r="AW38" s="610">
        <v>0</v>
      </c>
      <c r="AX38" s="609"/>
      <c r="AY38" s="608">
        <f t="shared" si="27"/>
        <v>0</v>
      </c>
      <c r="AZ38" s="606">
        <v>0</v>
      </c>
      <c r="BA38" s="608">
        <f t="shared" si="28"/>
        <v>0</v>
      </c>
      <c r="BB38" s="560">
        <f t="shared" si="29"/>
        <v>0</v>
      </c>
      <c r="BC38" s="607"/>
      <c r="BD38" s="606">
        <f>0/1000</f>
        <v>0</v>
      </c>
      <c r="BE38" s="605">
        <f t="shared" si="9"/>
        <v>0</v>
      </c>
      <c r="BF38" s="560">
        <f t="shared" si="30"/>
        <v>0</v>
      </c>
      <c r="BG38" s="604"/>
      <c r="BH38" s="555"/>
    </row>
    <row r="39" spans="1:60" ht="15.75" hidden="1" customHeight="1" x14ac:dyDescent="0.3">
      <c r="A39" s="36" t="s">
        <v>64</v>
      </c>
      <c r="B39" s="1967" t="s">
        <v>65</v>
      </c>
      <c r="C39" s="1968"/>
      <c r="D39" s="20">
        <f t="shared" si="31"/>
        <v>1000000</v>
      </c>
      <c r="E39" s="620">
        <f t="shared" si="23"/>
        <v>1000000</v>
      </c>
      <c r="F39" s="558">
        <f>+X39+AF39+AM39+AW39</f>
        <v>0</v>
      </c>
      <c r="G39" s="20">
        <f t="shared" si="32"/>
        <v>1000000</v>
      </c>
      <c r="H39" s="766"/>
      <c r="I39" s="766"/>
      <c r="J39" s="766"/>
      <c r="K39" s="766"/>
      <c r="L39" s="347"/>
      <c r="M39" s="1"/>
      <c r="N39" s="766"/>
      <c r="O39" s="766"/>
      <c r="P39" s="347"/>
      <c r="Q39" s="766"/>
      <c r="R39" s="1"/>
      <c r="S39" s="1"/>
      <c r="T39" s="1"/>
      <c r="U39" s="1"/>
      <c r="V39" s="1">
        <v>1000000</v>
      </c>
      <c r="W39" s="1"/>
      <c r="X39" s="617">
        <v>0</v>
      </c>
      <c r="Y39" s="8">
        <f t="shared" si="33"/>
        <v>0</v>
      </c>
      <c r="Z39" s="8"/>
      <c r="AA39" s="8"/>
      <c r="AB39" s="8"/>
      <c r="AC39" s="8"/>
      <c r="AD39" s="8"/>
      <c r="AE39" s="642">
        <f>X39/$X$7*100</f>
        <v>0</v>
      </c>
      <c r="AF39" s="8">
        <f t="shared" si="38"/>
        <v>0</v>
      </c>
      <c r="AG39" s="2">
        <f t="shared" si="34"/>
        <v>0</v>
      </c>
      <c r="AH39" s="765"/>
      <c r="AI39" s="13"/>
      <c r="AJ39" s="35"/>
      <c r="AK39" s="35"/>
      <c r="AL39" s="614"/>
      <c r="AM39" s="614">
        <f t="shared" si="39"/>
        <v>0</v>
      </c>
      <c r="AN39" s="30">
        <f t="shared" si="35"/>
        <v>0</v>
      </c>
      <c r="AO39" s="35"/>
      <c r="AP39" s="30">
        <f t="shared" si="37"/>
        <v>0</v>
      </c>
      <c r="AQ39" s="305"/>
      <c r="AR39" s="35"/>
      <c r="AS39" s="35"/>
      <c r="AT39" s="35"/>
      <c r="AU39" s="612">
        <f t="shared" si="36"/>
        <v>1000000</v>
      </c>
      <c r="AV39" s="611"/>
      <c r="AW39" s="610">
        <v>0</v>
      </c>
      <c r="AX39" s="609"/>
      <c r="AY39" s="608">
        <f t="shared" si="27"/>
        <v>0</v>
      </c>
      <c r="AZ39" s="606">
        <v>0</v>
      </c>
      <c r="BA39" s="608">
        <f t="shared" si="28"/>
        <v>0</v>
      </c>
      <c r="BB39" s="560">
        <f t="shared" si="29"/>
        <v>0</v>
      </c>
      <c r="BC39" s="607">
        <v>0</v>
      </c>
      <c r="BD39" s="606">
        <v>0</v>
      </c>
      <c r="BE39" s="605">
        <f t="shared" si="9"/>
        <v>0</v>
      </c>
      <c r="BF39" s="560">
        <f t="shared" si="30"/>
        <v>0</v>
      </c>
      <c r="BG39" s="604">
        <v>0</v>
      </c>
      <c r="BH39" s="555"/>
    </row>
    <row r="40" spans="1:60" ht="15.75" hidden="1" customHeight="1" x14ac:dyDescent="0.3">
      <c r="A40" s="36" t="s">
        <v>66</v>
      </c>
      <c r="B40" s="1967" t="s">
        <v>67</v>
      </c>
      <c r="C40" s="1968"/>
      <c r="D40" s="20">
        <f t="shared" si="31"/>
        <v>0</v>
      </c>
      <c r="E40" s="620">
        <f t="shared" si="23"/>
        <v>0</v>
      </c>
      <c r="F40" s="558">
        <f>+X40+AF40+AM40+AW40</f>
        <v>0</v>
      </c>
      <c r="G40" s="20">
        <f t="shared" si="32"/>
        <v>0</v>
      </c>
      <c r="H40" s="766"/>
      <c r="I40" s="766"/>
      <c r="J40" s="766"/>
      <c r="K40" s="766"/>
      <c r="L40" s="347"/>
      <c r="M40" s="1"/>
      <c r="N40" s="766"/>
      <c r="O40" s="766"/>
      <c r="P40" s="347"/>
      <c r="Q40" s="766"/>
      <c r="R40" s="1"/>
      <c r="S40" s="1"/>
      <c r="T40" s="1"/>
      <c r="U40" s="1"/>
      <c r="V40" s="1"/>
      <c r="W40" s="1"/>
      <c r="X40" s="617"/>
      <c r="Y40" s="8">
        <f t="shared" si="33"/>
        <v>0</v>
      </c>
      <c r="Z40" s="8"/>
      <c r="AA40" s="8"/>
      <c r="AB40" s="8"/>
      <c r="AC40" s="8"/>
      <c r="AD40" s="8"/>
      <c r="AE40" s="615"/>
      <c r="AF40" s="8">
        <f t="shared" si="38"/>
        <v>0</v>
      </c>
      <c r="AG40" s="2">
        <f t="shared" si="34"/>
        <v>0</v>
      </c>
      <c r="AH40" s="765"/>
      <c r="AI40" s="13"/>
      <c r="AJ40" s="35"/>
      <c r="AK40" s="35"/>
      <c r="AL40" s="614"/>
      <c r="AM40" s="614">
        <f t="shared" si="39"/>
        <v>0</v>
      </c>
      <c r="AN40" s="30">
        <f t="shared" si="35"/>
        <v>0</v>
      </c>
      <c r="AO40" s="35"/>
      <c r="AP40" s="30">
        <f t="shared" si="37"/>
        <v>0</v>
      </c>
      <c r="AQ40" s="305"/>
      <c r="AR40" s="35"/>
      <c r="AS40" s="35"/>
      <c r="AT40" s="35"/>
      <c r="AU40" s="612">
        <f t="shared" si="36"/>
        <v>0</v>
      </c>
      <c r="AV40" s="611"/>
      <c r="AW40" s="610">
        <f>AN40/1000</f>
        <v>0</v>
      </c>
      <c r="AX40" s="609"/>
      <c r="AY40" s="608">
        <f t="shared" si="27"/>
        <v>0</v>
      </c>
      <c r="AZ40" s="606">
        <f>+((629427716.75/7))/12/1000</f>
        <v>7493.1871041666673</v>
      </c>
      <c r="BA40" s="608">
        <f t="shared" si="28"/>
        <v>2.0516071568056328E-4</v>
      </c>
      <c r="BB40" s="560">
        <f t="shared" si="29"/>
        <v>-7493.1871041666673</v>
      </c>
      <c r="BC40" s="607">
        <f>+BB40/AZ40</f>
        <v>-1</v>
      </c>
      <c r="BD40" s="606"/>
      <c r="BE40" s="605">
        <f t="shared" si="9"/>
        <v>0</v>
      </c>
      <c r="BF40" s="560">
        <f t="shared" si="30"/>
        <v>7493.1871041666673</v>
      </c>
      <c r="BG40" s="604" t="e">
        <f>+BF40/BD40</f>
        <v>#DIV/0!</v>
      </c>
      <c r="BH40" s="555"/>
    </row>
    <row r="41" spans="1:60" ht="15.75" hidden="1" customHeight="1" x14ac:dyDescent="0.3">
      <c r="A41" s="36" t="s">
        <v>68</v>
      </c>
      <c r="B41" s="1967" t="s">
        <v>69</v>
      </c>
      <c r="C41" s="1968"/>
      <c r="D41" s="20">
        <f t="shared" si="31"/>
        <v>0</v>
      </c>
      <c r="E41" s="620">
        <f t="shared" si="23"/>
        <v>0</v>
      </c>
      <c r="F41" s="558">
        <f>+X41+AF41+AM41+AW41</f>
        <v>0</v>
      </c>
      <c r="G41" s="20">
        <f t="shared" si="32"/>
        <v>0</v>
      </c>
      <c r="H41" s="766"/>
      <c r="I41" s="766"/>
      <c r="J41" s="766"/>
      <c r="K41" s="766"/>
      <c r="L41" s="347"/>
      <c r="M41" s="1"/>
      <c r="N41" s="766"/>
      <c r="O41" s="766"/>
      <c r="P41" s="347"/>
      <c r="Q41" s="766"/>
      <c r="R41" s="1"/>
      <c r="S41" s="1"/>
      <c r="T41" s="1"/>
      <c r="U41" s="1"/>
      <c r="V41" s="1"/>
      <c r="W41" s="1"/>
      <c r="X41" s="617"/>
      <c r="Y41" s="8">
        <f t="shared" si="33"/>
        <v>0</v>
      </c>
      <c r="Z41" s="8"/>
      <c r="AA41" s="8"/>
      <c r="AB41" s="8"/>
      <c r="AC41" s="8"/>
      <c r="AD41" s="8"/>
      <c r="AE41" s="615"/>
      <c r="AF41" s="8">
        <f t="shared" si="38"/>
        <v>0</v>
      </c>
      <c r="AG41" s="2">
        <f t="shared" si="34"/>
        <v>0</v>
      </c>
      <c r="AH41" s="765"/>
      <c r="AI41" s="13"/>
      <c r="AJ41" s="35"/>
      <c r="AK41" s="35"/>
      <c r="AL41" s="614"/>
      <c r="AM41" s="614">
        <f t="shared" si="39"/>
        <v>0</v>
      </c>
      <c r="AN41" s="30">
        <f t="shared" si="35"/>
        <v>0</v>
      </c>
      <c r="AO41" s="35"/>
      <c r="AP41" s="30">
        <f t="shared" si="37"/>
        <v>0</v>
      </c>
      <c r="AQ41" s="305"/>
      <c r="AR41" s="35"/>
      <c r="AS41" s="35"/>
      <c r="AT41" s="35"/>
      <c r="AU41" s="612">
        <f t="shared" si="36"/>
        <v>0</v>
      </c>
      <c r="AV41" s="611"/>
      <c r="AW41" s="610">
        <f>AN41/1000</f>
        <v>0</v>
      </c>
      <c r="AX41" s="609"/>
      <c r="AY41" s="608">
        <f t="shared" si="27"/>
        <v>0</v>
      </c>
      <c r="AZ41" s="606">
        <f>+((629427716.75/7))/12/1000</f>
        <v>7493.1871041666673</v>
      </c>
      <c r="BA41" s="608">
        <f t="shared" si="28"/>
        <v>2.0516071568056328E-4</v>
      </c>
      <c r="BB41" s="560">
        <f t="shared" si="29"/>
        <v>-7493.1871041666673</v>
      </c>
      <c r="BC41" s="607">
        <f>+BB41/AZ41</f>
        <v>-1</v>
      </c>
      <c r="BD41" s="606"/>
      <c r="BE41" s="605">
        <f t="shared" si="9"/>
        <v>0</v>
      </c>
      <c r="BF41" s="560">
        <f t="shared" si="30"/>
        <v>7493.1871041666673</v>
      </c>
      <c r="BG41" s="604" t="e">
        <f>+BF41/BD41</f>
        <v>#DIV/0!</v>
      </c>
      <c r="BH41" s="555"/>
    </row>
    <row r="42" spans="1:60" ht="15.75" hidden="1" customHeight="1" x14ac:dyDescent="0.3">
      <c r="A42" s="36" t="s">
        <v>70</v>
      </c>
      <c r="B42" s="1967" t="s">
        <v>71</v>
      </c>
      <c r="C42" s="1968"/>
      <c r="D42" s="20">
        <f t="shared" si="31"/>
        <v>0</v>
      </c>
      <c r="E42" s="620">
        <f t="shared" si="23"/>
        <v>0</v>
      </c>
      <c r="F42" s="558">
        <f>+X42+AF42+AM42+AW42</f>
        <v>0</v>
      </c>
      <c r="G42" s="20">
        <f t="shared" si="32"/>
        <v>0</v>
      </c>
      <c r="H42" s="766"/>
      <c r="I42" s="766"/>
      <c r="J42" s="766"/>
      <c r="K42" s="766"/>
      <c r="L42" s="347"/>
      <c r="M42" s="1"/>
      <c r="N42" s="766"/>
      <c r="O42" s="766"/>
      <c r="P42" s="347"/>
      <c r="Q42" s="766"/>
      <c r="R42" s="1"/>
      <c r="S42" s="1"/>
      <c r="T42" s="1"/>
      <c r="U42" s="1"/>
      <c r="V42" s="1"/>
      <c r="W42" s="1"/>
      <c r="X42" s="617"/>
      <c r="Y42" s="8">
        <f t="shared" si="33"/>
        <v>0</v>
      </c>
      <c r="Z42" s="8"/>
      <c r="AA42" s="8"/>
      <c r="AB42" s="8"/>
      <c r="AC42" s="8"/>
      <c r="AD42" s="8"/>
      <c r="AE42" s="615"/>
      <c r="AF42" s="8">
        <f t="shared" si="38"/>
        <v>0</v>
      </c>
      <c r="AG42" s="2">
        <f t="shared" si="34"/>
        <v>0</v>
      </c>
      <c r="AH42" s="765"/>
      <c r="AI42" s="13"/>
      <c r="AJ42" s="35"/>
      <c r="AK42" s="35"/>
      <c r="AL42" s="614"/>
      <c r="AM42" s="614">
        <f t="shared" si="39"/>
        <v>0</v>
      </c>
      <c r="AN42" s="30">
        <f t="shared" si="35"/>
        <v>0</v>
      </c>
      <c r="AO42" s="35"/>
      <c r="AP42" s="30">
        <f t="shared" si="37"/>
        <v>0</v>
      </c>
      <c r="AQ42" s="305"/>
      <c r="AR42" s="35"/>
      <c r="AS42" s="35"/>
      <c r="AT42" s="35"/>
      <c r="AU42" s="612">
        <f t="shared" si="36"/>
        <v>0</v>
      </c>
      <c r="AV42" s="611"/>
      <c r="AW42" s="610">
        <f>AN42/1000</f>
        <v>0</v>
      </c>
      <c r="AX42" s="609"/>
      <c r="AY42" s="608">
        <f t="shared" si="27"/>
        <v>0</v>
      </c>
      <c r="AZ42" s="606">
        <f>+((629427716.75/7))/12/1000</f>
        <v>7493.1871041666673</v>
      </c>
      <c r="BA42" s="608">
        <f t="shared" si="28"/>
        <v>2.0516071568056328E-4</v>
      </c>
      <c r="BB42" s="560">
        <f t="shared" si="29"/>
        <v>-7493.1871041666673</v>
      </c>
      <c r="BC42" s="607">
        <f>+BB42/AZ42</f>
        <v>-1</v>
      </c>
      <c r="BD42" s="606"/>
      <c r="BE42" s="605">
        <f t="shared" si="9"/>
        <v>0</v>
      </c>
      <c r="BF42" s="560">
        <f t="shared" si="30"/>
        <v>7493.1871041666673</v>
      </c>
      <c r="BG42" s="604" t="e">
        <f>+BF42/BD42</f>
        <v>#DIV/0!</v>
      </c>
      <c r="BH42" s="555"/>
    </row>
    <row r="43" spans="1:60" ht="15.75" hidden="1" customHeight="1" x14ac:dyDescent="0.3">
      <c r="A43" s="36" t="s">
        <v>72</v>
      </c>
      <c r="B43" s="634" t="s">
        <v>73</v>
      </c>
      <c r="C43" s="635"/>
      <c r="D43" s="20">
        <f t="shared" si="31"/>
        <v>0</v>
      </c>
      <c r="E43" s="620"/>
      <c r="F43" s="558">
        <f>+X43+AF43+AM43+AW43</f>
        <v>0</v>
      </c>
      <c r="G43" s="20">
        <f t="shared" si="32"/>
        <v>0</v>
      </c>
      <c r="H43" s="341">
        <v>0</v>
      </c>
      <c r="I43" s="341">
        <v>0</v>
      </c>
      <c r="J43" s="341">
        <v>0</v>
      </c>
      <c r="K43" s="341">
        <v>0</v>
      </c>
      <c r="L43" s="341">
        <v>0</v>
      </c>
      <c r="M43" s="1"/>
      <c r="N43" s="341"/>
      <c r="O43" s="341"/>
      <c r="P43" s="341"/>
      <c r="Q43" s="341"/>
      <c r="R43" s="1"/>
      <c r="S43" s="1"/>
      <c r="T43" s="1"/>
      <c r="U43" s="1"/>
      <c r="V43" s="1"/>
      <c r="W43" s="1"/>
      <c r="X43" s="617"/>
      <c r="Y43" s="8">
        <f t="shared" si="33"/>
        <v>0</v>
      </c>
      <c r="Z43" s="8"/>
      <c r="AA43" s="8"/>
      <c r="AB43" s="8"/>
      <c r="AC43" s="8"/>
      <c r="AD43" s="8"/>
      <c r="AE43" s="615"/>
      <c r="AF43" s="8">
        <f t="shared" si="38"/>
        <v>0</v>
      </c>
      <c r="AG43" s="2">
        <f t="shared" si="34"/>
        <v>0</v>
      </c>
      <c r="AH43" s="304"/>
      <c r="AI43" s="1"/>
      <c r="AJ43" s="35"/>
      <c r="AK43" s="35"/>
      <c r="AL43" s="614"/>
      <c r="AM43" s="614">
        <f t="shared" si="39"/>
        <v>0</v>
      </c>
      <c r="AN43" s="30">
        <f t="shared" si="35"/>
        <v>0</v>
      </c>
      <c r="AO43" s="35"/>
      <c r="AP43" s="30">
        <f t="shared" si="37"/>
        <v>0</v>
      </c>
      <c r="AQ43" s="305"/>
      <c r="AR43" s="35"/>
      <c r="AS43" s="35"/>
      <c r="AT43" s="35"/>
      <c r="AU43" s="612">
        <f t="shared" si="36"/>
        <v>0</v>
      </c>
      <c r="AV43" s="611"/>
      <c r="AW43" s="610">
        <f>AN43/1000</f>
        <v>0</v>
      </c>
      <c r="AX43" s="609"/>
      <c r="AY43" s="608">
        <f t="shared" si="27"/>
        <v>0</v>
      </c>
      <c r="AZ43" s="606">
        <f>+((629427716.75/7))/12/1000</f>
        <v>7493.1871041666673</v>
      </c>
      <c r="BA43" s="608">
        <f t="shared" si="28"/>
        <v>2.0516071568056328E-4</v>
      </c>
      <c r="BB43" s="560">
        <f t="shared" si="29"/>
        <v>-7493.1871041666673</v>
      </c>
      <c r="BC43" s="607">
        <f>+BB43/AZ43</f>
        <v>-1</v>
      </c>
      <c r="BD43" s="606"/>
      <c r="BE43" s="605">
        <f t="shared" si="9"/>
        <v>0</v>
      </c>
      <c r="BF43" s="560">
        <f t="shared" si="30"/>
        <v>7493.1871041666673</v>
      </c>
      <c r="BG43" s="604" t="e">
        <f>+BF43/BD43</f>
        <v>#DIV/0!</v>
      </c>
      <c r="BH43" s="555"/>
    </row>
    <row r="44" spans="1:60" ht="15.75" customHeight="1" x14ac:dyDescent="0.3">
      <c r="A44" s="36"/>
      <c r="B44" s="634"/>
      <c r="C44" s="635"/>
      <c r="D44" s="20"/>
      <c r="E44" s="620"/>
      <c r="F44" s="558"/>
      <c r="G44" s="20"/>
      <c r="H44" s="346"/>
      <c r="I44" s="346"/>
      <c r="J44" s="346"/>
      <c r="K44" s="346"/>
      <c r="L44" s="346"/>
      <c r="M44" s="1"/>
      <c r="N44" s="346"/>
      <c r="O44" s="346"/>
      <c r="P44" s="346"/>
      <c r="Q44" s="346"/>
      <c r="R44" s="1"/>
      <c r="S44" s="1"/>
      <c r="T44" s="1"/>
      <c r="U44" s="1"/>
      <c r="V44" s="1"/>
      <c r="W44" s="1"/>
      <c r="X44" s="617"/>
      <c r="Y44" s="8"/>
      <c r="Z44" s="8"/>
      <c r="AA44" s="8"/>
      <c r="AB44" s="8"/>
      <c r="AC44" s="8"/>
      <c r="AD44" s="8"/>
      <c r="AE44" s="615"/>
      <c r="AF44" s="8">
        <f t="shared" si="38"/>
        <v>0</v>
      </c>
      <c r="AG44" s="2">
        <f>SUM(AH44:AJ44)</f>
        <v>0</v>
      </c>
      <c r="AH44" s="765"/>
      <c r="AI44" s="13"/>
      <c r="AJ44" s="35"/>
      <c r="AK44" s="35"/>
      <c r="AL44" s="614"/>
      <c r="AM44" s="614"/>
      <c r="AN44" s="34"/>
      <c r="AO44" s="35"/>
      <c r="AP44" s="34"/>
      <c r="AQ44" s="305"/>
      <c r="AR44" s="35"/>
      <c r="AS44" s="35"/>
      <c r="AT44" s="35"/>
      <c r="AU44" s="612"/>
      <c r="AV44" s="611"/>
      <c r="AW44" s="610"/>
      <c r="AX44" s="609"/>
      <c r="AY44" s="608"/>
      <c r="AZ44" s="606"/>
      <c r="BA44" s="608"/>
      <c r="BB44" s="560"/>
      <c r="BC44" s="607"/>
      <c r="BD44" s="606"/>
      <c r="BE44" s="605"/>
      <c r="BF44" s="560"/>
      <c r="BG44" s="604"/>
      <c r="BH44" s="555"/>
    </row>
    <row r="45" spans="1:60" ht="15.75" customHeight="1" x14ac:dyDescent="0.3">
      <c r="A45" s="764" t="s">
        <v>74</v>
      </c>
      <c r="B45" s="1973" t="s">
        <v>75</v>
      </c>
      <c r="C45" s="1974"/>
      <c r="D45" s="23">
        <f>SUM(D46:D50)</f>
        <v>484719311.32999998</v>
      </c>
      <c r="E45" s="628">
        <f t="shared" ref="E45:E50" si="40">SUM(G45+Y45+AG45+AN45)</f>
        <v>484719311.33000004</v>
      </c>
      <c r="F45" s="561">
        <f>F46+F47+F48+F49+F50</f>
        <v>453950.40299999999</v>
      </c>
      <c r="G45" s="23">
        <f t="shared" ref="G45:W45" si="41">SUM(G46:G50)</f>
        <v>237998376.5</v>
      </c>
      <c r="H45" s="23">
        <f t="shared" si="41"/>
        <v>0</v>
      </c>
      <c r="I45" s="23">
        <f t="shared" si="41"/>
        <v>23492826.100000001</v>
      </c>
      <c r="J45" s="23">
        <f t="shared" si="41"/>
        <v>20662737.440000001</v>
      </c>
      <c r="K45" s="23">
        <f t="shared" si="41"/>
        <v>13763521.6</v>
      </c>
      <c r="L45" s="23">
        <f t="shared" si="41"/>
        <v>0</v>
      </c>
      <c r="M45" s="23">
        <f t="shared" si="41"/>
        <v>18735037.59</v>
      </c>
      <c r="N45" s="23">
        <f t="shared" si="41"/>
        <v>0</v>
      </c>
      <c r="O45" s="23">
        <f t="shared" si="41"/>
        <v>2650292.23</v>
      </c>
      <c r="P45" s="23">
        <f t="shared" si="41"/>
        <v>28385963.399999999</v>
      </c>
      <c r="Q45" s="23">
        <f t="shared" si="41"/>
        <v>38568314.899999999</v>
      </c>
      <c r="R45" s="23">
        <f t="shared" si="41"/>
        <v>7560452.4299999997</v>
      </c>
      <c r="S45" s="23">
        <f t="shared" si="41"/>
        <v>21337507.849999998</v>
      </c>
      <c r="T45" s="23">
        <f t="shared" si="41"/>
        <v>10918938.34</v>
      </c>
      <c r="U45" s="23">
        <f t="shared" si="41"/>
        <v>14637708.290000001</v>
      </c>
      <c r="V45" s="23">
        <f t="shared" si="41"/>
        <v>32435871.440000001</v>
      </c>
      <c r="W45" s="23">
        <f t="shared" si="41"/>
        <v>4849204.8899999997</v>
      </c>
      <c r="X45" s="350">
        <f>+'[3]Egresos -2015 '!$Z$45</f>
        <v>227121.821</v>
      </c>
      <c r="Y45" s="9">
        <f t="shared" ref="Y45:AD45" si="42">SUM(Y46:Y50)</f>
        <v>97241467.74000001</v>
      </c>
      <c r="Z45" s="9">
        <f t="shared" si="42"/>
        <v>10337046.74</v>
      </c>
      <c r="AA45" s="9">
        <f t="shared" si="42"/>
        <v>12364441.940000001</v>
      </c>
      <c r="AB45" s="9">
        <f t="shared" si="42"/>
        <v>30046614.059999999</v>
      </c>
      <c r="AC45" s="9">
        <f t="shared" si="42"/>
        <v>30408871.039999999</v>
      </c>
      <c r="AD45" s="9">
        <f t="shared" si="42"/>
        <v>14084493.960000001</v>
      </c>
      <c r="AE45" s="615">
        <f t="shared" ref="AE45:AE50" si="43">X45/$X$7*100</f>
        <v>4.4549864403869304</v>
      </c>
      <c r="AF45" s="10">
        <f>+AF46+AF47+AF48+AF49+AF50</f>
        <v>81913.539000000004</v>
      </c>
      <c r="AG45" s="2">
        <f>SUM(AG46:AG50)</f>
        <v>65959477.979999997</v>
      </c>
      <c r="AH45" s="636">
        <f>SUM(AH46:AH50)</f>
        <v>7433404.1399999997</v>
      </c>
      <c r="AI45" s="9">
        <f>SUM(AI46:AI50)</f>
        <v>26473096.25</v>
      </c>
      <c r="AJ45" s="33">
        <f>SUM(AJ46:AJ50)</f>
        <v>12594375.859999999</v>
      </c>
      <c r="AK45" s="33">
        <f>SUM(AK46:AK50)</f>
        <v>19458601.73</v>
      </c>
      <c r="AL45" s="623">
        <f>(AF45/AF7)*100</f>
        <v>5.6577334415684906</v>
      </c>
      <c r="AM45" s="623">
        <f>+AM46+AM47+AM48+AM49+AM50</f>
        <v>58012.689000000006</v>
      </c>
      <c r="AN45" s="34">
        <f t="shared" ref="AN45:AU45" si="44">SUM(AN46:AN50)</f>
        <v>83519989.110000014</v>
      </c>
      <c r="AO45" s="35">
        <f t="shared" si="44"/>
        <v>43894942.160000004</v>
      </c>
      <c r="AP45" s="34">
        <f t="shared" si="44"/>
        <v>39625046.950000003</v>
      </c>
      <c r="AQ45" s="305">
        <f t="shared" si="44"/>
        <v>12399465.269999998</v>
      </c>
      <c r="AR45" s="35">
        <f t="shared" si="44"/>
        <v>8413463.620000001</v>
      </c>
      <c r="AS45" s="35">
        <f t="shared" si="44"/>
        <v>6384907.75</v>
      </c>
      <c r="AT45" s="35">
        <f t="shared" si="44"/>
        <v>12427210.310000001</v>
      </c>
      <c r="AU45" s="622">
        <f t="shared" si="44"/>
        <v>484719311.33000004</v>
      </c>
      <c r="AV45" s="611">
        <f t="shared" ref="AV45:AV50" si="45">AM45/$AM$7</f>
        <v>5.05722459977586E-3</v>
      </c>
      <c r="AW45" s="621">
        <f>+AW46+AW47+AW48+AW49+AW50</f>
        <v>74758.067999999999</v>
      </c>
      <c r="AX45" s="609">
        <f t="shared" ref="AX45:AX50" si="46">AW45/$AW$7</f>
        <v>1.445606292085546E-3</v>
      </c>
      <c r="AY45" s="608">
        <f t="shared" ref="AY45:AY50" si="47">+F45/$F$7</f>
        <v>6.9768391984822665E-3</v>
      </c>
      <c r="AZ45" s="561">
        <f>AZ46+AZ47+AZ48+AZ49+AZ50</f>
        <v>421579.73882000003</v>
      </c>
      <c r="BA45" s="608">
        <f t="shared" ref="BA45:BA50" si="48">+AZ45/$AZ$7</f>
        <v>1.1542698684868229E-2</v>
      </c>
      <c r="BB45" s="560">
        <f t="shared" ref="BB45:BB50" si="49">+F45-AZ45</f>
        <v>32370.664179999963</v>
      </c>
      <c r="BC45" s="607">
        <f t="shared" ref="BC45:BC50" si="50">+BB45/AZ45</f>
        <v>7.6784202842872198E-2</v>
      </c>
      <c r="BD45" s="561">
        <f>BD46+BD47+BD48+BD49+BD50</f>
        <v>373762.63000000006</v>
      </c>
      <c r="BE45" s="605">
        <f t="shared" ref="BE45:BE50" si="51">+BD45/$BD$7</f>
        <v>8.6087501554411062E-3</v>
      </c>
      <c r="BF45" s="560">
        <f t="shared" ref="BF45:BF50" si="52">AZ45-BD45</f>
        <v>47817.108819999965</v>
      </c>
      <c r="BG45" s="604">
        <f t="shared" ref="BG45:BG50" si="53">+BF45/BD45</f>
        <v>0.12793442945326011</v>
      </c>
      <c r="BH45" s="555"/>
    </row>
    <row r="46" spans="1:60" ht="15.75" customHeight="1" x14ac:dyDescent="0.3">
      <c r="A46" s="763" t="s">
        <v>76</v>
      </c>
      <c r="B46" s="1967" t="s">
        <v>77</v>
      </c>
      <c r="C46" s="1968"/>
      <c r="D46" s="20">
        <f>+G46+Y46+AG46+AN46</f>
        <v>267029705.51999998</v>
      </c>
      <c r="E46" s="620">
        <f t="shared" si="40"/>
        <v>267029705.51999998</v>
      </c>
      <c r="F46" s="558">
        <f>250689021/1000</f>
        <v>250689.02100000001</v>
      </c>
      <c r="G46" s="20">
        <f>SUM(H46:W46)</f>
        <v>131431214.67000002</v>
      </c>
      <c r="H46" s="341"/>
      <c r="I46" s="341">
        <f>12973650.23</f>
        <v>12973650.23</v>
      </c>
      <c r="J46" s="341">
        <f>11286213.42+124552.03</f>
        <v>11410765.449999999</v>
      </c>
      <c r="K46" s="341">
        <f>7600750.73</f>
        <v>7600750.7300000004</v>
      </c>
      <c r="L46" s="341">
        <v>0</v>
      </c>
      <c r="M46" s="1">
        <f>9976214.79+370000</f>
        <v>10346214.789999999</v>
      </c>
      <c r="N46" s="341"/>
      <c r="O46" s="341">
        <f>1463594.2</f>
        <v>1463594.2</v>
      </c>
      <c r="P46" s="341">
        <f>15675830.53</f>
        <v>15675830.529999999</v>
      </c>
      <c r="Q46" s="341">
        <f>20684965.85+613954.32</f>
        <v>21298920.170000002</v>
      </c>
      <c r="R46" s="1">
        <f>3089124.33+1085878.59</f>
        <v>4175002.92</v>
      </c>
      <c r="S46" s="1">
        <f>10692094.84+1091305.01</f>
        <v>11783399.85</v>
      </c>
      <c r="T46" s="1">
        <f>5659861.47+370000</f>
        <v>6029861.4699999997</v>
      </c>
      <c r="U46" s="1">
        <f>8023872.74+59637.8</f>
        <v>8083510.54</v>
      </c>
      <c r="V46" s="1">
        <f>15869743.42+2042603.5</f>
        <v>17912346.920000002</v>
      </c>
      <c r="W46" s="1">
        <f>2357947.06+319419.81</f>
        <v>2677366.87</v>
      </c>
      <c r="X46" s="617">
        <f>+'[3]Egresos -2015 '!$Z$46</f>
        <v>125425.48299999999</v>
      </c>
      <c r="Y46" s="8">
        <f>SUM(Z46:AD46)</f>
        <v>53700512.019999996</v>
      </c>
      <c r="Z46" s="8">
        <f>4506388.35+1202130</f>
        <v>5708518.3499999996</v>
      </c>
      <c r="AA46" s="8">
        <f>6828124.65</f>
        <v>6828124.6500000004</v>
      </c>
      <c r="AB46" s="8">
        <f>16592906.27</f>
        <v>16592906.27</v>
      </c>
      <c r="AC46" s="8">
        <f>16792958.63</f>
        <v>16792958.629999999</v>
      </c>
      <c r="AD46" s="8">
        <f>7778004.12</f>
        <v>7778004.1200000001</v>
      </c>
      <c r="AE46" s="642">
        <f t="shared" si="43"/>
        <v>2.4602163877683134</v>
      </c>
      <c r="AF46" s="8">
        <f>+'[2]Egresos -2015 '!$AG$46</f>
        <v>45235.834000000003</v>
      </c>
      <c r="AG46" s="2">
        <f>SUM(AH46:AK46)</f>
        <v>35774999.939999998</v>
      </c>
      <c r="AH46" s="309">
        <f>3006669.23+1098345</f>
        <v>4105014.23</v>
      </c>
      <c r="AI46" s="13">
        <f>14619471.06</f>
        <v>14619471.060000001</v>
      </c>
      <c r="AJ46" s="35">
        <f>6955103</f>
        <v>6955103</v>
      </c>
      <c r="AK46" s="35">
        <f>10095411.65</f>
        <v>10095411.65</v>
      </c>
      <c r="AL46" s="614">
        <f>(AF46/AF7)*100</f>
        <v>3.1244198932613685</v>
      </c>
      <c r="AM46" s="614">
        <f>+'[2]Egresos -2015 '!$AM$46</f>
        <v>32036.859</v>
      </c>
      <c r="AN46" s="30">
        <f>SUM(AO46+AP46)</f>
        <v>46122978.890000001</v>
      </c>
      <c r="AO46" s="35">
        <f>(8227318.95+16013171.5)</f>
        <v>24240490.449999999</v>
      </c>
      <c r="AP46" s="30">
        <f>SUM(AQ46:AT46)</f>
        <v>21882488.440000001</v>
      </c>
      <c r="AQ46" s="305">
        <f>4232596.77+2614868.94</f>
        <v>6847465.709999999</v>
      </c>
      <c r="AR46" s="35">
        <f>4646241.11</f>
        <v>4646241.1100000003</v>
      </c>
      <c r="AS46" s="35">
        <f>3525993.84</f>
        <v>3525993.84</v>
      </c>
      <c r="AT46" s="35">
        <f>6862787.78</f>
        <v>6862787.7800000003</v>
      </c>
      <c r="AU46" s="612">
        <f>SUM(AN46+AG46+Y46+G46)</f>
        <v>267029705.52000001</v>
      </c>
      <c r="AV46" s="611">
        <f t="shared" si="45"/>
        <v>2.7927957525697637E-3</v>
      </c>
      <c r="AW46" s="610">
        <f>+'[2]Egresos -2015 '!$AO$46</f>
        <v>41284.305999999997</v>
      </c>
      <c r="AX46" s="609">
        <f t="shared" si="46"/>
        <v>7.9831988860366279E-4</v>
      </c>
      <c r="AY46" s="608">
        <f t="shared" si="47"/>
        <v>3.8528812328027478E-3</v>
      </c>
      <c r="AZ46" s="606">
        <f>((116578976.21/6))*12/1000</f>
        <v>233157.95241999999</v>
      </c>
      <c r="BA46" s="608">
        <f t="shared" si="48"/>
        <v>6.3837792544247079E-3</v>
      </c>
      <c r="BB46" s="560">
        <f t="shared" si="49"/>
        <v>17531.068580000021</v>
      </c>
      <c r="BC46" s="607">
        <f t="shared" si="50"/>
        <v>7.5189666052738205E-2</v>
      </c>
      <c r="BD46" s="606">
        <f>206370.7</f>
        <v>206370.7</v>
      </c>
      <c r="BE46" s="605">
        <f t="shared" si="51"/>
        <v>4.7532675904583873E-3</v>
      </c>
      <c r="BF46" s="560">
        <f t="shared" si="52"/>
        <v>26787.252419999975</v>
      </c>
      <c r="BG46" s="604">
        <f t="shared" si="53"/>
        <v>0.12980162600601719</v>
      </c>
      <c r="BH46" s="555"/>
    </row>
    <row r="47" spans="1:60" ht="15.75" customHeight="1" x14ac:dyDescent="0.3">
      <c r="A47" s="559" t="s">
        <v>78</v>
      </c>
      <c r="B47" s="1967" t="s">
        <v>79</v>
      </c>
      <c r="C47" s="1968"/>
      <c r="D47" s="20">
        <f>+G47+Y47+AG47+AN47</f>
        <v>14434350.139999999</v>
      </c>
      <c r="E47" s="620">
        <f t="shared" si="40"/>
        <v>14434350.139999999</v>
      </c>
      <c r="F47" s="558">
        <f>13550763/1000</f>
        <v>13550.763000000001</v>
      </c>
      <c r="G47" s="20">
        <f>SUM(H47:W47)</f>
        <v>7104701.9800000004</v>
      </c>
      <c r="H47" s="341"/>
      <c r="I47" s="341">
        <f>701278.39</f>
        <v>701278.39</v>
      </c>
      <c r="J47" s="341">
        <f>610065.59+6732.54</f>
        <v>616798.13</v>
      </c>
      <c r="K47" s="341">
        <f>410851.39</f>
        <v>410851.39</v>
      </c>
      <c r="L47" s="341">
        <v>0</v>
      </c>
      <c r="M47" s="1">
        <f>539254.85+20000</f>
        <v>559254.85</v>
      </c>
      <c r="N47" s="341"/>
      <c r="O47" s="341">
        <f>79113.2</f>
        <v>79113.2</v>
      </c>
      <c r="P47" s="341">
        <f>847342.19</f>
        <v>847342.19</v>
      </c>
      <c r="Q47" s="341">
        <f>1118106.26+33186.72</f>
        <v>1151292.98</v>
      </c>
      <c r="R47" s="1">
        <f>312+166979.69+58696.14</f>
        <v>225987.83000000002</v>
      </c>
      <c r="S47" s="1">
        <f>577951.07+58989.46</f>
        <v>636940.52999999991</v>
      </c>
      <c r="T47" s="1">
        <f>305938.46+20000</f>
        <v>325938.46000000002</v>
      </c>
      <c r="U47" s="1">
        <f>433722.85+3223.67</f>
        <v>436946.51999999996</v>
      </c>
      <c r="V47" s="1">
        <f>857823.97+110411</f>
        <v>968234.97</v>
      </c>
      <c r="W47" s="1">
        <f>127456.6+17265.94</f>
        <v>144722.54</v>
      </c>
      <c r="X47" s="617">
        <f>+'[3]Egresos -2015 '!$Z$47</f>
        <v>6779.7579999999998</v>
      </c>
      <c r="Y47" s="8">
        <f>SUM(Z47:AD47)</f>
        <v>2902730.38</v>
      </c>
      <c r="Z47" s="8">
        <f>243588.56+64980</f>
        <v>308568.56</v>
      </c>
      <c r="AA47" s="8">
        <f>369087.82</f>
        <v>369087.82</v>
      </c>
      <c r="AB47" s="8">
        <f>896913.85</f>
        <v>896913.85</v>
      </c>
      <c r="AC47" s="8">
        <f>907727.49</f>
        <v>907727.49</v>
      </c>
      <c r="AD47" s="8">
        <f>420432.66</f>
        <v>420432.66</v>
      </c>
      <c r="AE47" s="642">
        <f t="shared" si="43"/>
        <v>0.13298471201983192</v>
      </c>
      <c r="AF47" s="8">
        <f>+'[2]Egresos -2015 '!$AG$47</f>
        <v>2445.181</v>
      </c>
      <c r="AG47" s="2">
        <f>SUM(AH47:AK47)</f>
        <v>1933783.79</v>
      </c>
      <c r="AH47" s="309">
        <f>162522.66+59370</f>
        <v>221892.66</v>
      </c>
      <c r="AI47" s="13">
        <f>790241.68</f>
        <v>790241.68</v>
      </c>
      <c r="AJ47" s="35">
        <f>375951.52</f>
        <v>375951.52</v>
      </c>
      <c r="AK47" s="35">
        <f>545697.93</f>
        <v>545697.93000000005</v>
      </c>
      <c r="AL47" s="614">
        <f>(AF47/AF7)*100</f>
        <v>0.16888761593352578</v>
      </c>
      <c r="AM47" s="614">
        <f>+'[2]Egresos -2015 '!$AM$47</f>
        <v>1731.721</v>
      </c>
      <c r="AN47" s="30">
        <f>SUM(AO47+AP47)</f>
        <v>2493133.9900000002</v>
      </c>
      <c r="AO47" s="35">
        <f>(444719.94+865576.84)</f>
        <v>1310296.78</v>
      </c>
      <c r="AP47" s="30">
        <f>SUM(AQ47:AT47)</f>
        <v>1182837.21</v>
      </c>
      <c r="AQ47" s="305">
        <f>228789.01+141344.27</f>
        <v>370133.28</v>
      </c>
      <c r="AR47" s="35">
        <f>251148.17</f>
        <v>251148.17</v>
      </c>
      <c r="AS47" s="35">
        <f>190594.26</f>
        <v>190594.26</v>
      </c>
      <c r="AT47" s="35">
        <f>370961.5</f>
        <v>370961.5</v>
      </c>
      <c r="AU47" s="612">
        <f>SUM(AN47+AG47+Y47+G47)</f>
        <v>14434350.140000001</v>
      </c>
      <c r="AV47" s="611">
        <f t="shared" si="45"/>
        <v>1.5096183597261716E-4</v>
      </c>
      <c r="AW47" s="610">
        <f>+'[2]Egresos -2015 '!$AO$47</f>
        <v>2231.5830000000001</v>
      </c>
      <c r="AX47" s="609">
        <f t="shared" si="46"/>
        <v>4.3152404983381042E-5</v>
      </c>
      <c r="AY47" s="608">
        <f t="shared" si="47"/>
        <v>2.0826392892913273E-4</v>
      </c>
      <c r="AZ47" s="606">
        <f>+((6302265.58/6))*12/1000</f>
        <v>12604.53116</v>
      </c>
      <c r="BA47" s="608">
        <f t="shared" si="48"/>
        <v>3.4510744195425373E-4</v>
      </c>
      <c r="BB47" s="560">
        <f t="shared" si="49"/>
        <v>946.23184000000037</v>
      </c>
      <c r="BC47" s="607">
        <f t="shared" si="50"/>
        <v>7.507076843943479E-2</v>
      </c>
      <c r="BD47" s="606">
        <f>11162.39</f>
        <v>11162.39</v>
      </c>
      <c r="BE47" s="605">
        <f t="shared" si="51"/>
        <v>2.5709961064752305E-4</v>
      </c>
      <c r="BF47" s="560">
        <f t="shared" si="52"/>
        <v>1442.141160000001</v>
      </c>
      <c r="BG47" s="604">
        <f t="shared" si="53"/>
        <v>0.12919644986423168</v>
      </c>
      <c r="BH47" s="555"/>
    </row>
    <row r="48" spans="1:60" ht="15.75" customHeight="1" x14ac:dyDescent="0.3">
      <c r="A48" s="763" t="s">
        <v>80</v>
      </c>
      <c r="B48" s="1967" t="s">
        <v>81</v>
      </c>
      <c r="C48" s="1968"/>
      <c r="D48" s="20">
        <f>+G48+Y48+AG48+AN48</f>
        <v>43302114.449999996</v>
      </c>
      <c r="E48" s="620">
        <f t="shared" si="40"/>
        <v>43302114.449999996</v>
      </c>
      <c r="F48" s="558">
        <f>40652276/1000</f>
        <v>40652.275999999998</v>
      </c>
      <c r="G48" s="20">
        <f>SUM(H48:W48)</f>
        <v>21313169.960000001</v>
      </c>
      <c r="H48" s="341"/>
      <c r="I48" s="341">
        <f>2103835.17</f>
        <v>2103835.17</v>
      </c>
      <c r="J48" s="341">
        <f>1830196.77+20197.63</f>
        <v>1850394.4</v>
      </c>
      <c r="K48" s="341">
        <f>1232554.17</f>
        <v>1232554.17</v>
      </c>
      <c r="L48" s="341">
        <v>0</v>
      </c>
      <c r="M48" s="1">
        <f>1617764.56+60000</f>
        <v>1677764.56</v>
      </c>
      <c r="N48" s="341"/>
      <c r="O48" s="341">
        <f>237339.61</f>
        <v>237339.61</v>
      </c>
      <c r="P48" s="341">
        <f>2542026.57</f>
        <v>2542026.5699999998</v>
      </c>
      <c r="Q48" s="341">
        <f>3354318.79+99560.16</f>
        <v>3453878.95</v>
      </c>
      <c r="R48" s="1">
        <f>500939.08+176088.42</f>
        <v>677027.5</v>
      </c>
      <c r="S48" s="1">
        <f>1733853.22+176968.38</f>
        <v>1910821.6</v>
      </c>
      <c r="T48" s="1">
        <f>917815.37+60000</f>
        <v>977815.37</v>
      </c>
      <c r="U48" s="1">
        <f>1301168.55+9671</f>
        <v>1310839.55</v>
      </c>
      <c r="V48" s="1">
        <f>2573471.91+331233</f>
        <v>2904704.91</v>
      </c>
      <c r="W48" s="1">
        <f>382369.79+51797.81</f>
        <v>434167.6</v>
      </c>
      <c r="X48" s="617">
        <f>+'[3]Egresos -2015 '!$Z$48</f>
        <v>20339.266</v>
      </c>
      <c r="Y48" s="8">
        <f>SUM(Z48:AD48)</f>
        <v>8708191.1500000004</v>
      </c>
      <c r="Z48" s="8">
        <f>730765.68+194940</f>
        <v>925705.68</v>
      </c>
      <c r="AA48" s="8">
        <f>1107263.46</f>
        <v>1107263.46</v>
      </c>
      <c r="AB48" s="8">
        <f>2690741.56</f>
        <v>2690741.56</v>
      </c>
      <c r="AC48" s="8">
        <f>2723182.48</f>
        <v>2723182.48</v>
      </c>
      <c r="AD48" s="8">
        <f>1261297.97</f>
        <v>1261297.97</v>
      </c>
      <c r="AE48" s="642">
        <f t="shared" si="43"/>
        <v>0.39895397913978037</v>
      </c>
      <c r="AF48" s="8">
        <f>+'[2]Egresos -2015 '!$AG$48</f>
        <v>7335.54</v>
      </c>
      <c r="AG48" s="2">
        <f>SUM(AH48:AK48)</f>
        <v>5801351.3700000001</v>
      </c>
      <c r="AH48" s="309">
        <f>487567.98+178110</f>
        <v>665677.98</v>
      </c>
      <c r="AI48" s="13">
        <f>2370725.04</f>
        <v>2370725.04</v>
      </c>
      <c r="AJ48" s="35">
        <f>1127854.57</f>
        <v>1127854.57</v>
      </c>
      <c r="AK48" s="35">
        <f>1637093.78</f>
        <v>1637093.78</v>
      </c>
      <c r="AL48" s="614">
        <f>(AF48/AF7)*100</f>
        <v>0.50666264059184796</v>
      </c>
      <c r="AM48" s="614">
        <f>+'[2]Egresos -2015 '!$AM$48</f>
        <v>5195.1670000000004</v>
      </c>
      <c r="AN48" s="30">
        <f>SUM(AO48+AP48)</f>
        <v>7479401.9699999997</v>
      </c>
      <c r="AO48" s="35">
        <f>(1334159.83+2596730.51)</f>
        <v>3930890.34</v>
      </c>
      <c r="AP48" s="30">
        <f>SUM(AQ48:AT48)</f>
        <v>3548511.63</v>
      </c>
      <c r="AQ48" s="305">
        <f>686367.04+424032.8</f>
        <v>1110399.8400000001</v>
      </c>
      <c r="AR48" s="35">
        <f>753444.5</f>
        <v>753444.5</v>
      </c>
      <c r="AS48" s="35">
        <f>571782.78</f>
        <v>571782.78</v>
      </c>
      <c r="AT48" s="35">
        <f>1112884.51</f>
        <v>1112884.51</v>
      </c>
      <c r="AU48" s="612">
        <f>SUM(AN48+AG48+Y48+G48)</f>
        <v>43302114.450000003</v>
      </c>
      <c r="AV48" s="611">
        <f t="shared" si="45"/>
        <v>4.5288585661567513E-4</v>
      </c>
      <c r="AW48" s="610">
        <f>+'[2]Egresos -2015 '!$AO$48</f>
        <v>6694.7529999999997</v>
      </c>
      <c r="AX48" s="609">
        <f t="shared" si="46"/>
        <v>1.2945729229865309E-4</v>
      </c>
      <c r="AY48" s="608">
        <f t="shared" si="47"/>
        <v>6.2479158698823729E-4</v>
      </c>
      <c r="AZ48" s="606">
        <f>+((18901426.29/6))*12/1000</f>
        <v>37802.852579999999</v>
      </c>
      <c r="BA48" s="608">
        <f t="shared" si="48"/>
        <v>1.0350282439587034E-3</v>
      </c>
      <c r="BB48" s="560">
        <f t="shared" si="49"/>
        <v>2849.4234199999992</v>
      </c>
      <c r="BC48" s="607">
        <f t="shared" si="50"/>
        <v>7.5375883710625508E-2</v>
      </c>
      <c r="BD48" s="606">
        <f>33464.95</f>
        <v>33464.949999999997</v>
      </c>
      <c r="BE48" s="605">
        <f t="shared" si="51"/>
        <v>7.7078704608411167E-4</v>
      </c>
      <c r="BF48" s="560">
        <f t="shared" si="52"/>
        <v>4337.9025800000018</v>
      </c>
      <c r="BG48" s="604">
        <f t="shared" si="53"/>
        <v>0.12962525209211434</v>
      </c>
      <c r="BH48" s="555"/>
    </row>
    <row r="49" spans="1:60" ht="15.75" customHeight="1" x14ac:dyDescent="0.3">
      <c r="A49" s="763" t="s">
        <v>82</v>
      </c>
      <c r="B49" s="1967" t="s">
        <v>83</v>
      </c>
      <c r="C49" s="1968"/>
      <c r="D49" s="20">
        <f>+G49+Y49+AG49+AN49</f>
        <v>145518102.67999998</v>
      </c>
      <c r="E49" s="620">
        <f t="shared" si="40"/>
        <v>145518102.67999998</v>
      </c>
      <c r="F49" s="558">
        <f>135507579/1000</f>
        <v>135507.579</v>
      </c>
      <c r="G49" s="20">
        <f>SUM(H49:W49)</f>
        <v>71043899.849999994</v>
      </c>
      <c r="H49" s="341"/>
      <c r="I49" s="341">
        <f>7012783.91</f>
        <v>7012783.9100000001</v>
      </c>
      <c r="J49" s="341">
        <f>6100655.9+67325.42</f>
        <v>6167981.3200000003</v>
      </c>
      <c r="K49" s="341">
        <f>4108513.91</f>
        <v>4108513.91</v>
      </c>
      <c r="L49" s="341">
        <v>0</v>
      </c>
      <c r="M49" s="1">
        <f>5392548.53+200000</f>
        <v>5592548.5300000003</v>
      </c>
      <c r="N49" s="341"/>
      <c r="O49" s="341">
        <f>791132.02</f>
        <v>791132.02</v>
      </c>
      <c r="P49" s="341">
        <f>8473421.91</f>
        <v>8473421.9100000001</v>
      </c>
      <c r="Q49" s="341">
        <f>11181062.62+331867.2</f>
        <v>11512929.819999998</v>
      </c>
      <c r="R49" s="1">
        <f>1669796.94+586961.4</f>
        <v>2256758.34</v>
      </c>
      <c r="S49" s="1">
        <f>5779510.73+589894.6</f>
        <v>6369405.3300000001</v>
      </c>
      <c r="T49" s="1">
        <f>3059384.58+200000</f>
        <v>3259384.58</v>
      </c>
      <c r="U49" s="1">
        <f>4337228.51+32236.65</f>
        <v>4369465.16</v>
      </c>
      <c r="V49" s="1">
        <f>8578239.68+1104110</f>
        <v>9682349.6799999997</v>
      </c>
      <c r="W49" s="1">
        <f>1274565.98+172659.36</f>
        <v>1447225.3399999999</v>
      </c>
      <c r="X49" s="617">
        <f>+'[3]Egresos -2015 '!$Z$49</f>
        <v>67797.558999999994</v>
      </c>
      <c r="Y49" s="8">
        <f>SUM(Z49:AD49)</f>
        <v>29027303.789999999</v>
      </c>
      <c r="Z49" s="8">
        <f>2435885.59+649800</f>
        <v>3085685.59</v>
      </c>
      <c r="AA49" s="8">
        <f>3690878.19</f>
        <v>3690878.19</v>
      </c>
      <c r="AB49" s="8">
        <f>8969138.52</f>
        <v>8969138.5199999996</v>
      </c>
      <c r="AC49" s="8">
        <f>9077274.94</f>
        <v>9077274.9399999995</v>
      </c>
      <c r="AD49" s="8">
        <f>4204326.55</f>
        <v>4204326.55</v>
      </c>
      <c r="AE49" s="642">
        <f t="shared" si="43"/>
        <v>1.3298467082840664</v>
      </c>
      <c r="AF49" s="8">
        <f>+'[2]Egresos -2015 '!$AG$49</f>
        <v>24451.802</v>
      </c>
      <c r="AG49" s="2">
        <f>SUM(AH49:AK49)</f>
        <v>20515559.100000001</v>
      </c>
      <c r="AH49" s="309">
        <f>1625226.61+593700</f>
        <v>2218926.6100000003</v>
      </c>
      <c r="AI49" s="13">
        <f>7902416.79</f>
        <v>7902416.79</v>
      </c>
      <c r="AJ49" s="35">
        <f>3759515.25</f>
        <v>3759515.25</v>
      </c>
      <c r="AK49" s="35">
        <f>5456979.27+1177721.18</f>
        <v>6634700.4499999993</v>
      </c>
      <c r="AL49" s="614">
        <f>(AF49/AF7)*100</f>
        <v>1.6888756067786461</v>
      </c>
      <c r="AM49" s="614">
        <f>+'[2]Egresos -2015 '!$AM$49</f>
        <v>17317.221000000001</v>
      </c>
      <c r="AN49" s="30">
        <f>SUM(AO49+AP49)</f>
        <v>24931339.940000001</v>
      </c>
      <c r="AO49" s="35">
        <f>(4447199.43+8655768.38)</f>
        <v>13102967.810000001</v>
      </c>
      <c r="AP49" s="30">
        <f>SUM(AQ49:AT49)</f>
        <v>11828372.130000001</v>
      </c>
      <c r="AQ49" s="305">
        <f>2287890.15+1413442.67</f>
        <v>3701332.82</v>
      </c>
      <c r="AR49" s="35">
        <f>2511481.68</f>
        <v>2511481.6800000002</v>
      </c>
      <c r="AS49" s="35">
        <f>1905942.61</f>
        <v>1905942.61</v>
      </c>
      <c r="AT49" s="35">
        <f>3709615.02</f>
        <v>3709615.02</v>
      </c>
      <c r="AU49" s="612">
        <f>SUM(AN49+AG49+Y49+G49)</f>
        <v>145518102.68000001</v>
      </c>
      <c r="AV49" s="611">
        <f t="shared" si="45"/>
        <v>1.5096193186451866E-3</v>
      </c>
      <c r="AW49" s="610">
        <f>+'[2]Egresos -2015 '!$AO$49</f>
        <v>22315.842000000001</v>
      </c>
      <c r="AX49" s="609">
        <f t="shared" si="46"/>
        <v>4.3152428187934037E-4</v>
      </c>
      <c r="AY49" s="608">
        <f t="shared" si="47"/>
        <v>2.08263850546385E-3</v>
      </c>
      <c r="AZ49" s="606">
        <f>+((62704935.75/6))*12/1000</f>
        <v>125409.87149999999</v>
      </c>
      <c r="BA49" s="608">
        <f t="shared" si="48"/>
        <v>3.4336763025763083E-3</v>
      </c>
      <c r="BB49" s="560">
        <f t="shared" si="49"/>
        <v>10097.707500000004</v>
      </c>
      <c r="BC49" s="607">
        <f t="shared" si="50"/>
        <v>8.0517644896877238E-2</v>
      </c>
      <c r="BD49" s="606">
        <f>111619.41</f>
        <v>111619.41</v>
      </c>
      <c r="BE49" s="605">
        <f t="shared" si="51"/>
        <v>2.5708926898008622E-3</v>
      </c>
      <c r="BF49" s="560">
        <f t="shared" si="52"/>
        <v>13790.46149999999</v>
      </c>
      <c r="BG49" s="604">
        <f t="shared" si="53"/>
        <v>0.12354895532954339</v>
      </c>
      <c r="BH49" s="555"/>
    </row>
    <row r="50" spans="1:60" ht="15.75" customHeight="1" x14ac:dyDescent="0.3">
      <c r="A50" s="763" t="s">
        <v>84</v>
      </c>
      <c r="B50" s="1967" t="s">
        <v>85</v>
      </c>
      <c r="C50" s="1968"/>
      <c r="D50" s="20">
        <f>+G50+Y50+AG50+AN50</f>
        <v>14435038.540000003</v>
      </c>
      <c r="E50" s="620">
        <f t="shared" si="40"/>
        <v>14435038.540000003</v>
      </c>
      <c r="F50" s="558">
        <f>13550764/1000</f>
        <v>13550.763999999999</v>
      </c>
      <c r="G50" s="20">
        <f>SUM(H50:W50)</f>
        <v>7105390.040000001</v>
      </c>
      <c r="H50" s="341"/>
      <c r="I50" s="341">
        <f>350639.2+350639.2</f>
        <v>701278.4</v>
      </c>
      <c r="J50" s="341">
        <f>305032.8+305032.8+3366.27+3366.27</f>
        <v>616798.14</v>
      </c>
      <c r="K50" s="341">
        <f>205425.7+205425.7</f>
        <v>410851.4</v>
      </c>
      <c r="L50" s="341">
        <v>0</v>
      </c>
      <c r="M50" s="1">
        <f>269627.43+269627.43+10000+10000</f>
        <v>559254.86</v>
      </c>
      <c r="N50" s="341"/>
      <c r="O50" s="341">
        <f>39556.6+39556.6</f>
        <v>79113.2</v>
      </c>
      <c r="P50" s="341">
        <f>423671.1+423671.1</f>
        <v>847342.2</v>
      </c>
      <c r="Q50" s="341">
        <f>559053.13+559053.13+16593.36+16593.36</f>
        <v>1151292.9800000002</v>
      </c>
      <c r="R50" s="1">
        <f>83489.85+83489.85+29348.07+29348.07</f>
        <v>225675.84000000003</v>
      </c>
      <c r="S50" s="1">
        <f>288975.54+288975.54+29494.73+29494.73</f>
        <v>636940.53999999992</v>
      </c>
      <c r="T50" s="1">
        <f>152969.23+152969.23+10000+10000</f>
        <v>325938.46000000002</v>
      </c>
      <c r="U50" s="1">
        <f>216861.43+216861.43+1611.83+1611.83</f>
        <v>436946.52</v>
      </c>
      <c r="V50" s="1">
        <f>428911.98+428911.98+55205.5+55205.5</f>
        <v>968234.96</v>
      </c>
      <c r="W50" s="1">
        <f>63728.3+63728.3+8632.97+9632.97</f>
        <v>145722.54</v>
      </c>
      <c r="X50" s="617">
        <f>+'[3]Egresos -2015 '!$Z$50</f>
        <v>6779.7550000000001</v>
      </c>
      <c r="Y50" s="8">
        <f>SUM(Z50:AD50)</f>
        <v>2902730.4000000004</v>
      </c>
      <c r="Z50" s="8">
        <f>121794.28+121794.28+32490+32490</f>
        <v>308568.56</v>
      </c>
      <c r="AA50" s="8">
        <f>184543.91+184543.91</f>
        <v>369087.82</v>
      </c>
      <c r="AB50" s="8">
        <f>448456.93+448456.93</f>
        <v>896913.86</v>
      </c>
      <c r="AC50" s="8">
        <f>453863.75+453863.75</f>
        <v>907727.5</v>
      </c>
      <c r="AD50" s="8">
        <f>210216.33+210216.33</f>
        <v>420432.66</v>
      </c>
      <c r="AE50" s="642">
        <f t="shared" si="43"/>
        <v>0.13298465317493866</v>
      </c>
      <c r="AF50" s="8">
        <f>+'[2]Egresos -2015 '!$AG$50</f>
        <v>2445.1819999999998</v>
      </c>
      <c r="AG50" s="2">
        <f>SUM(AH50:AK50)</f>
        <v>1933783.7800000003</v>
      </c>
      <c r="AH50" s="309">
        <f>81261.33+81261.33+29685+29685</f>
        <v>221892.66</v>
      </c>
      <c r="AI50" s="13">
        <f>395120.84+395120.84</f>
        <v>790241.68</v>
      </c>
      <c r="AJ50" s="35">
        <f>187975.76+187975.76</f>
        <v>375951.52</v>
      </c>
      <c r="AK50" s="35">
        <f>272848.96+272848.96</f>
        <v>545697.92000000004</v>
      </c>
      <c r="AL50" s="614">
        <f>(AF50/AF7)*100</f>
        <v>0.16888768500310217</v>
      </c>
      <c r="AM50" s="614">
        <f>+'[2]Egresos -2015 '!$AM$50</f>
        <v>1731.721</v>
      </c>
      <c r="AN50" s="30">
        <f>SUM(AO50+AP50)</f>
        <v>2493134.3200000003</v>
      </c>
      <c r="AO50" s="35">
        <f>(222359.97+222359.97+432788.42+432788.42)</f>
        <v>1310296.78</v>
      </c>
      <c r="AP50" s="30">
        <f>SUM(AQ50:AT50)</f>
        <v>1182837.54</v>
      </c>
      <c r="AQ50" s="305">
        <f>114394.51+114394.51+70672.3+70672.3</f>
        <v>370133.62</v>
      </c>
      <c r="AR50" s="35">
        <f>125574.08+125574.08</f>
        <v>251148.16</v>
      </c>
      <c r="AS50" s="35">
        <f>(95297.13+95297.13)</f>
        <v>190594.26</v>
      </c>
      <c r="AT50" s="35">
        <f>(185480.75+185480.75)</f>
        <v>370961.5</v>
      </c>
      <c r="AU50" s="612">
        <f>SUM(AN50+AG50+Y50+G50)</f>
        <v>14435038.540000003</v>
      </c>
      <c r="AV50" s="611">
        <f t="shared" si="45"/>
        <v>1.5096183597261716E-4</v>
      </c>
      <c r="AW50" s="610">
        <f>+'[2]Egresos -2015 '!$AO$50</f>
        <v>2231.5839999999998</v>
      </c>
      <c r="AX50" s="609">
        <f t="shared" si="46"/>
        <v>4.3152424320508529E-5</v>
      </c>
      <c r="AY50" s="608">
        <f t="shared" si="47"/>
        <v>2.0826394429829893E-4</v>
      </c>
      <c r="AZ50" s="606">
        <f>+((6302265.58/6))*12/1000</f>
        <v>12604.53116</v>
      </c>
      <c r="BA50" s="608">
        <f t="shared" si="48"/>
        <v>3.4510744195425373E-4</v>
      </c>
      <c r="BB50" s="560">
        <f t="shared" si="49"/>
        <v>946.23283999999876</v>
      </c>
      <c r="BC50" s="607">
        <f t="shared" si="50"/>
        <v>7.5070847775983343E-2</v>
      </c>
      <c r="BD50" s="606">
        <f>11145.18</f>
        <v>11145.18</v>
      </c>
      <c r="BE50" s="605">
        <f t="shared" si="51"/>
        <v>2.5670321845022091E-4</v>
      </c>
      <c r="BF50" s="560">
        <f t="shared" si="52"/>
        <v>1459.3511600000002</v>
      </c>
      <c r="BG50" s="604">
        <f t="shared" si="53"/>
        <v>0.13094011581688228</v>
      </c>
      <c r="BH50" s="555"/>
    </row>
    <row r="51" spans="1:60" ht="15.75" customHeight="1" x14ac:dyDescent="0.3">
      <c r="A51" s="763"/>
      <c r="B51" s="634"/>
      <c r="C51" s="635"/>
      <c r="D51" s="20"/>
      <c r="E51" s="620"/>
      <c r="F51" s="558"/>
      <c r="G51" s="20"/>
      <c r="H51" s="341"/>
      <c r="I51" s="341"/>
      <c r="J51" s="341"/>
      <c r="K51" s="341"/>
      <c r="L51" s="341"/>
      <c r="M51" s="1"/>
      <c r="N51" s="341"/>
      <c r="O51" s="341"/>
      <c r="P51" s="341"/>
      <c r="Q51" s="341"/>
      <c r="R51" s="1"/>
      <c r="S51" s="1"/>
      <c r="T51" s="1"/>
      <c r="U51" s="1"/>
      <c r="V51" s="1"/>
      <c r="W51" s="1"/>
      <c r="X51" s="617"/>
      <c r="Y51" s="8"/>
      <c r="Z51" s="8"/>
      <c r="AA51" s="8"/>
      <c r="AB51" s="8"/>
      <c r="AC51" s="8"/>
      <c r="AD51" s="8"/>
      <c r="AE51" s="615"/>
      <c r="AF51" s="8"/>
      <c r="AG51" s="2">
        <f>SUM(AH51:AJ51)</f>
        <v>0</v>
      </c>
      <c r="AH51" s="309"/>
      <c r="AI51" s="13"/>
      <c r="AJ51" s="35"/>
      <c r="AK51" s="35"/>
      <c r="AL51" s="614"/>
      <c r="AM51" s="614"/>
      <c r="AN51" s="34"/>
      <c r="AO51" s="35"/>
      <c r="AP51" s="34"/>
      <c r="AQ51" s="305"/>
      <c r="AR51" s="35"/>
      <c r="AS51" s="35"/>
      <c r="AT51" s="35"/>
      <c r="AU51" s="612"/>
      <c r="AV51" s="611"/>
      <c r="AW51" s="610"/>
      <c r="AX51" s="609"/>
      <c r="AY51" s="608"/>
      <c r="AZ51" s="606"/>
      <c r="BA51" s="608"/>
      <c r="BB51" s="560"/>
      <c r="BC51" s="607"/>
      <c r="BD51" s="606"/>
      <c r="BE51" s="605"/>
      <c r="BF51" s="560"/>
      <c r="BG51" s="604"/>
      <c r="BH51" s="555"/>
    </row>
    <row r="52" spans="1:60" ht="17.25" customHeight="1" x14ac:dyDescent="0.3">
      <c r="A52" s="762" t="s">
        <v>86</v>
      </c>
      <c r="B52" s="1973" t="s">
        <v>87</v>
      </c>
      <c r="C52" s="1979"/>
      <c r="D52" s="21">
        <f>SUM(D53:D56)</f>
        <v>387426248.05000001</v>
      </c>
      <c r="E52" s="628">
        <f t="shared" ref="E52:E59" si="54">SUM(G52+Y52+AG52+AN52)</f>
        <v>387426248.04999995</v>
      </c>
      <c r="F52" s="561">
        <f>F53+F54+F55+F56</f>
        <v>368038.69300000003</v>
      </c>
      <c r="G52" s="21">
        <f t="shared" ref="G52:W52" si="55">SUM(G53:G56)</f>
        <v>190671827.13</v>
      </c>
      <c r="H52" s="21">
        <f t="shared" si="55"/>
        <v>0</v>
      </c>
      <c r="I52" s="21">
        <f t="shared" si="55"/>
        <v>18822311.990000002</v>
      </c>
      <c r="J52" s="21">
        <f t="shared" si="55"/>
        <v>16554861.859999999</v>
      </c>
      <c r="K52" s="21">
        <f t="shared" si="55"/>
        <v>11027251.34</v>
      </c>
      <c r="L52" s="21">
        <f t="shared" si="55"/>
        <v>0</v>
      </c>
      <c r="M52" s="21">
        <f t="shared" si="55"/>
        <v>15010400.27</v>
      </c>
      <c r="N52" s="21">
        <f t="shared" si="55"/>
        <v>0</v>
      </c>
      <c r="O52" s="21">
        <f t="shared" si="55"/>
        <v>2123398.34</v>
      </c>
      <c r="P52" s="21">
        <f t="shared" si="55"/>
        <v>22742664.389999997</v>
      </c>
      <c r="Q52" s="21">
        <f t="shared" si="55"/>
        <v>30900703.609999999</v>
      </c>
      <c r="R52" s="21">
        <f t="shared" si="55"/>
        <v>6057139.3700000001</v>
      </c>
      <c r="S52" s="21">
        <f t="shared" si="55"/>
        <v>17095483.899999999</v>
      </c>
      <c r="T52" s="21">
        <f t="shared" si="55"/>
        <v>8738188.2100000009</v>
      </c>
      <c r="U52" s="21">
        <f t="shared" si="55"/>
        <v>11727644.470000001</v>
      </c>
      <c r="V52" s="21">
        <f t="shared" si="55"/>
        <v>25987426.560000002</v>
      </c>
      <c r="W52" s="21">
        <f t="shared" si="55"/>
        <v>3884352.8200000003</v>
      </c>
      <c r="X52" s="350">
        <f>+X53+X54+X55+X56</f>
        <v>181750.535</v>
      </c>
      <c r="Y52" s="2">
        <f t="shared" ref="Y52:AD52" si="56">SUM(Y53:Y57)</f>
        <v>77909283.379999995</v>
      </c>
      <c r="Z52" s="2">
        <f t="shared" si="56"/>
        <v>8281980.1299999999</v>
      </c>
      <c r="AA52" s="2">
        <f t="shared" si="56"/>
        <v>9906317.0600000005</v>
      </c>
      <c r="AB52" s="2">
        <f t="shared" si="56"/>
        <v>24073167.789999999</v>
      </c>
      <c r="AC52" s="2">
        <f t="shared" si="56"/>
        <v>24363405.93</v>
      </c>
      <c r="AD52" s="2">
        <f t="shared" si="56"/>
        <v>11284412.470000001</v>
      </c>
      <c r="AE52" s="615">
        <f>X52/$X$7*100</f>
        <v>3.5650302793145987</v>
      </c>
      <c r="AF52" s="10">
        <f>+AF53+AF54+AF55+AF56</f>
        <v>66251.095000000001</v>
      </c>
      <c r="AG52" s="2">
        <f>SUM(AG53:AG56)</f>
        <v>51929421.149999999</v>
      </c>
      <c r="AH52" s="315">
        <f>SUM(AH53:AH57)</f>
        <v>5955599.0300000003</v>
      </c>
      <c r="AI52" s="2">
        <f>SUM(AI53:AI57)</f>
        <v>21210086.66</v>
      </c>
      <c r="AJ52" s="33">
        <f>SUM(AJ53:AJ56)</f>
        <v>10117203.1</v>
      </c>
      <c r="AK52" s="33">
        <f>SUM(AK53:AK56)</f>
        <v>14646532.359999999</v>
      </c>
      <c r="AL52" s="623">
        <f>(AF52/AF7)*100</f>
        <v>4.5759350688294766</v>
      </c>
      <c r="AM52" s="623">
        <f>+AM53+AM54+AM55+AM56</f>
        <v>47033.572</v>
      </c>
      <c r="AN52" s="34">
        <f t="shared" ref="AN52:AU52" si="57">SUM(AN53:AN56)</f>
        <v>66915716.390000001</v>
      </c>
      <c r="AO52" s="35">
        <f t="shared" si="57"/>
        <v>35168365.609999999</v>
      </c>
      <c r="AP52" s="34">
        <f t="shared" si="57"/>
        <v>31747350.780000005</v>
      </c>
      <c r="AQ52" s="305">
        <f t="shared" si="57"/>
        <v>9934377.2800000012</v>
      </c>
      <c r="AR52" s="35">
        <f t="shared" si="57"/>
        <v>6740816.8300000001</v>
      </c>
      <c r="AS52" s="35">
        <f t="shared" si="57"/>
        <v>5115549.9700000007</v>
      </c>
      <c r="AT52" s="35">
        <f t="shared" si="57"/>
        <v>9956606.6999999993</v>
      </c>
      <c r="AU52" s="622">
        <f t="shared" si="57"/>
        <v>387426248.05000001</v>
      </c>
      <c r="AV52" s="611">
        <f>AM52/$AM$7</f>
        <v>4.1001260488671551E-3</v>
      </c>
      <c r="AW52" s="621">
        <f>+AW53+AW54+AW55+AW56</f>
        <v>60029.826000000001</v>
      </c>
      <c r="AX52" s="609">
        <f>AW52/$AW$7</f>
        <v>1.1608043987760691E-3</v>
      </c>
      <c r="AY52" s="608">
        <f>+F52/$F$7</f>
        <v>5.6564478474107251E-3</v>
      </c>
      <c r="AZ52" s="727">
        <f>AZ53+AZ54+AZ55+AZ56</f>
        <v>341175.08064</v>
      </c>
      <c r="BA52" s="608">
        <f>+AZ52/$AZ$7</f>
        <v>9.34124862270614E-3</v>
      </c>
      <c r="BB52" s="560">
        <f>+F52-AZ52</f>
        <v>26863.612360000028</v>
      </c>
      <c r="BC52" s="607">
        <f>+BB52/AZ52</f>
        <v>7.8738494938163109E-2</v>
      </c>
      <c r="BD52" s="727">
        <f>BD53+BD54+BD55+BD56</f>
        <v>301211.28899999999</v>
      </c>
      <c r="BE52" s="605">
        <f t="shared" ref="BE52:BE63" si="58">+BD52/$BD$7</f>
        <v>6.9376992852371719E-3</v>
      </c>
      <c r="BF52" s="560">
        <f>AZ52-BD52</f>
        <v>39963.79164000001</v>
      </c>
      <c r="BG52" s="604">
        <f>+BF52/BD52</f>
        <v>0.13267693841315492</v>
      </c>
      <c r="BH52" s="555"/>
    </row>
    <row r="53" spans="1:60" ht="15.75" customHeight="1" x14ac:dyDescent="0.3">
      <c r="A53" s="559" t="s">
        <v>88</v>
      </c>
      <c r="B53" s="1967" t="s">
        <v>89</v>
      </c>
      <c r="C53" s="1968"/>
      <c r="D53" s="20">
        <f>+G53+Y53+AG53+AN53</f>
        <v>142030935.37</v>
      </c>
      <c r="E53" s="620">
        <f t="shared" si="54"/>
        <v>142030935.37</v>
      </c>
      <c r="F53" s="558">
        <f>137675701/1000</f>
        <v>137675.701</v>
      </c>
      <c r="G53" s="20">
        <f>SUM(H53:W53)</f>
        <v>69907197.430000007</v>
      </c>
      <c r="H53" s="375"/>
      <c r="I53" s="375">
        <f>6900579.36</f>
        <v>6900579.3600000003</v>
      </c>
      <c r="J53" s="375">
        <f>6003045.41+66248.21</f>
        <v>6069293.6200000001</v>
      </c>
      <c r="K53" s="375">
        <f>4042777.69</f>
        <v>4042777.69</v>
      </c>
      <c r="L53" s="341">
        <v>0</v>
      </c>
      <c r="M53" s="1">
        <f>5306267.76+196800</f>
        <v>5503067.7599999998</v>
      </c>
      <c r="N53" s="375"/>
      <c r="O53" s="375">
        <f>778473.91</f>
        <v>778473.91</v>
      </c>
      <c r="P53" s="341">
        <f>8337847.16</f>
        <v>8337847.1600000001</v>
      </c>
      <c r="Q53" s="375">
        <f>11002165.62+326557.32</f>
        <v>11328722.939999999</v>
      </c>
      <c r="R53" s="1">
        <f>1643080.18+577570.02</f>
        <v>2220650.2000000002</v>
      </c>
      <c r="S53" s="1">
        <f>5687038.55+580456.29</f>
        <v>6267494.8399999999</v>
      </c>
      <c r="T53" s="1">
        <f>3010434.42+196800</f>
        <v>3207234.42</v>
      </c>
      <c r="U53" s="1">
        <f>4267832.85+31720.86</f>
        <v>4299553.71</v>
      </c>
      <c r="V53" s="1">
        <f>8440987.85+1086444.24</f>
        <v>9527432.0899999999</v>
      </c>
      <c r="W53" s="1">
        <f>1254172.92+169896.81</f>
        <v>1424069.73</v>
      </c>
      <c r="X53" s="617">
        <f>+'[2]Egresos -2015 '!$Z$53</f>
        <v>68882.316000000006</v>
      </c>
      <c r="Y53" s="8">
        <f>SUM(Z53:AD53)</f>
        <v>28562866.939999998</v>
      </c>
      <c r="Z53" s="8">
        <f>2396911.42+639403.2</f>
        <v>3036314.62</v>
      </c>
      <c r="AA53" s="8">
        <f>3631824.14</f>
        <v>3631824.14</v>
      </c>
      <c r="AB53" s="8">
        <f>8825632.31</f>
        <v>8825632.3100000005</v>
      </c>
      <c r="AC53" s="8">
        <f>8932038.54</f>
        <v>8932038.5399999991</v>
      </c>
      <c r="AD53" s="8">
        <f>4137057.33</f>
        <v>4137057.33</v>
      </c>
      <c r="AE53" s="642">
        <f>X53/$X$7*100</f>
        <v>1.3511241782551917</v>
      </c>
      <c r="AF53" s="8">
        <f>+'[2]Egresos -2015 '!$AG$53</f>
        <v>24843.031999999999</v>
      </c>
      <c r="AG53" s="2">
        <f>SUM(AH53:AK53)</f>
        <v>19028432.509999998</v>
      </c>
      <c r="AH53" s="309">
        <f>1599222.99+584200.8</f>
        <v>2183423.79</v>
      </c>
      <c r="AI53" s="13">
        <f>7775978.12</f>
        <v>7775978.1200000001</v>
      </c>
      <c r="AJ53" s="35">
        <f>3699363</f>
        <v>3699363</v>
      </c>
      <c r="AK53" s="35">
        <f>5369667.6</f>
        <v>5369667.5999999996</v>
      </c>
      <c r="AL53" s="614">
        <f>(AF53/AF7)*100</f>
        <v>1.7158976971603697</v>
      </c>
      <c r="AM53" s="614">
        <f>+'[2]Egresos -2015 '!$AM$53</f>
        <v>17594.294999999998</v>
      </c>
      <c r="AN53" s="30">
        <f>SUM(AO53+AP53)</f>
        <v>24532438.490000002</v>
      </c>
      <c r="AO53" s="35">
        <f>(4376044.24+8517276.08)</f>
        <v>12893320.32</v>
      </c>
      <c r="AP53" s="30">
        <f>SUM(AQ53:AT53)</f>
        <v>11639118.170000002</v>
      </c>
      <c r="AQ53" s="305">
        <f>2251283.9+1390827.59</f>
        <v>3642111.49</v>
      </c>
      <c r="AR53" s="35">
        <f>2471297.97</f>
        <v>2471297.9700000002</v>
      </c>
      <c r="AS53" s="35">
        <f>1875447.53</f>
        <v>1875447.53</v>
      </c>
      <c r="AT53" s="35">
        <f>3650261.18</f>
        <v>3650261.18</v>
      </c>
      <c r="AU53" s="612">
        <f>SUM(AN53+AG53+Y53+G53)</f>
        <v>142030935.37</v>
      </c>
      <c r="AV53" s="611">
        <f>AM53/$AM$7</f>
        <v>1.5337730938435451E-3</v>
      </c>
      <c r="AW53" s="610">
        <f>+'[2]Egresos -2015 '!$AO$53</f>
        <v>22672.894</v>
      </c>
      <c r="AX53" s="609">
        <f>AW53/$AW$7</f>
        <v>4.3842864192515809E-4</v>
      </c>
      <c r="AY53" s="608">
        <f>+F53/$F$7</f>
        <v>2.1159607328629783E-3</v>
      </c>
      <c r="AZ53" s="606">
        <f>+((64012379.67/6))*12/1000</f>
        <v>128024.75934</v>
      </c>
      <c r="BA53" s="608">
        <f>+AZ53/$AZ$7</f>
        <v>3.5052709729376679E-3</v>
      </c>
      <c r="BB53" s="560">
        <f>+F53-AZ53</f>
        <v>9650.9416599999968</v>
      </c>
      <c r="BC53" s="607">
        <f>+BB53/AZ53</f>
        <v>7.5383400130982797E-2</v>
      </c>
      <c r="BD53" s="606">
        <f>113167.645</f>
        <v>113167.645</v>
      </c>
      <c r="BE53" s="605">
        <f t="shared" si="58"/>
        <v>2.6065526708345717E-3</v>
      </c>
      <c r="BF53" s="560">
        <f>AZ53-BD53</f>
        <v>14857.11434</v>
      </c>
      <c r="BG53" s="604">
        <f>+BF53/BD53</f>
        <v>0.13128411693996106</v>
      </c>
      <c r="BH53" s="555"/>
    </row>
    <row r="54" spans="1:60" ht="15.75" customHeight="1" x14ac:dyDescent="0.3">
      <c r="A54" s="559" t="s">
        <v>474</v>
      </c>
      <c r="B54" s="634" t="s">
        <v>475</v>
      </c>
      <c r="C54" s="635"/>
      <c r="D54" s="20">
        <f>+G54+Y54+AG54+AN54</f>
        <v>14450702.300000001</v>
      </c>
      <c r="E54" s="620">
        <f t="shared" si="54"/>
        <v>14450702.300000001</v>
      </c>
      <c r="F54" s="558">
        <f>40652276/1000</f>
        <v>40652.275999999998</v>
      </c>
      <c r="G54" s="20">
        <f>SUM(H54:W54)</f>
        <v>7094389.96</v>
      </c>
      <c r="H54" s="375"/>
      <c r="I54" s="375">
        <f>701278.39</f>
        <v>701278.39</v>
      </c>
      <c r="J54" s="375">
        <f>610065.59+6732.54</f>
        <v>616798.13</v>
      </c>
      <c r="K54" s="375">
        <f>410851.39</f>
        <v>410851.39</v>
      </c>
      <c r="L54" s="341">
        <v>0</v>
      </c>
      <c r="M54" s="1">
        <f>539254.85+20000</f>
        <v>559254.85</v>
      </c>
      <c r="N54" s="375"/>
      <c r="O54" s="375">
        <f>79113.2</f>
        <v>79113.2</v>
      </c>
      <c r="P54" s="341">
        <f>847342.19</f>
        <v>847342.19</v>
      </c>
      <c r="Q54" s="375">
        <f>1118106.26+33186.7</f>
        <v>1151292.96</v>
      </c>
      <c r="R54" s="1">
        <f>166979.69+58696.14</f>
        <v>225675.83000000002</v>
      </c>
      <c r="S54" s="1">
        <f>577951.07+58989.46</f>
        <v>636940.52999999991</v>
      </c>
      <c r="T54" s="1">
        <f>305938.46+10000</f>
        <v>315938.46000000002</v>
      </c>
      <c r="U54" s="1">
        <f>433722.85+3223.67</f>
        <v>436946.51999999996</v>
      </c>
      <c r="V54" s="1">
        <f>857823.97+110411</f>
        <v>968234.97</v>
      </c>
      <c r="W54" s="1">
        <f>127456.6+17265.94</f>
        <v>144722.54</v>
      </c>
      <c r="X54" s="617">
        <f>+'[2]Egresos -2015 '!$Z$54</f>
        <v>20339.266</v>
      </c>
      <c r="Y54" s="8">
        <f>SUM(Z54:AD54)</f>
        <v>2902730.38</v>
      </c>
      <c r="Z54" s="8">
        <f>243588.56+64980</f>
        <v>308568.56</v>
      </c>
      <c r="AA54" s="8">
        <f>369087.82</f>
        <v>369087.82</v>
      </c>
      <c r="AB54" s="8">
        <f>896913.85</f>
        <v>896913.85</v>
      </c>
      <c r="AC54" s="8">
        <f>907727.49</f>
        <v>907727.49</v>
      </c>
      <c r="AD54" s="8">
        <f>420432.66</f>
        <v>420432.66</v>
      </c>
      <c r="AE54" s="642">
        <f>X54/$X$7*100</f>
        <v>0.39895397913978037</v>
      </c>
      <c r="AF54" s="8">
        <f>+'[2]Egresos -2015 '!$AG$54</f>
        <v>7335.54</v>
      </c>
      <c r="AG54" s="2">
        <f>SUM(AH54:AK54)</f>
        <v>1960447.9700000002</v>
      </c>
      <c r="AH54" s="309">
        <f>162522.66+59370</f>
        <v>221892.66</v>
      </c>
      <c r="AI54" s="13">
        <f>790241.68</f>
        <v>790241.68</v>
      </c>
      <c r="AJ54" s="35">
        <f>375951.52+26664.18</f>
        <v>402615.7</v>
      </c>
      <c r="AK54" s="35">
        <f>545697.93</f>
        <v>545697.93000000005</v>
      </c>
      <c r="AL54" s="614">
        <f>(AF54/AF7)*100</f>
        <v>0.50666264059184796</v>
      </c>
      <c r="AM54" s="614">
        <f>+'[2]Egresos -2015 '!$AM$54</f>
        <v>5195.1670000000004</v>
      </c>
      <c r="AN54" s="30">
        <f>SUM(AO54+AP54)</f>
        <v>2493133.9900000002</v>
      </c>
      <c r="AO54" s="35">
        <f>(444719.94+865576.84)</f>
        <v>1310296.78</v>
      </c>
      <c r="AP54" s="30">
        <f>SUM(AQ54:AT54)</f>
        <v>1182837.21</v>
      </c>
      <c r="AQ54" s="305">
        <f>228789.01+141344.27</f>
        <v>370133.28</v>
      </c>
      <c r="AR54" s="35">
        <f>251148.17</f>
        <v>251148.17</v>
      </c>
      <c r="AS54" s="35">
        <f>190594.26</f>
        <v>190594.26</v>
      </c>
      <c r="AT54" s="35">
        <f>370961.5</f>
        <v>370961.5</v>
      </c>
      <c r="AU54" s="612">
        <f>SUM(AN54+AG54+Y54+G54)</f>
        <v>14450702.300000001</v>
      </c>
      <c r="AV54" s="611">
        <f>AM54/$AM$7</f>
        <v>4.5288585661567513E-4</v>
      </c>
      <c r="AW54" s="610">
        <f>+'[2]Egresos -2015 '!$AO$54</f>
        <v>6694.7529999999997</v>
      </c>
      <c r="AX54" s="609">
        <f>AW54/$AW$7</f>
        <v>1.2945729229865309E-4</v>
      </c>
      <c r="AY54" s="608">
        <f>+F54/$F$7</f>
        <v>6.2479158698823729E-4</v>
      </c>
      <c r="AZ54" s="606">
        <f>+((18775102.3/6))*12/1000</f>
        <v>37550.204600000005</v>
      </c>
      <c r="BA54" s="608">
        <f>+AZ54/$AZ$7</f>
        <v>1.0281108348947786E-3</v>
      </c>
      <c r="BB54" s="560">
        <f>+F54-AZ54</f>
        <v>3102.0713999999934</v>
      </c>
      <c r="BC54" s="607">
        <f>+BB54/AZ54</f>
        <v>8.2611304866232152E-2</v>
      </c>
      <c r="BD54" s="606">
        <f>33477.272</f>
        <v>33477.271999999997</v>
      </c>
      <c r="BE54" s="605">
        <f t="shared" si="58"/>
        <v>7.7107085460561989E-4</v>
      </c>
      <c r="BF54" s="560">
        <f>AZ54-BD54</f>
        <v>4072.9326000000074</v>
      </c>
      <c r="BG54" s="604">
        <f>+BF54/BD54</f>
        <v>0.12166261934365523</v>
      </c>
      <c r="BH54" s="555"/>
    </row>
    <row r="55" spans="1:60" ht="15.75" customHeight="1" x14ac:dyDescent="0.3">
      <c r="A55" s="559" t="s">
        <v>90</v>
      </c>
      <c r="B55" s="1967" t="s">
        <v>91</v>
      </c>
      <c r="C55" s="1968"/>
      <c r="D55" s="20">
        <f>+G55+Y55+AG55+AN55</f>
        <v>86604228.890000001</v>
      </c>
      <c r="E55" s="620">
        <f t="shared" si="54"/>
        <v>86604228.890000001</v>
      </c>
      <c r="F55" s="558">
        <f>81304551/1000</f>
        <v>81304.551000000007</v>
      </c>
      <c r="G55" s="20">
        <f>SUM(H55:W55)</f>
        <v>42626339.900000006</v>
      </c>
      <c r="H55" s="375"/>
      <c r="I55" s="375">
        <f>4207670.34</f>
        <v>4207670.34</v>
      </c>
      <c r="J55" s="375">
        <f>3660393.54+40395.25</f>
        <v>3700788.79</v>
      </c>
      <c r="K55" s="375">
        <f>2465108.35</f>
        <v>2465108.35</v>
      </c>
      <c r="L55" s="341">
        <v>0</v>
      </c>
      <c r="M55" s="1">
        <f>3235529.12+120000</f>
        <v>3355529.12</v>
      </c>
      <c r="N55" s="375"/>
      <c r="O55" s="375">
        <f>474679.21</f>
        <v>474679.21</v>
      </c>
      <c r="P55" s="341">
        <f>5084053.14</f>
        <v>5084053.1399999997</v>
      </c>
      <c r="Q55" s="375">
        <f>6708637.57+199120.32</f>
        <v>6907757.8900000006</v>
      </c>
      <c r="R55" s="1">
        <f>1001878.16+352176.84</f>
        <v>1354055</v>
      </c>
      <c r="S55" s="1">
        <f>3467706.44+353936.76</f>
        <v>3821643.2</v>
      </c>
      <c r="T55" s="1">
        <f>1835630.75+120000</f>
        <v>1955630.75</v>
      </c>
      <c r="U55" s="1">
        <f>2602337.1+19341.99</f>
        <v>2621679.0900000003</v>
      </c>
      <c r="V55" s="1">
        <f>5146943.81+662466</f>
        <v>5809409.8099999996</v>
      </c>
      <c r="W55" s="1">
        <f>764739.59+103595.62</f>
        <v>868335.21</v>
      </c>
      <c r="X55" s="617">
        <f>+'[2]Egresos -2015 '!$Z$55</f>
        <v>40678.535000000003</v>
      </c>
      <c r="Y55" s="8">
        <f>SUM(Z55:AD55)</f>
        <v>17416382.27</v>
      </c>
      <c r="Z55" s="8">
        <f>1461531.36+389880</f>
        <v>1851411.36</v>
      </c>
      <c r="AA55" s="8">
        <f>2214526.91</f>
        <v>2214526.91</v>
      </c>
      <c r="AB55" s="8">
        <f>5381483.11</f>
        <v>5381483.1100000003</v>
      </c>
      <c r="AC55" s="8">
        <f>5446364.96</f>
        <v>5446364.96</v>
      </c>
      <c r="AD55" s="8">
        <f>2522595.93</f>
        <v>2522595.9300000002</v>
      </c>
      <c r="AE55" s="642">
        <f>X55/$X$7*100</f>
        <v>0.79790801712445403</v>
      </c>
      <c r="AF55" s="8">
        <f>+'[2]Egresos -2015 '!$AG$55</f>
        <v>14671.081</v>
      </c>
      <c r="AG55" s="2">
        <f>SUM(AH55:AK55)</f>
        <v>11602702.75</v>
      </c>
      <c r="AH55" s="322">
        <f>975135.97+356220</f>
        <v>1331355.97</v>
      </c>
      <c r="AI55" s="323">
        <f>4741450.07</f>
        <v>4741450.07</v>
      </c>
      <c r="AJ55" s="35">
        <f>2255709.15</f>
        <v>2255709.15</v>
      </c>
      <c r="AK55" s="35">
        <f>3274187.56</f>
        <v>3274187.56</v>
      </c>
      <c r="AL55" s="614">
        <f>(AF55/AF7)*100</f>
        <v>1.0133253502532724</v>
      </c>
      <c r="AM55" s="614">
        <f>+'[2]Egresos -2015 '!$AM$55</f>
        <v>10390.333000000001</v>
      </c>
      <c r="AN55" s="30">
        <f>SUM(AO55+AP55)</f>
        <v>14958803.970000001</v>
      </c>
      <c r="AO55" s="35">
        <f>(2668319.66+5193461.03)</f>
        <v>7861780.6900000004</v>
      </c>
      <c r="AP55" s="30">
        <f>SUM(AQ55:AT55)</f>
        <v>7097023.2800000003</v>
      </c>
      <c r="AQ55" s="305">
        <f>1372734.09+848065.6</f>
        <v>2220799.69</v>
      </c>
      <c r="AR55" s="35">
        <f>1506889.01</f>
        <v>1506889.01</v>
      </c>
      <c r="AS55" s="35">
        <f>1143565.57</f>
        <v>1143565.57</v>
      </c>
      <c r="AT55" s="35">
        <f>2225769.01</f>
        <v>2225769.0099999998</v>
      </c>
      <c r="AU55" s="612">
        <f>SUM(AN55+AG55+Y55+G55)</f>
        <v>86604228.890000001</v>
      </c>
      <c r="AV55" s="611">
        <f>AM55/$AM$7</f>
        <v>9.0577162605689435E-4</v>
      </c>
      <c r="AW55" s="610">
        <f>+'[2]Egresos -2015 '!$AO$55</f>
        <v>13389.504999999999</v>
      </c>
      <c r="AX55" s="609">
        <f>AW55/$AW$7</f>
        <v>2.5891456526017868E-4</v>
      </c>
      <c r="AY55" s="608">
        <f>+F55/$F$7</f>
        <v>1.2495831586073086E-3</v>
      </c>
      <c r="AZ55" s="606">
        <f>+((37699821.7/6))*12/1000</f>
        <v>75399.643400000001</v>
      </c>
      <c r="BA55" s="608">
        <f>+AZ55/$AZ$7</f>
        <v>2.0644145924771495E-3</v>
      </c>
      <c r="BB55" s="560">
        <f>+F55-AZ55</f>
        <v>5904.9076000000059</v>
      </c>
      <c r="BC55" s="607">
        <f>+BB55/AZ55</f>
        <v>7.8314794788538825E-2</v>
      </c>
      <c r="BD55" s="606">
        <f>67029.175</f>
        <v>67029.175000000003</v>
      </c>
      <c r="BE55" s="605">
        <f t="shared" si="58"/>
        <v>1.5438606601744509E-3</v>
      </c>
      <c r="BF55" s="560">
        <f>AZ55-BD55</f>
        <v>8370.4683999999979</v>
      </c>
      <c r="BG55" s="604">
        <f>+BF55/BD55</f>
        <v>0.12487798633953047</v>
      </c>
      <c r="BH55" s="555"/>
    </row>
    <row r="56" spans="1:60" s="555" customFormat="1" ht="15.75" customHeight="1" x14ac:dyDescent="0.3">
      <c r="A56" s="645" t="s">
        <v>92</v>
      </c>
      <c r="B56" s="1967" t="s">
        <v>93</v>
      </c>
      <c r="C56" s="1968"/>
      <c r="D56" s="20">
        <f>+G56+Y56+AG56+AN56</f>
        <v>144340381.49000001</v>
      </c>
      <c r="E56" s="620">
        <f t="shared" si="54"/>
        <v>144340381.49000001</v>
      </c>
      <c r="F56" s="558">
        <f>108406165/1000</f>
        <v>108406.16499999999</v>
      </c>
      <c r="G56" s="20">
        <f>SUM(H56:W56)</f>
        <v>71043899.840000004</v>
      </c>
      <c r="H56" s="690"/>
      <c r="I56" s="341">
        <f>1402556.78+5610227.12</f>
        <v>7012783.9000000004</v>
      </c>
      <c r="J56" s="341">
        <f>1220131.18+4880524.72+13465.08+53860.34</f>
        <v>6167981.3199999994</v>
      </c>
      <c r="K56" s="341">
        <f>821702.78+3286811.13</f>
        <v>4108513.91</v>
      </c>
      <c r="L56" s="341">
        <v>0</v>
      </c>
      <c r="M56" s="1">
        <f>1078509.71+4314038.83+40000+160000</f>
        <v>5592548.54</v>
      </c>
      <c r="N56" s="341"/>
      <c r="O56" s="341">
        <f>158226.4+632905.62</f>
        <v>791132.02</v>
      </c>
      <c r="P56" s="341">
        <f>1694684.38+6778737.52</f>
        <v>8473421.8999999985</v>
      </c>
      <c r="Q56" s="341">
        <f>2236212.52+8944850.1+66373.44+265493.76</f>
        <v>11512929.819999998</v>
      </c>
      <c r="R56" s="1">
        <f>333959.39+1335837.55+117392.28+469569.12</f>
        <v>2256758.34</v>
      </c>
      <c r="S56" s="1">
        <f>1155902.15+4623608.58+117978.92+471915.68</f>
        <v>6369405.3300000001</v>
      </c>
      <c r="T56" s="1">
        <f>2447507.66+611876.92+40000+160000</f>
        <v>3259384.58</v>
      </c>
      <c r="U56" s="1">
        <f>867445.7+3469782.8+6447.33+25789.32</f>
        <v>4369465.1500000004</v>
      </c>
      <c r="V56" s="1">
        <f>1715647.94+6862591.75+220822+883288</f>
        <v>9682349.6899999995</v>
      </c>
      <c r="W56" s="1">
        <f>254913.2+1019652.78+34531.87+138127.49</f>
        <v>1447225.34</v>
      </c>
      <c r="X56" s="617">
        <f>+'[2]Egresos -2015 '!$Z$56</f>
        <v>51850.417999999998</v>
      </c>
      <c r="Y56" s="8">
        <f>SUM(Z56:AD56)</f>
        <v>29027303.789999999</v>
      </c>
      <c r="Z56" s="8">
        <f>487177.12+1948708.47+129960+519840</f>
        <v>3085685.59</v>
      </c>
      <c r="AA56" s="8">
        <f>738175.64+2952702.55</f>
        <v>3690878.19</v>
      </c>
      <c r="AB56" s="8">
        <f>1793827.7+7175310.82</f>
        <v>8969138.5199999996</v>
      </c>
      <c r="AC56" s="8">
        <f>1815454.99+7261819.95</f>
        <v>9077274.9399999995</v>
      </c>
      <c r="AD56" s="8">
        <f>840865.31+3363461.24</f>
        <v>4204326.5500000007</v>
      </c>
      <c r="AE56" s="642">
        <f>X56/$X$7*100</f>
        <v>1.0170441047951726</v>
      </c>
      <c r="AF56" s="8">
        <f>+'[2]Egresos -2015 '!$AG$56</f>
        <v>19401.441999999999</v>
      </c>
      <c r="AG56" s="2">
        <f>SUM(AH56:AK56)</f>
        <v>19337837.920000002</v>
      </c>
      <c r="AH56" s="309">
        <f>325045.32+1300181.29+118740+474960</f>
        <v>2218926.6100000003</v>
      </c>
      <c r="AI56" s="13">
        <f>1580483.36+6321933.43</f>
        <v>7902416.79</v>
      </c>
      <c r="AJ56" s="35">
        <f>751903.05+3007612.2</f>
        <v>3759515.25</v>
      </c>
      <c r="AK56" s="35">
        <f>1091395.85+4365583.42</f>
        <v>5456979.2699999996</v>
      </c>
      <c r="AL56" s="614">
        <f>(AF56/AF7)*100</f>
        <v>1.3400493808239864</v>
      </c>
      <c r="AM56" s="614">
        <f>+'[2]Egresos -2015 '!$AM$56</f>
        <v>13853.777</v>
      </c>
      <c r="AN56" s="30">
        <f>SUM(AO56+AP56)</f>
        <v>24931339.940000001</v>
      </c>
      <c r="AO56" s="35">
        <f>(889439.89+1731153.68+3557759.55+6924614.7)</f>
        <v>13102967.82</v>
      </c>
      <c r="AP56" s="30">
        <f>SUM(AQ56:AT56)</f>
        <v>11828372.120000001</v>
      </c>
      <c r="AQ56" s="305">
        <f>457578.03+1830312.12+282688.53+1130754.14</f>
        <v>3701332.8200000003</v>
      </c>
      <c r="AR56" s="35">
        <f>502296.34+2009185.34</f>
        <v>2511481.6800000002</v>
      </c>
      <c r="AS56" s="35">
        <f>(381188.52+1524754.09)</f>
        <v>1905942.61</v>
      </c>
      <c r="AT56" s="35">
        <f>(741923+2967692.01)</f>
        <v>3709615.01</v>
      </c>
      <c r="AU56" s="612">
        <f>SUM(AN56+AG56+Y56+G56)</f>
        <v>144340381.49000001</v>
      </c>
      <c r="AV56" s="611">
        <f>AM56/$AM$7</f>
        <v>1.2076954723510404E-3</v>
      </c>
      <c r="AW56" s="610">
        <f>+'[2]Egresos -2015 '!$AO$56</f>
        <v>17272.673999999999</v>
      </c>
      <c r="AX56" s="609">
        <f>AW56/$AW$7</f>
        <v>3.3400389929207926E-4</v>
      </c>
      <c r="AY56" s="608">
        <f>+F56/$F$7</f>
        <v>1.666112368952201E-3</v>
      </c>
      <c r="AZ56" s="606">
        <f>+((50100236.65/6))*12/1000</f>
        <v>100200.4733</v>
      </c>
      <c r="BA56" s="608">
        <f>+AZ56/$AZ$7</f>
        <v>2.7434522223965447E-3</v>
      </c>
      <c r="BB56" s="560">
        <f>+F56-AZ56</f>
        <v>8205.6916999999958</v>
      </c>
      <c r="BC56" s="607">
        <f>+BB56/AZ56</f>
        <v>8.1892743913815388E-2</v>
      </c>
      <c r="BD56" s="606">
        <f>87537.197</f>
        <v>87537.197</v>
      </c>
      <c r="BE56" s="605">
        <f t="shared" si="58"/>
        <v>2.0162150996225294E-3</v>
      </c>
      <c r="BF56" s="560">
        <f>AZ56-BD56</f>
        <v>12663.276299999998</v>
      </c>
      <c r="BG56" s="604">
        <f>+BF56/BD56</f>
        <v>0.14466166080232154</v>
      </c>
    </row>
    <row r="57" spans="1:60" ht="15.75" customHeight="1" x14ac:dyDescent="0.3">
      <c r="A57" s="686"/>
      <c r="B57" s="634"/>
      <c r="C57" s="635"/>
      <c r="D57" s="20"/>
      <c r="E57" s="620">
        <f t="shared" si="54"/>
        <v>0</v>
      </c>
      <c r="F57" s="558"/>
      <c r="G57" s="20"/>
      <c r="H57" s="690"/>
      <c r="I57" s="690"/>
      <c r="J57" s="690"/>
      <c r="K57" s="690"/>
      <c r="L57" s="341"/>
      <c r="M57" s="1"/>
      <c r="N57" s="690"/>
      <c r="O57" s="690"/>
      <c r="P57" s="341"/>
      <c r="Q57" s="690"/>
      <c r="R57" s="1"/>
      <c r="S57" s="1"/>
      <c r="T57" s="1"/>
      <c r="U57" s="1"/>
      <c r="V57" s="1"/>
      <c r="W57" s="1"/>
      <c r="X57" s="617"/>
      <c r="Y57" s="8"/>
      <c r="Z57" s="8"/>
      <c r="AA57" s="8"/>
      <c r="AB57" s="8"/>
      <c r="AC57" s="8"/>
      <c r="AD57" s="8"/>
      <c r="AE57" s="615"/>
      <c r="AF57" s="8"/>
      <c r="AG57" s="2">
        <f>SUM(AH57:AJ57)</f>
        <v>0</v>
      </c>
      <c r="AH57" s="309"/>
      <c r="AI57" s="13"/>
      <c r="AJ57" s="35"/>
      <c r="AK57" s="35"/>
      <c r="AL57" s="614"/>
      <c r="AM57" s="614"/>
      <c r="AN57" s="34"/>
      <c r="AO57" s="35"/>
      <c r="AP57" s="34"/>
      <c r="AQ57" s="305"/>
      <c r="AR57" s="35"/>
      <c r="AS57" s="35"/>
      <c r="AT57" s="35"/>
      <c r="AU57" s="612"/>
      <c r="AV57" s="611"/>
      <c r="AW57" s="610"/>
      <c r="AX57" s="609"/>
      <c r="AY57" s="608"/>
      <c r="AZ57" s="606"/>
      <c r="BA57" s="608"/>
      <c r="BB57" s="560"/>
      <c r="BC57" s="607"/>
      <c r="BD57" s="606"/>
      <c r="BE57" s="605">
        <f t="shared" si="58"/>
        <v>0</v>
      </c>
      <c r="BF57" s="560"/>
      <c r="BG57" s="604"/>
      <c r="BH57" s="555"/>
    </row>
    <row r="58" spans="1:60" hidden="1" x14ac:dyDescent="0.3">
      <c r="A58" s="41" t="s">
        <v>371</v>
      </c>
      <c r="B58" s="742" t="s">
        <v>94</v>
      </c>
      <c r="C58" s="635"/>
      <c r="D58" s="21">
        <f>SUM(D59)</f>
        <v>0</v>
      </c>
      <c r="E58" s="628">
        <f t="shared" si="54"/>
        <v>0</v>
      </c>
      <c r="F58" s="558">
        <f>+X58+AF58+AM58+AW58</f>
        <v>0</v>
      </c>
      <c r="G58" s="21">
        <f>+G59</f>
        <v>0</v>
      </c>
      <c r="H58" s="341"/>
      <c r="I58" s="341"/>
      <c r="J58" s="341"/>
      <c r="K58" s="341"/>
      <c r="L58" s="341"/>
      <c r="M58" s="625"/>
      <c r="N58" s="341"/>
      <c r="O58" s="341"/>
      <c r="P58" s="341"/>
      <c r="Q58" s="341"/>
      <c r="R58" s="625">
        <f t="shared" ref="R58:W58" si="59">+R59</f>
        <v>0</v>
      </c>
      <c r="S58" s="625">
        <f t="shared" si="59"/>
        <v>0</v>
      </c>
      <c r="T58" s="625">
        <f t="shared" si="59"/>
        <v>0</v>
      </c>
      <c r="U58" s="625">
        <f t="shared" si="59"/>
        <v>0</v>
      </c>
      <c r="V58" s="625">
        <f t="shared" si="59"/>
        <v>0</v>
      </c>
      <c r="W58" s="625">
        <f t="shared" si="59"/>
        <v>0</v>
      </c>
      <c r="X58" s="350">
        <f>G58/1000</f>
        <v>0</v>
      </c>
      <c r="Y58" s="8"/>
      <c r="Z58" s="8"/>
      <c r="AA58" s="8"/>
      <c r="AB58" s="8"/>
      <c r="AC58" s="8"/>
      <c r="AD58" s="8"/>
      <c r="AE58" s="615"/>
      <c r="AF58" s="10">
        <f>Y58/1000</f>
        <v>0</v>
      </c>
      <c r="AG58" s="2">
        <f>SUM(AH58:AJ58)</f>
        <v>0</v>
      </c>
      <c r="AH58" s="309"/>
      <c r="AI58" s="13"/>
      <c r="AJ58" s="14"/>
      <c r="AK58" s="14"/>
      <c r="AL58" s="614"/>
      <c r="AM58" s="623">
        <f>AG58/1000</f>
        <v>0</v>
      </c>
      <c r="AN58" s="124"/>
      <c r="AO58" s="13">
        <f t="shared" ref="AO58:AT58" si="60">+AO59</f>
        <v>0</v>
      </c>
      <c r="AP58" s="115">
        <f t="shared" si="60"/>
        <v>0</v>
      </c>
      <c r="AQ58" s="309">
        <f t="shared" si="60"/>
        <v>0</v>
      </c>
      <c r="AR58" s="13">
        <f t="shared" si="60"/>
        <v>0</v>
      </c>
      <c r="AS58" s="13">
        <f t="shared" si="60"/>
        <v>0</v>
      </c>
      <c r="AT58" s="13">
        <f t="shared" si="60"/>
        <v>0</v>
      </c>
      <c r="AU58" s="568"/>
      <c r="AV58" s="611"/>
      <c r="AW58" s="610"/>
      <c r="AX58" s="609"/>
      <c r="AY58" s="608">
        <f t="shared" ref="AY58:AY63" si="61">+F58/$F$7</f>
        <v>0</v>
      </c>
      <c r="AZ58" s="606">
        <f>+((629427716.75/7))/12/1000</f>
        <v>7493.1871041666673</v>
      </c>
      <c r="BA58" s="608">
        <f t="shared" ref="BA58:BA63" si="62">+AZ58/$AZ$7</f>
        <v>2.0516071568056328E-4</v>
      </c>
      <c r="BB58" s="560">
        <f t="shared" ref="BB58:BB63" si="63">+F58-AZ58</f>
        <v>-7493.1871041666673</v>
      </c>
      <c r="BC58" s="607">
        <f t="shared" ref="BC58:BC63" si="64">+BB58/AZ58</f>
        <v>-1</v>
      </c>
      <c r="BD58" s="606"/>
      <c r="BE58" s="605">
        <f t="shared" si="58"/>
        <v>0</v>
      </c>
      <c r="BF58" s="560">
        <f t="shared" ref="BF58:BF63" si="65">AZ58-BD58</f>
        <v>7493.1871041666673</v>
      </c>
      <c r="BG58" s="604" t="e">
        <f t="shared" ref="BG58:BG63" si="66">+BF58/BD58</f>
        <v>#DIV/0!</v>
      </c>
      <c r="BH58" s="555"/>
    </row>
    <row r="59" spans="1:60" hidden="1" x14ac:dyDescent="0.3">
      <c r="A59" s="761" t="s">
        <v>95</v>
      </c>
      <c r="B59" s="760" t="s">
        <v>96</v>
      </c>
      <c r="C59" s="759"/>
      <c r="D59" s="125">
        <f>+G59+Y59+AG59+AN59</f>
        <v>0</v>
      </c>
      <c r="E59" s="751">
        <f t="shared" si="54"/>
        <v>0</v>
      </c>
      <c r="F59" s="558">
        <f>+X59+AF59+AM59+AW59</f>
        <v>0</v>
      </c>
      <c r="G59" s="125">
        <f>SUM(H59:W59)</f>
        <v>0</v>
      </c>
      <c r="H59" s="359"/>
      <c r="I59" s="359"/>
      <c r="J59" s="359"/>
      <c r="K59" s="359"/>
      <c r="L59" s="359"/>
      <c r="M59" s="360"/>
      <c r="N59" s="359"/>
      <c r="O59" s="359"/>
      <c r="P59" s="359"/>
      <c r="Q59" s="359"/>
      <c r="R59" s="360"/>
      <c r="S59" s="360"/>
      <c r="T59" s="360"/>
      <c r="U59" s="360"/>
      <c r="V59" s="360"/>
      <c r="W59" s="360">
        <v>0</v>
      </c>
      <c r="X59" s="617">
        <f>G59/1000</f>
        <v>0</v>
      </c>
      <c r="Y59" s="660">
        <f>SUM(Z59:AD59)</f>
        <v>0</v>
      </c>
      <c r="Z59" s="647"/>
      <c r="AA59" s="647"/>
      <c r="AB59" s="647"/>
      <c r="AC59" s="647"/>
      <c r="AD59" s="647"/>
      <c r="AE59" s="615"/>
      <c r="AF59" s="8">
        <f>Y59/1000</f>
        <v>0</v>
      </c>
      <c r="AG59" s="361">
        <f>SUM(AH59:AK59)</f>
        <v>0</v>
      </c>
      <c r="AH59" s="758">
        <v>0</v>
      </c>
      <c r="AI59" s="361">
        <v>0</v>
      </c>
      <c r="AJ59" s="311"/>
      <c r="AK59" s="311"/>
      <c r="AL59" s="614"/>
      <c r="AM59" s="614">
        <f>AG59/1000</f>
        <v>0</v>
      </c>
      <c r="AN59" s="757"/>
      <c r="AO59" s="311"/>
      <c r="AP59" s="756"/>
      <c r="AQ59" s="310"/>
      <c r="AR59" s="311"/>
      <c r="AS59" s="311"/>
      <c r="AT59" s="311"/>
      <c r="AU59" s="568"/>
      <c r="AV59" s="611"/>
      <c r="AW59" s="610"/>
      <c r="AX59" s="609"/>
      <c r="AY59" s="608">
        <f t="shared" si="61"/>
        <v>0</v>
      </c>
      <c r="AZ59" s="606">
        <f>+((629427716.75/7))/12/1000</f>
        <v>7493.1871041666673</v>
      </c>
      <c r="BA59" s="608">
        <f t="shared" si="62"/>
        <v>2.0516071568056328E-4</v>
      </c>
      <c r="BB59" s="560">
        <f t="shared" si="63"/>
        <v>-7493.1871041666673</v>
      </c>
      <c r="BC59" s="607">
        <f t="shared" si="64"/>
        <v>-1</v>
      </c>
      <c r="BD59" s="606"/>
      <c r="BE59" s="605">
        <f t="shared" si="58"/>
        <v>0</v>
      </c>
      <c r="BF59" s="560">
        <f t="shared" si="65"/>
        <v>7493.1871041666673</v>
      </c>
      <c r="BG59" s="604" t="e">
        <f t="shared" si="66"/>
        <v>#DIV/0!</v>
      </c>
      <c r="BH59" s="555"/>
    </row>
    <row r="60" spans="1:60" ht="15.75" hidden="1" customHeight="1" x14ac:dyDescent="0.6">
      <c r="A60" s="42"/>
      <c r="B60" s="754"/>
      <c r="C60" s="635"/>
      <c r="D60" s="20"/>
      <c r="E60" s="620"/>
      <c r="F60" s="558">
        <f>+X60+AF60+AM60+AW60</f>
        <v>0</v>
      </c>
      <c r="G60" s="20"/>
      <c r="H60" s="341"/>
      <c r="I60" s="341"/>
      <c r="J60" s="341"/>
      <c r="K60" s="341"/>
      <c r="L60" s="341"/>
      <c r="M60" s="1"/>
      <c r="N60" s="341"/>
      <c r="O60" s="341"/>
      <c r="P60" s="341"/>
      <c r="Q60" s="341"/>
      <c r="R60" s="1"/>
      <c r="S60" s="1"/>
      <c r="T60" s="1"/>
      <c r="U60" s="1"/>
      <c r="V60" s="1"/>
      <c r="W60" s="1"/>
      <c r="X60" s="617"/>
      <c r="Y60" s="560"/>
      <c r="Z60" s="560"/>
      <c r="AA60" s="560"/>
      <c r="AB60" s="560"/>
      <c r="AC60" s="560"/>
      <c r="AD60" s="560"/>
      <c r="AE60" s="615"/>
      <c r="AF60" s="8">
        <f>Y60/1000</f>
        <v>0</v>
      </c>
      <c r="AG60" s="349"/>
      <c r="AH60" s="315"/>
      <c r="AI60" s="2"/>
      <c r="AJ60" s="24"/>
      <c r="AK60" s="24"/>
      <c r="AL60" s="614"/>
      <c r="AM60" s="614">
        <f>AG60/1000</f>
        <v>0</v>
      </c>
      <c r="AN60" s="124"/>
      <c r="AO60" s="313"/>
      <c r="AP60" s="755"/>
      <c r="AQ60" s="312"/>
      <c r="AR60" s="313"/>
      <c r="AS60" s="313"/>
      <c r="AT60" s="313"/>
      <c r="AU60" s="568"/>
      <c r="AV60" s="611"/>
      <c r="AW60" s="610"/>
      <c r="AX60" s="609"/>
      <c r="AY60" s="608">
        <f t="shared" si="61"/>
        <v>0</v>
      </c>
      <c r="AZ60" s="606">
        <f>+((629427716.75/7))/12/1000</f>
        <v>7493.1871041666673</v>
      </c>
      <c r="BA60" s="608">
        <f t="shared" si="62"/>
        <v>2.0516071568056328E-4</v>
      </c>
      <c r="BB60" s="560">
        <f t="shared" si="63"/>
        <v>-7493.1871041666673</v>
      </c>
      <c r="BC60" s="607">
        <f t="shared" si="64"/>
        <v>-1</v>
      </c>
      <c r="BD60" s="606"/>
      <c r="BE60" s="605">
        <f t="shared" si="58"/>
        <v>0</v>
      </c>
      <c r="BF60" s="560">
        <f t="shared" si="65"/>
        <v>7493.1871041666673</v>
      </c>
      <c r="BG60" s="604" t="e">
        <f t="shared" si="66"/>
        <v>#DIV/0!</v>
      </c>
      <c r="BH60" s="555"/>
    </row>
    <row r="61" spans="1:60" ht="15.75" hidden="1" customHeight="1" x14ac:dyDescent="0.6">
      <c r="A61" s="42"/>
      <c r="B61" s="754"/>
      <c r="C61" s="635"/>
      <c r="D61" s="20"/>
      <c r="E61" s="620"/>
      <c r="F61" s="558">
        <f>+X61+AF61+AM61+AW61</f>
        <v>0</v>
      </c>
      <c r="G61" s="20"/>
      <c r="H61" s="341"/>
      <c r="I61" s="341"/>
      <c r="J61" s="341"/>
      <c r="K61" s="341"/>
      <c r="L61" s="341"/>
      <c r="M61" s="1"/>
      <c r="N61" s="341"/>
      <c r="O61" s="341"/>
      <c r="P61" s="341"/>
      <c r="Q61" s="341"/>
      <c r="R61" s="1"/>
      <c r="S61" s="1"/>
      <c r="T61" s="1"/>
      <c r="U61" s="1"/>
      <c r="V61" s="1"/>
      <c r="W61" s="1"/>
      <c r="X61" s="617">
        <f>G61/1000</f>
        <v>0</v>
      </c>
      <c r="Y61" s="560"/>
      <c r="Z61" s="560"/>
      <c r="AA61" s="560"/>
      <c r="AB61" s="560"/>
      <c r="AC61" s="560"/>
      <c r="AD61" s="560"/>
      <c r="AE61" s="615">
        <f>X61/$X$7*100</f>
        <v>0</v>
      </c>
      <c r="AF61" s="8">
        <f>Y61/1000</f>
        <v>0</v>
      </c>
      <c r="AG61" s="349"/>
      <c r="AH61" s="315"/>
      <c r="AI61" s="2"/>
      <c r="AJ61" s="24"/>
      <c r="AK61" s="24"/>
      <c r="AL61" s="614"/>
      <c r="AM61" s="614">
        <f>AG61/1000</f>
        <v>0</v>
      </c>
      <c r="AN61" s="124"/>
      <c r="AO61" s="24"/>
      <c r="AP61" s="116"/>
      <c r="AQ61" s="314"/>
      <c r="AR61" s="24"/>
      <c r="AS61" s="24"/>
      <c r="AT61" s="24"/>
      <c r="AU61" s="568"/>
      <c r="AV61" s="611">
        <f t="shared" ref="AV61:AV67" si="67">AM61/$AM$7</f>
        <v>0</v>
      </c>
      <c r="AW61" s="610">
        <f>AN61/1000</f>
        <v>0</v>
      </c>
      <c r="AX61" s="609">
        <f t="shared" ref="AX61:AX70" si="68">AW61/$AW$7</f>
        <v>0</v>
      </c>
      <c r="AY61" s="608">
        <f t="shared" si="61"/>
        <v>0</v>
      </c>
      <c r="AZ61" s="606">
        <f>+((629427716.75/7))/12/1000</f>
        <v>7493.1871041666673</v>
      </c>
      <c r="BA61" s="608">
        <f t="shared" si="62"/>
        <v>2.0516071568056328E-4</v>
      </c>
      <c r="BB61" s="560">
        <f t="shared" si="63"/>
        <v>-7493.1871041666673</v>
      </c>
      <c r="BC61" s="607">
        <f t="shared" si="64"/>
        <v>-1</v>
      </c>
      <c r="BD61" s="606"/>
      <c r="BE61" s="605">
        <f t="shared" si="58"/>
        <v>0</v>
      </c>
      <c r="BF61" s="560">
        <f t="shared" si="65"/>
        <v>7493.1871041666673</v>
      </c>
      <c r="BG61" s="604" t="e">
        <f t="shared" si="66"/>
        <v>#DIV/0!</v>
      </c>
      <c r="BH61" s="555"/>
    </row>
    <row r="62" spans="1:60" ht="15.75" hidden="1" customHeight="1" x14ac:dyDescent="0.3">
      <c r="A62" s="36"/>
      <c r="B62" s="634"/>
      <c r="C62" s="635"/>
      <c r="D62" s="20"/>
      <c r="E62" s="620"/>
      <c r="F62" s="558">
        <f>+X62+AF62+AM62+AW62</f>
        <v>0</v>
      </c>
      <c r="G62" s="20"/>
      <c r="H62" s="341"/>
      <c r="I62" s="341"/>
      <c r="J62" s="341"/>
      <c r="K62" s="341"/>
      <c r="L62" s="341"/>
      <c r="M62" s="1"/>
      <c r="N62" s="341"/>
      <c r="O62" s="341"/>
      <c r="P62" s="341"/>
      <c r="Q62" s="341"/>
      <c r="R62" s="1"/>
      <c r="S62" s="1"/>
      <c r="T62" s="1"/>
      <c r="U62" s="1"/>
      <c r="V62" s="1"/>
      <c r="W62" s="1"/>
      <c r="X62" s="617">
        <f>G62/1000</f>
        <v>0</v>
      </c>
      <c r="Y62" s="560"/>
      <c r="Z62" s="560"/>
      <c r="AA62" s="560"/>
      <c r="AB62" s="560"/>
      <c r="AC62" s="560"/>
      <c r="AD62" s="560"/>
      <c r="AE62" s="615">
        <f>X62/$X$7*100</f>
        <v>0</v>
      </c>
      <c r="AF62" s="8">
        <f>Y62/1000</f>
        <v>0</v>
      </c>
      <c r="AG62" s="2">
        <f>SUM(AH62:AJ62)</f>
        <v>0</v>
      </c>
      <c r="AH62" s="321"/>
      <c r="AI62" s="14"/>
      <c r="AJ62" s="14"/>
      <c r="AK62" s="14"/>
      <c r="AL62" s="614"/>
      <c r="AM62" s="614">
        <f>AG62/1000</f>
        <v>0</v>
      </c>
      <c r="AN62" s="124"/>
      <c r="AO62" s="13"/>
      <c r="AP62" s="115"/>
      <c r="AQ62" s="309"/>
      <c r="AR62" s="13"/>
      <c r="AS62" s="13"/>
      <c r="AT62" s="13"/>
      <c r="AU62" s="568"/>
      <c r="AV62" s="611">
        <f t="shared" si="67"/>
        <v>0</v>
      </c>
      <c r="AW62" s="610">
        <f>AN62/1000</f>
        <v>0</v>
      </c>
      <c r="AX62" s="609">
        <f t="shared" si="68"/>
        <v>0</v>
      </c>
      <c r="AY62" s="608">
        <f t="shared" si="61"/>
        <v>0</v>
      </c>
      <c r="AZ62" s="606">
        <f>+((629427716.75/7))/12/1000</f>
        <v>7493.1871041666673</v>
      </c>
      <c r="BA62" s="608">
        <f t="shared" si="62"/>
        <v>2.0516071568056328E-4</v>
      </c>
      <c r="BB62" s="560">
        <f t="shared" si="63"/>
        <v>-7493.1871041666673</v>
      </c>
      <c r="BC62" s="607">
        <f t="shared" si="64"/>
        <v>-1</v>
      </c>
      <c r="BD62" s="606"/>
      <c r="BE62" s="605">
        <f t="shared" si="58"/>
        <v>0</v>
      </c>
      <c r="BF62" s="560">
        <f t="shared" si="65"/>
        <v>7493.1871041666673</v>
      </c>
      <c r="BG62" s="604" t="e">
        <f t="shared" si="66"/>
        <v>#DIV/0!</v>
      </c>
      <c r="BH62" s="555"/>
    </row>
    <row r="63" spans="1:60" ht="21.75" customHeight="1" x14ac:dyDescent="0.3">
      <c r="A63" s="31">
        <v>1</v>
      </c>
      <c r="B63" s="1909" t="s">
        <v>97</v>
      </c>
      <c r="C63" s="1968"/>
      <c r="D63" s="21">
        <f>D65+D72+D79+D87+D96+D102+D107+D115+D126+D130</f>
        <v>5314059652.6199999</v>
      </c>
      <c r="E63" s="628">
        <f>SUM(E65+E72+E79+E87+E96+E102+E107+E115+E126+E130)</f>
        <v>5314059652.6199999</v>
      </c>
      <c r="F63" s="561">
        <f t="shared" ref="F63:W63" si="69">F65+F72+F79+F87+F96+F102+F107+F115+F126+F130</f>
        <v>5713287.112999999</v>
      </c>
      <c r="G63" s="21">
        <f t="shared" si="69"/>
        <v>1705480120.9700003</v>
      </c>
      <c r="H63" s="21">
        <f t="shared" si="69"/>
        <v>321400</v>
      </c>
      <c r="I63" s="21">
        <f t="shared" si="69"/>
        <v>3120800</v>
      </c>
      <c r="J63" s="21">
        <f t="shared" si="69"/>
        <v>25906000</v>
      </c>
      <c r="K63" s="21">
        <f t="shared" si="69"/>
        <v>88400000</v>
      </c>
      <c r="L63" s="21">
        <f t="shared" si="69"/>
        <v>8100000</v>
      </c>
      <c r="M63" s="21">
        <f t="shared" si="69"/>
        <v>227316559.87</v>
      </c>
      <c r="N63" s="21">
        <f t="shared" si="69"/>
        <v>1700000</v>
      </c>
      <c r="O63" s="21">
        <f t="shared" si="69"/>
        <v>347000</v>
      </c>
      <c r="P63" s="21">
        <f t="shared" si="69"/>
        <v>580000</v>
      </c>
      <c r="Q63" s="21">
        <f t="shared" si="69"/>
        <v>1500000</v>
      </c>
      <c r="R63" s="21">
        <f t="shared" si="69"/>
        <v>4125000</v>
      </c>
      <c r="S63" s="21">
        <f t="shared" si="69"/>
        <v>704632064.71000004</v>
      </c>
      <c r="T63" s="21">
        <f t="shared" si="69"/>
        <v>8738600</v>
      </c>
      <c r="U63" s="21">
        <f t="shared" si="69"/>
        <v>18572000</v>
      </c>
      <c r="V63" s="21">
        <f t="shared" si="69"/>
        <v>578595696.38999999</v>
      </c>
      <c r="W63" s="21">
        <f t="shared" si="69"/>
        <v>35150000</v>
      </c>
      <c r="X63" s="350">
        <f>+'[3]Egresos -2015 '!$Z$63</f>
        <v>1224920.8259999999</v>
      </c>
      <c r="Y63" s="21">
        <f t="shared" ref="Y63:AD63" si="70">Y65+Y72+Y79+Y87+Y96+Y102+Y107+Y115+Y126+Y130</f>
        <v>323800000</v>
      </c>
      <c r="Z63" s="21">
        <f t="shared" si="70"/>
        <v>152250000</v>
      </c>
      <c r="AA63" s="21">
        <f t="shared" si="70"/>
        <v>3100000</v>
      </c>
      <c r="AB63" s="21">
        <f t="shared" si="70"/>
        <v>5990000</v>
      </c>
      <c r="AC63" s="21">
        <f t="shared" si="70"/>
        <v>155230000</v>
      </c>
      <c r="AD63" s="21">
        <f t="shared" si="70"/>
        <v>7230000</v>
      </c>
      <c r="AE63" s="615">
        <f>X63/$X$7*100</f>
        <v>24.026778432608456</v>
      </c>
      <c r="AF63" s="10">
        <f>+AF65+AF72+AF79+AF87+AF96+AF102+AF107+AF126+AF115</f>
        <v>628598.4</v>
      </c>
      <c r="AG63" s="2">
        <f>SUM(AG65+AG72+AG79+AG87+AG96+AG102+AG107+AG115+AG126+AG130)</f>
        <v>167545000</v>
      </c>
      <c r="AH63" s="315">
        <f>+AH65+AH72+AH79+AH87+AH96+AH102+AH107+AH115+AH126+AH130</f>
        <v>1890000</v>
      </c>
      <c r="AI63" s="2">
        <f>+AI65+AI72+AI79+AI87+AI96+AI102+AI107+AI115+AI126+AI130</f>
        <v>106290000</v>
      </c>
      <c r="AJ63" s="2">
        <f>+AJ65+AJ72+AJ79+AJ87+AJ96+AJ102+AJ107+AJ115+AJ126+AJ130</f>
        <v>625000</v>
      </c>
      <c r="AK63" s="2">
        <f>+AK65+AK72+AK79+AK87+AK96+AK102+AK107+AK115+AK126+AK130</f>
        <v>58740000</v>
      </c>
      <c r="AL63" s="623">
        <f>(AF63/AF7)*100</f>
        <v>43.417025224565705</v>
      </c>
      <c r="AM63" s="623">
        <f>+AM65+AM72+AM79+AM87+AM96+AM102+AM107+AM115+AM126+AM130</f>
        <v>138770</v>
      </c>
      <c r="AN63" s="34">
        <f>AN65+AN72+AN79+AN87+AN96+AN102+AN107+AN115+AN126+AN130</f>
        <v>3117234531.6500001</v>
      </c>
      <c r="AO63" s="2">
        <f t="shared" ref="AO63:AT63" si="71">+AO65+AO72+AO79+AO87+AO96+AO102+AO107+AO115+AO126+AO130</f>
        <v>3046277781.6500001</v>
      </c>
      <c r="AP63" s="29">
        <f t="shared" si="71"/>
        <v>70956750</v>
      </c>
      <c r="AQ63" s="315">
        <f t="shared" si="71"/>
        <v>6689500</v>
      </c>
      <c r="AR63" s="2">
        <f t="shared" si="71"/>
        <v>50799000</v>
      </c>
      <c r="AS63" s="2">
        <f t="shared" si="71"/>
        <v>3999500</v>
      </c>
      <c r="AT63" s="2">
        <f t="shared" si="71"/>
        <v>9468750</v>
      </c>
      <c r="AU63" s="622">
        <f>AU65+AU72+AU79+AU87+AU96+AU102+AU107+AU115+AU126+AU130</f>
        <v>5314059652.6199999</v>
      </c>
      <c r="AV63" s="611">
        <f t="shared" si="67"/>
        <v>1.2097199247407684E-2</v>
      </c>
      <c r="AW63" s="621">
        <f>+AW65+AW72+AW79+AW87+AW96+AW102+AW107+AW115</f>
        <v>4029632.2519999999</v>
      </c>
      <c r="AX63" s="609">
        <f t="shared" si="68"/>
        <v>7.7921512608940716E-2</v>
      </c>
      <c r="AY63" s="608">
        <f t="shared" si="61"/>
        <v>8.7808459291448135E-2</v>
      </c>
      <c r="AZ63" s="561">
        <f>AZ65+AZ72+AZ79+AZ87+AZ96+AZ102+AZ107+AZ115+AZ126+AZ130</f>
        <v>3552019.8232400003</v>
      </c>
      <c r="BA63" s="608">
        <f t="shared" si="62"/>
        <v>9.7253000481229868E-2</v>
      </c>
      <c r="BB63" s="560">
        <f t="shared" si="63"/>
        <v>2161267.2897599987</v>
      </c>
      <c r="BC63" s="607">
        <f t="shared" si="64"/>
        <v>0.60846149439238861</v>
      </c>
      <c r="BD63" s="561">
        <f>BD65+BD72+BD79+BD87+BD96+BD102+BD107+BD115+BD126+BD130</f>
        <v>3191390.6710000006</v>
      </c>
      <c r="BE63" s="605">
        <f t="shared" si="58"/>
        <v>7.3506238264228141E-2</v>
      </c>
      <c r="BF63" s="560">
        <f t="shared" si="65"/>
        <v>360629.15223999973</v>
      </c>
      <c r="BG63" s="604">
        <f t="shared" si="66"/>
        <v>0.1130006286967678</v>
      </c>
      <c r="BH63" s="555"/>
    </row>
    <row r="64" spans="1:60" ht="15.75" customHeight="1" x14ac:dyDescent="0.3">
      <c r="A64" s="31"/>
      <c r="B64" s="43"/>
      <c r="C64" s="635"/>
      <c r="D64" s="20"/>
      <c r="E64" s="620"/>
      <c r="F64" s="558"/>
      <c r="G64" s="20"/>
      <c r="H64" s="19"/>
      <c r="I64" s="19"/>
      <c r="J64" s="19"/>
      <c r="K64" s="19"/>
      <c r="L64" s="19"/>
      <c r="M64" s="350"/>
      <c r="N64" s="19"/>
      <c r="O64" s="19"/>
      <c r="P64" s="19"/>
      <c r="Q64" s="19"/>
      <c r="R64" s="21"/>
      <c r="S64" s="26"/>
      <c r="T64" s="26"/>
      <c r="U64" s="26"/>
      <c r="V64" s="26"/>
      <c r="W64" s="26"/>
      <c r="X64" s="617"/>
      <c r="Y64" s="10"/>
      <c r="Z64" s="10"/>
      <c r="AA64" s="10"/>
      <c r="AB64" s="10"/>
      <c r="AC64" s="10"/>
      <c r="AD64" s="10"/>
      <c r="AE64" s="615"/>
      <c r="AF64" s="8">
        <f t="shared" ref="AF64:AF77" si="72">Y64/1000</f>
        <v>0</v>
      </c>
      <c r="AG64" s="2">
        <f>SUM(AH64:AJ64)</f>
        <v>0</v>
      </c>
      <c r="AH64" s="316"/>
      <c r="AI64" s="8"/>
      <c r="AJ64" s="8"/>
      <c r="AK64" s="8"/>
      <c r="AL64" s="614"/>
      <c r="AM64" s="614"/>
      <c r="AN64" s="34"/>
      <c r="AO64" s="8"/>
      <c r="AP64" s="117"/>
      <c r="AQ64" s="316"/>
      <c r="AR64" s="8"/>
      <c r="AS64" s="8"/>
      <c r="AT64" s="8"/>
      <c r="AU64" s="612"/>
      <c r="AV64" s="611">
        <f t="shared" si="67"/>
        <v>0</v>
      </c>
      <c r="AW64" s="610">
        <f>AN64/1000</f>
        <v>0</v>
      </c>
      <c r="AX64" s="609">
        <f t="shared" si="68"/>
        <v>0</v>
      </c>
      <c r="AY64" s="608"/>
      <c r="AZ64" s="606"/>
      <c r="BA64" s="608"/>
      <c r="BB64" s="560"/>
      <c r="BC64" s="607"/>
      <c r="BD64" s="606"/>
      <c r="BE64" s="605"/>
      <c r="BF64" s="560"/>
      <c r="BG64" s="604"/>
      <c r="BH64" s="555"/>
    </row>
    <row r="65" spans="1:60" ht="15.75" customHeight="1" x14ac:dyDescent="0.3">
      <c r="A65" s="44" t="s">
        <v>98</v>
      </c>
      <c r="B65" s="1973" t="s">
        <v>99</v>
      </c>
      <c r="C65" s="1974"/>
      <c r="D65" s="21">
        <f>SUM(D66:D70)</f>
        <v>51433971.710000001</v>
      </c>
      <c r="E65" s="628">
        <f t="shared" ref="E65:E70" si="73">SUM(G65+Y65+AG65+AN65)</f>
        <v>51433971.710000001</v>
      </c>
      <c r="F65" s="561">
        <f>F66+F67+F68+F69+F70</f>
        <v>18450</v>
      </c>
      <c r="G65" s="21">
        <f t="shared" ref="G65:W65" si="74">SUM(G66:G70)</f>
        <v>26433971.710000001</v>
      </c>
      <c r="H65" s="21">
        <f t="shared" si="74"/>
        <v>0</v>
      </c>
      <c r="I65" s="21">
        <f t="shared" si="74"/>
        <v>0</v>
      </c>
      <c r="J65" s="21">
        <f t="shared" si="74"/>
        <v>1600000</v>
      </c>
      <c r="K65" s="21">
        <f t="shared" si="74"/>
        <v>0</v>
      </c>
      <c r="L65" s="21">
        <f t="shared" si="74"/>
        <v>0</v>
      </c>
      <c r="M65" s="351">
        <f t="shared" si="74"/>
        <v>0</v>
      </c>
      <c r="N65" s="21">
        <f t="shared" si="74"/>
        <v>0</v>
      </c>
      <c r="O65" s="21">
        <f t="shared" si="74"/>
        <v>0</v>
      </c>
      <c r="P65" s="21">
        <f t="shared" si="74"/>
        <v>0</v>
      </c>
      <c r="Q65" s="21">
        <f t="shared" si="74"/>
        <v>0</v>
      </c>
      <c r="R65" s="21">
        <f t="shared" si="74"/>
        <v>0</v>
      </c>
      <c r="S65" s="21">
        <f t="shared" si="74"/>
        <v>24283971.710000001</v>
      </c>
      <c r="T65" s="21">
        <f t="shared" si="74"/>
        <v>0</v>
      </c>
      <c r="U65" s="21">
        <f t="shared" si="74"/>
        <v>0</v>
      </c>
      <c r="V65" s="21">
        <f t="shared" si="74"/>
        <v>100000</v>
      </c>
      <c r="W65" s="21">
        <f t="shared" si="74"/>
        <v>450000</v>
      </c>
      <c r="X65" s="350">
        <f>+X66+X67+X68+X69+X70</f>
        <v>14254</v>
      </c>
      <c r="Y65" s="2">
        <f t="shared" ref="Y65:AD65" si="75">SUM(Y66:Y69)</f>
        <v>0</v>
      </c>
      <c r="Z65" s="2">
        <f t="shared" si="75"/>
        <v>0</v>
      </c>
      <c r="AA65" s="2">
        <f t="shared" si="75"/>
        <v>0</v>
      </c>
      <c r="AB65" s="2">
        <f t="shared" si="75"/>
        <v>0</v>
      </c>
      <c r="AC65" s="2">
        <f t="shared" si="75"/>
        <v>0</v>
      </c>
      <c r="AD65" s="2">
        <f t="shared" si="75"/>
        <v>0</v>
      </c>
      <c r="AE65" s="615">
        <f>X65/$X$7*100</f>
        <v>0.27959170299746455</v>
      </c>
      <c r="AF65" s="10">
        <f t="shared" si="72"/>
        <v>0</v>
      </c>
      <c r="AG65" s="2">
        <f>SUM(AG66:AG70)</f>
        <v>15500000</v>
      </c>
      <c r="AH65" s="308">
        <f>SUM(AH66:AH70)</f>
        <v>0</v>
      </c>
      <c r="AI65" s="33">
        <f>SUM(AI66:AI70)</f>
        <v>5500000</v>
      </c>
      <c r="AJ65" s="33">
        <f>SUM(AJ66:AJ70)</f>
        <v>0</v>
      </c>
      <c r="AK65" s="33">
        <f>SUM(AK66:AK70)</f>
        <v>10000000</v>
      </c>
      <c r="AL65" s="614"/>
      <c r="AM65" s="623">
        <f>+AM66+AM67+AM68+AM69+AM70</f>
        <v>0</v>
      </c>
      <c r="AN65" s="34">
        <f t="shared" ref="AN65:AU65" si="76">SUM(AN66:AN70)</f>
        <v>9500000</v>
      </c>
      <c r="AO65" s="33">
        <f t="shared" si="76"/>
        <v>4500000</v>
      </c>
      <c r="AP65" s="34">
        <f t="shared" si="76"/>
        <v>5000000</v>
      </c>
      <c r="AQ65" s="308">
        <f t="shared" si="76"/>
        <v>2500000</v>
      </c>
      <c r="AR65" s="33">
        <f t="shared" si="76"/>
        <v>2500000</v>
      </c>
      <c r="AS65" s="33">
        <f t="shared" si="76"/>
        <v>0</v>
      </c>
      <c r="AT65" s="33">
        <f t="shared" si="76"/>
        <v>0</v>
      </c>
      <c r="AU65" s="622">
        <f t="shared" si="76"/>
        <v>51433971.710000001</v>
      </c>
      <c r="AV65" s="611">
        <f t="shared" si="67"/>
        <v>0</v>
      </c>
      <c r="AW65" s="621">
        <f>+AW66+AW67+AW68+AW69+AW70</f>
        <v>7000</v>
      </c>
      <c r="AX65" s="609">
        <f t="shared" si="68"/>
        <v>1.3535989245466886E-4</v>
      </c>
      <c r="AY65" s="608">
        <f t="shared" ref="AY65:AY70" si="77">+F65/$F$7</f>
        <v>2.835611167240176E-4</v>
      </c>
      <c r="AZ65" s="561">
        <f>AZ66+AZ67+AZ68+AZ69+AZ70</f>
        <v>5873.6372999999994</v>
      </c>
      <c r="BA65" s="608">
        <f t="shared" ref="BA65:BA70" si="78">+AZ65/$AZ$7</f>
        <v>1.6081803581896093E-4</v>
      </c>
      <c r="BB65" s="560">
        <f t="shared" ref="BB65:BB70" si="79">+F65-AZ65</f>
        <v>12576.362700000001</v>
      </c>
      <c r="BC65" s="607">
        <f>+BB65/AZ65</f>
        <v>2.1411541192712056</v>
      </c>
      <c r="BD65" s="561">
        <f>BD66+BD67+BD68+BD69+BD70</f>
        <v>3985.0309999999999</v>
      </c>
      <c r="BE65" s="605">
        <f t="shared" ref="BE65:BE70" si="80">+BD65/$BD$7</f>
        <v>9.1785891598332399E-5</v>
      </c>
      <c r="BF65" s="560">
        <f t="shared" ref="BF65:BF70" si="81">AZ65-BD65</f>
        <v>1888.6062999999995</v>
      </c>
      <c r="BG65" s="604">
        <f>+BF65/BD65</f>
        <v>0.47392512128512915</v>
      </c>
      <c r="BH65" s="555"/>
    </row>
    <row r="66" spans="1:60" x14ac:dyDescent="0.3">
      <c r="A66" s="45" t="s">
        <v>100</v>
      </c>
      <c r="B66" s="1967" t="s">
        <v>101</v>
      </c>
      <c r="C66" s="1968"/>
      <c r="D66" s="20">
        <f>+G66+Y66+AG66+AN66</f>
        <v>0</v>
      </c>
      <c r="E66" s="620">
        <f t="shared" si="73"/>
        <v>0</v>
      </c>
      <c r="F66" s="558">
        <f>4000000/1000</f>
        <v>4000</v>
      </c>
      <c r="G66" s="20">
        <f>SUM(H66:W66)</f>
        <v>0</v>
      </c>
      <c r="H66" s="20"/>
      <c r="I66" s="20"/>
      <c r="J66" s="20"/>
      <c r="K66" s="20">
        <v>0</v>
      </c>
      <c r="L66" s="20"/>
      <c r="M66" s="1"/>
      <c r="N66" s="20"/>
      <c r="O66" s="20"/>
      <c r="P66" s="20"/>
      <c r="Q66" s="20"/>
      <c r="R66" s="1"/>
      <c r="S66" s="1"/>
      <c r="T66" s="1"/>
      <c r="U66" s="1"/>
      <c r="V66" s="1"/>
      <c r="W66" s="1"/>
      <c r="X66" s="617">
        <f>+'[3]Egresos -2015 '!$Z$66</f>
        <v>4200</v>
      </c>
      <c r="Y66" s="8">
        <f>SUM(Z66:AD66)</f>
        <v>0</v>
      </c>
      <c r="Z66" s="753"/>
      <c r="AA66" s="753"/>
      <c r="AB66" s="753"/>
      <c r="AC66" s="753"/>
      <c r="AD66" s="753"/>
      <c r="AE66" s="642"/>
      <c r="AF66" s="8">
        <f t="shared" si="72"/>
        <v>0</v>
      </c>
      <c r="AG66" s="2">
        <f>SUM(AH66:AK66)</f>
        <v>0</v>
      </c>
      <c r="AH66" s="309"/>
      <c r="AI66" s="13"/>
      <c r="AJ66" s="13"/>
      <c r="AK66" s="13"/>
      <c r="AL66" s="614"/>
      <c r="AM66" s="614">
        <f>AG66/1000</f>
        <v>0</v>
      </c>
      <c r="AN66" s="30">
        <f>SUM(AO66+AP66)</f>
        <v>0</v>
      </c>
      <c r="AO66" s="13"/>
      <c r="AP66" s="30">
        <f>SUM(AQ66:AT66)</f>
        <v>0</v>
      </c>
      <c r="AQ66" s="309"/>
      <c r="AR66" s="13"/>
      <c r="AS66" s="13"/>
      <c r="AT66" s="13"/>
      <c r="AU66" s="612">
        <f>SUM(AN66+AG66+Y66+G66)</f>
        <v>0</v>
      </c>
      <c r="AV66" s="611">
        <f t="shared" si="67"/>
        <v>0</v>
      </c>
      <c r="AW66" s="610">
        <v>0</v>
      </c>
      <c r="AX66" s="609">
        <f t="shared" si="68"/>
        <v>0</v>
      </c>
      <c r="AY66" s="608">
        <f t="shared" si="77"/>
        <v>6.1476664872415742E-5</v>
      </c>
      <c r="AZ66" s="606">
        <v>0</v>
      </c>
      <c r="BA66" s="608">
        <f t="shared" si="78"/>
        <v>0</v>
      </c>
      <c r="BB66" s="560">
        <f t="shared" si="79"/>
        <v>4000</v>
      </c>
      <c r="BC66" s="607">
        <v>0</v>
      </c>
      <c r="BD66" s="606">
        <v>0</v>
      </c>
      <c r="BE66" s="605">
        <f t="shared" si="80"/>
        <v>0</v>
      </c>
      <c r="BF66" s="560">
        <f t="shared" si="81"/>
        <v>0</v>
      </c>
      <c r="BG66" s="604">
        <v>0</v>
      </c>
      <c r="BH66" s="555"/>
    </row>
    <row r="67" spans="1:60" ht="15.75" customHeight="1" x14ac:dyDescent="0.3">
      <c r="A67" s="45" t="s">
        <v>102</v>
      </c>
      <c r="B67" s="1967" t="s">
        <v>103</v>
      </c>
      <c r="C67" s="1968"/>
      <c r="D67" s="20">
        <f>+G67+Y67+AG67+AN67</f>
        <v>47700000</v>
      </c>
      <c r="E67" s="620">
        <f t="shared" si="73"/>
        <v>47700000</v>
      </c>
      <c r="F67" s="558">
        <f>11900000/1000</f>
        <v>11900</v>
      </c>
      <c r="G67" s="20">
        <f>SUM(H67:W67)</f>
        <v>24700000</v>
      </c>
      <c r="H67" s="20"/>
      <c r="I67" s="20"/>
      <c r="J67" s="20">
        <v>1600000</v>
      </c>
      <c r="K67" s="20"/>
      <c r="L67" s="20"/>
      <c r="M67" s="1"/>
      <c r="N67" s="20"/>
      <c r="O67" s="20"/>
      <c r="P67" s="20"/>
      <c r="Q67" s="20"/>
      <c r="R67" s="1"/>
      <c r="S67" s="1">
        <v>23000000</v>
      </c>
      <c r="T67" s="1"/>
      <c r="U67" s="1"/>
      <c r="V67" s="1"/>
      <c r="W67" s="1">
        <v>100000</v>
      </c>
      <c r="X67" s="617">
        <f>+'[3]Egresos -2015 '!$Z$67</f>
        <v>8304</v>
      </c>
      <c r="Y67" s="8">
        <f>SUM(Z67:AD67)</f>
        <v>0</v>
      </c>
      <c r="Z67" s="8"/>
      <c r="AA67" s="8"/>
      <c r="AB67" s="8"/>
      <c r="AC67" s="8"/>
      <c r="AD67" s="8"/>
      <c r="AE67" s="642">
        <f>X67/$X$7*100</f>
        <v>0.16288266463385337</v>
      </c>
      <c r="AF67" s="8">
        <f t="shared" si="72"/>
        <v>0</v>
      </c>
      <c r="AG67" s="2">
        <f>SUM(AH67:AK67)</f>
        <v>15000000</v>
      </c>
      <c r="AH67" s="309"/>
      <c r="AI67" s="13">
        <v>5000000</v>
      </c>
      <c r="AJ67" s="13"/>
      <c r="AK67" s="13">
        <v>10000000</v>
      </c>
      <c r="AL67" s="614"/>
      <c r="AM67" s="614">
        <v>0</v>
      </c>
      <c r="AN67" s="30">
        <f>SUM(AO67+AP67)</f>
        <v>8000000</v>
      </c>
      <c r="AO67" s="13">
        <v>4000000</v>
      </c>
      <c r="AP67" s="30">
        <f>SUM(AQ67:AT67)</f>
        <v>4000000</v>
      </c>
      <c r="AQ67" s="309">
        <v>2000000</v>
      </c>
      <c r="AR67" s="13">
        <v>2000000</v>
      </c>
      <c r="AS67" s="13"/>
      <c r="AT67" s="13"/>
      <c r="AU67" s="612">
        <f>SUM(AN67+AG67+Y67+G67)</f>
        <v>47700000</v>
      </c>
      <c r="AV67" s="611">
        <f t="shared" si="67"/>
        <v>0</v>
      </c>
      <c r="AW67" s="610">
        <f>+'[2]Egresos -2015 '!$AO$67</f>
        <v>6000</v>
      </c>
      <c r="AX67" s="609">
        <f t="shared" si="68"/>
        <v>1.1602276496114473E-4</v>
      </c>
      <c r="AY67" s="608">
        <f t="shared" si="77"/>
        <v>1.8289307799543682E-4</v>
      </c>
      <c r="AZ67" s="606">
        <f>+((965847.41+1970971.24)/6)*12/1000</f>
        <v>5873.6372999999994</v>
      </c>
      <c r="BA67" s="608">
        <f t="shared" si="78"/>
        <v>1.6081803581896093E-4</v>
      </c>
      <c r="BB67" s="560">
        <f t="shared" si="79"/>
        <v>6026.3627000000006</v>
      </c>
      <c r="BC67" s="607">
        <f>+BB67/AZ67</f>
        <v>1.0260018438659808</v>
      </c>
      <c r="BD67" s="606">
        <f>3985.031</f>
        <v>3985.0309999999999</v>
      </c>
      <c r="BE67" s="605">
        <f t="shared" si="80"/>
        <v>9.1785891598332399E-5</v>
      </c>
      <c r="BF67" s="560">
        <f t="shared" si="81"/>
        <v>1888.6062999999995</v>
      </c>
      <c r="BG67" s="604">
        <f>+BF67/BD67</f>
        <v>0.47392512128512915</v>
      </c>
      <c r="BH67" s="555"/>
    </row>
    <row r="68" spans="1:60" ht="15.75" customHeight="1" x14ac:dyDescent="0.3">
      <c r="A68" s="45" t="s">
        <v>104</v>
      </c>
      <c r="B68" s="1967" t="s">
        <v>105</v>
      </c>
      <c r="C68" s="1968"/>
      <c r="D68" s="20">
        <f>+G68+Y68+AG68+AN68</f>
        <v>500000</v>
      </c>
      <c r="E68" s="620">
        <f t="shared" si="73"/>
        <v>500000</v>
      </c>
      <c r="F68" s="558">
        <f>700000/1000</f>
        <v>700</v>
      </c>
      <c r="G68" s="20">
        <f>SUM(H68:W68)</f>
        <v>500000</v>
      </c>
      <c r="H68" s="20"/>
      <c r="I68" s="20"/>
      <c r="J68" s="20"/>
      <c r="K68" s="20">
        <v>0</v>
      </c>
      <c r="L68" s="20">
        <v>0</v>
      </c>
      <c r="M68" s="1"/>
      <c r="N68" s="20"/>
      <c r="O68" s="20">
        <v>0</v>
      </c>
      <c r="P68" s="20"/>
      <c r="Q68" s="20"/>
      <c r="R68" s="1"/>
      <c r="S68" s="1">
        <v>250000</v>
      </c>
      <c r="T68" s="1"/>
      <c r="U68" s="1"/>
      <c r="V68" s="1"/>
      <c r="W68" s="1">
        <v>250000</v>
      </c>
      <c r="X68" s="617">
        <f>+'[3]Egresos -2015 '!$Z$68</f>
        <v>700</v>
      </c>
      <c r="Y68" s="8">
        <f>SUM(Z68:AD68)</f>
        <v>0</v>
      </c>
      <c r="Z68" s="8"/>
      <c r="AA68" s="8"/>
      <c r="AB68" s="8"/>
      <c r="AC68" s="8"/>
      <c r="AD68" s="8"/>
      <c r="AE68" s="642">
        <f>X68/$X$7*100</f>
        <v>1.373047510160132E-2</v>
      </c>
      <c r="AF68" s="8">
        <f t="shared" si="72"/>
        <v>0</v>
      </c>
      <c r="AG68" s="2">
        <f>SUM(AH68:AK68)</f>
        <v>0</v>
      </c>
      <c r="AH68" s="309"/>
      <c r="AI68" s="13"/>
      <c r="AJ68" s="13"/>
      <c r="AK68" s="13"/>
      <c r="AL68" s="614"/>
      <c r="AM68" s="614">
        <v>0</v>
      </c>
      <c r="AN68" s="30">
        <f>SUM(AO68+AP68)</f>
        <v>0</v>
      </c>
      <c r="AO68" s="13"/>
      <c r="AP68" s="30">
        <f>SUM(AQ68:AT68)</f>
        <v>0</v>
      </c>
      <c r="AQ68" s="309"/>
      <c r="AR68" s="13"/>
      <c r="AS68" s="13"/>
      <c r="AT68" s="13"/>
      <c r="AU68" s="612">
        <f>SUM(AN68+AG68+Y68+G68)</f>
        <v>500000</v>
      </c>
      <c r="AV68" s="611"/>
      <c r="AW68" s="610">
        <v>0</v>
      </c>
      <c r="AX68" s="609">
        <f t="shared" si="68"/>
        <v>0</v>
      </c>
      <c r="AY68" s="608">
        <f t="shared" si="77"/>
        <v>1.0758416352672754E-5</v>
      </c>
      <c r="AZ68" s="606">
        <f>+((0/7))*12/1000</f>
        <v>0</v>
      </c>
      <c r="BA68" s="608">
        <f t="shared" si="78"/>
        <v>0</v>
      </c>
      <c r="BB68" s="560">
        <f t="shared" si="79"/>
        <v>700</v>
      </c>
      <c r="BC68" s="607">
        <v>0</v>
      </c>
      <c r="BD68" s="606">
        <v>0</v>
      </c>
      <c r="BE68" s="605">
        <f t="shared" si="80"/>
        <v>0</v>
      </c>
      <c r="BF68" s="560">
        <f t="shared" si="81"/>
        <v>0</v>
      </c>
      <c r="BG68" s="604">
        <v>0</v>
      </c>
      <c r="BH68" s="555"/>
    </row>
    <row r="69" spans="1:60" ht="15.75" customHeight="1" x14ac:dyDescent="0.3">
      <c r="A69" s="45" t="s">
        <v>472</v>
      </c>
      <c r="B69" s="634" t="s">
        <v>473</v>
      </c>
      <c r="C69" s="635"/>
      <c r="D69" s="20">
        <f>+G69+Y69+AG69+AN69</f>
        <v>800000</v>
      </c>
      <c r="E69" s="620">
        <f t="shared" si="73"/>
        <v>800000</v>
      </c>
      <c r="F69" s="558">
        <f>500000/1000</f>
        <v>500</v>
      </c>
      <c r="G69" s="20">
        <f>SUM(H69:W69)</f>
        <v>800000</v>
      </c>
      <c r="H69" s="20"/>
      <c r="I69" s="20"/>
      <c r="J69" s="20"/>
      <c r="K69" s="20"/>
      <c r="L69" s="20"/>
      <c r="M69" s="1"/>
      <c r="N69" s="20"/>
      <c r="O69" s="20"/>
      <c r="P69" s="20"/>
      <c r="Q69" s="20"/>
      <c r="R69" s="1"/>
      <c r="S69" s="1">
        <v>800000</v>
      </c>
      <c r="T69" s="1"/>
      <c r="U69" s="1"/>
      <c r="V69" s="1"/>
      <c r="W69" s="1"/>
      <c r="X69" s="617">
        <f>+'[3]Egresos -2015 '!$Z$69</f>
        <v>700</v>
      </c>
      <c r="Y69" s="8">
        <f>SUM(Z69:AD69)</f>
        <v>0</v>
      </c>
      <c r="Z69" s="8"/>
      <c r="AA69" s="8"/>
      <c r="AB69" s="8"/>
      <c r="AC69" s="8"/>
      <c r="AD69" s="8"/>
      <c r="AE69" s="642">
        <f>X69/$X$7*100</f>
        <v>1.373047510160132E-2</v>
      </c>
      <c r="AF69" s="8">
        <f t="shared" si="72"/>
        <v>0</v>
      </c>
      <c r="AG69" s="2">
        <f>SUM(AH69:AK69)</f>
        <v>0</v>
      </c>
      <c r="AH69" s="636">
        <v>0</v>
      </c>
      <c r="AI69" s="9"/>
      <c r="AJ69" s="9"/>
      <c r="AK69" s="9"/>
      <c r="AL69" s="614"/>
      <c r="AM69" s="614">
        <f>AG69/1000</f>
        <v>0</v>
      </c>
      <c r="AN69" s="30">
        <f>SUM(AO69+AP69)</f>
        <v>0</v>
      </c>
      <c r="AO69" s="12"/>
      <c r="AP69" s="30">
        <f>SUM(AQ69:AT69)</f>
        <v>0</v>
      </c>
      <c r="AQ69" s="317"/>
      <c r="AR69" s="12"/>
      <c r="AS69" s="12"/>
      <c r="AT69" s="12"/>
      <c r="AU69" s="612">
        <f>SUM(AN69+AG69+Y69+G69)</f>
        <v>800000</v>
      </c>
      <c r="AV69" s="611"/>
      <c r="AW69" s="610">
        <v>0</v>
      </c>
      <c r="AX69" s="609">
        <f t="shared" si="68"/>
        <v>0</v>
      </c>
      <c r="AY69" s="608">
        <f t="shared" si="77"/>
        <v>7.6845831090519677E-6</v>
      </c>
      <c r="AZ69" s="606">
        <f>+((0/7))*12/1000</f>
        <v>0</v>
      </c>
      <c r="BA69" s="608">
        <f t="shared" si="78"/>
        <v>0</v>
      </c>
      <c r="BB69" s="560">
        <f t="shared" si="79"/>
        <v>500</v>
      </c>
      <c r="BC69" s="607">
        <v>0</v>
      </c>
      <c r="BD69" s="606">
        <v>0</v>
      </c>
      <c r="BE69" s="605">
        <f t="shared" si="80"/>
        <v>0</v>
      </c>
      <c r="BF69" s="560">
        <f t="shared" si="81"/>
        <v>0</v>
      </c>
      <c r="BG69" s="604">
        <v>0</v>
      </c>
      <c r="BH69" s="555"/>
    </row>
    <row r="70" spans="1:60" ht="15.75" customHeight="1" x14ac:dyDescent="0.3">
      <c r="A70" s="752" t="s">
        <v>106</v>
      </c>
      <c r="B70" s="1991" t="s">
        <v>107</v>
      </c>
      <c r="C70" s="1992"/>
      <c r="D70" s="125">
        <f>+G70+Y70+AG70+AN70</f>
        <v>2433971.71</v>
      </c>
      <c r="E70" s="751">
        <f t="shared" si="73"/>
        <v>2433971.71</v>
      </c>
      <c r="F70" s="569">
        <f>1350000/1000</f>
        <v>1350</v>
      </c>
      <c r="G70" s="125">
        <f>SUM(H70:W70)</f>
        <v>433971.70999999996</v>
      </c>
      <c r="H70" s="125"/>
      <c r="I70" s="125">
        <v>0</v>
      </c>
      <c r="J70" s="125">
        <v>0</v>
      </c>
      <c r="K70" s="125"/>
      <c r="L70" s="125"/>
      <c r="M70" s="360"/>
      <c r="N70" s="125">
        <v>0</v>
      </c>
      <c r="O70" s="125"/>
      <c r="P70" s="125"/>
      <c r="Q70" s="125"/>
      <c r="R70" s="360"/>
      <c r="S70" s="360">
        <v>233971.71</v>
      </c>
      <c r="T70" s="360"/>
      <c r="U70" s="360"/>
      <c r="V70" s="360">
        <v>100000</v>
      </c>
      <c r="W70" s="360">
        <v>100000</v>
      </c>
      <c r="X70" s="662">
        <f>+'[3]Egresos -2015 '!$Z$70</f>
        <v>350</v>
      </c>
      <c r="Y70" s="660">
        <f>SUM(Z70:AD70)</f>
        <v>0</v>
      </c>
      <c r="Z70" s="660"/>
      <c r="AA70" s="660"/>
      <c r="AB70" s="660"/>
      <c r="AC70" s="660"/>
      <c r="AD70" s="660"/>
      <c r="AE70" s="661">
        <f>X70/$X$7*100</f>
        <v>6.86523755080066E-3</v>
      </c>
      <c r="AF70" s="660">
        <f t="shared" si="72"/>
        <v>0</v>
      </c>
      <c r="AG70" s="361">
        <f>SUM(AH70:AK70)</f>
        <v>500000</v>
      </c>
      <c r="AH70" s="750"/>
      <c r="AI70" s="660">
        <v>500000</v>
      </c>
      <c r="AJ70" s="660"/>
      <c r="AK70" s="660"/>
      <c r="AL70" s="659"/>
      <c r="AM70" s="659">
        <v>0</v>
      </c>
      <c r="AN70" s="658">
        <f>SUM(AO70+AP70)</f>
        <v>1500000</v>
      </c>
      <c r="AO70" s="660">
        <v>500000</v>
      </c>
      <c r="AP70" s="658">
        <f>SUM(AQ70:AT70)</f>
        <v>1000000</v>
      </c>
      <c r="AQ70" s="750">
        <v>500000</v>
      </c>
      <c r="AR70" s="660">
        <v>500000</v>
      </c>
      <c r="AS70" s="660"/>
      <c r="AT70" s="660"/>
      <c r="AU70" s="655">
        <f>SUM(AN70+AG70+Y70+G70)</f>
        <v>2433971.71</v>
      </c>
      <c r="AV70" s="654">
        <f>AM70/$AM$7</f>
        <v>0</v>
      </c>
      <c r="AW70" s="653">
        <f>+'[2]Egresos -2015 '!$AO$70</f>
        <v>1000</v>
      </c>
      <c r="AX70" s="652">
        <f t="shared" si="68"/>
        <v>1.9337127493524122E-5</v>
      </c>
      <c r="AY70" s="651">
        <f t="shared" si="77"/>
        <v>2.0748374394440311E-5</v>
      </c>
      <c r="AZ70" s="606">
        <f>+((0/7))*12/1000</f>
        <v>0</v>
      </c>
      <c r="BA70" s="651">
        <f t="shared" si="78"/>
        <v>0</v>
      </c>
      <c r="BB70" s="647">
        <f t="shared" si="79"/>
        <v>1350</v>
      </c>
      <c r="BC70" s="650">
        <v>0</v>
      </c>
      <c r="BD70" s="649">
        <v>0</v>
      </c>
      <c r="BE70" s="648">
        <f t="shared" si="80"/>
        <v>0</v>
      </c>
      <c r="BF70" s="647">
        <f t="shared" si="81"/>
        <v>0</v>
      </c>
      <c r="BG70" s="646">
        <v>0</v>
      </c>
      <c r="BH70" s="555"/>
    </row>
    <row r="71" spans="1:60" ht="15.75" customHeight="1" x14ac:dyDescent="0.3">
      <c r="A71" s="45"/>
      <c r="B71" s="634"/>
      <c r="C71" s="635"/>
      <c r="D71" s="20"/>
      <c r="E71" s="620"/>
      <c r="F71" s="558"/>
      <c r="G71" s="20"/>
      <c r="H71" s="20"/>
      <c r="I71" s="20"/>
      <c r="J71" s="20"/>
      <c r="K71" s="20"/>
      <c r="L71" s="20"/>
      <c r="M71" s="1"/>
      <c r="N71" s="20"/>
      <c r="O71" s="20"/>
      <c r="P71" s="20"/>
      <c r="Q71" s="20"/>
      <c r="R71" s="1"/>
      <c r="S71" s="1"/>
      <c r="T71" s="1"/>
      <c r="U71" s="1"/>
      <c r="V71" s="1"/>
      <c r="W71" s="1"/>
      <c r="X71" s="617"/>
      <c r="Y71" s="9"/>
      <c r="Z71" s="9"/>
      <c r="AA71" s="9"/>
      <c r="AB71" s="9"/>
      <c r="AC71" s="9"/>
      <c r="AD71" s="9"/>
      <c r="AE71" s="615"/>
      <c r="AF71" s="8">
        <f t="shared" si="72"/>
        <v>0</v>
      </c>
      <c r="AG71" s="2">
        <f>SUM(AH71:AJ71)</f>
        <v>0</v>
      </c>
      <c r="AH71" s="309"/>
      <c r="AI71" s="13"/>
      <c r="AJ71" s="13"/>
      <c r="AK71" s="13"/>
      <c r="AL71" s="614"/>
      <c r="AM71" s="614"/>
      <c r="AN71" s="34"/>
      <c r="AO71" s="13"/>
      <c r="AP71" s="115"/>
      <c r="AQ71" s="309"/>
      <c r="AR71" s="13"/>
      <c r="AS71" s="13"/>
      <c r="AT71" s="13"/>
      <c r="AU71" s="612"/>
      <c r="AV71" s="611"/>
      <c r="AW71" s="610"/>
      <c r="AX71" s="609"/>
      <c r="AY71" s="608"/>
      <c r="AZ71" s="749"/>
      <c r="BA71" s="608"/>
      <c r="BB71" s="560"/>
      <c r="BC71" s="607"/>
      <c r="BD71" s="606"/>
      <c r="BE71" s="605"/>
      <c r="BF71" s="560"/>
      <c r="BG71" s="604"/>
      <c r="BH71" s="555"/>
    </row>
    <row r="72" spans="1:60" ht="15.75" customHeight="1" x14ac:dyDescent="0.3">
      <c r="A72" s="562" t="s">
        <v>108</v>
      </c>
      <c r="B72" s="1973" t="s">
        <v>109</v>
      </c>
      <c r="C72" s="1974"/>
      <c r="D72" s="21">
        <f>SUM(D73:D77)</f>
        <v>264913351.60000002</v>
      </c>
      <c r="E72" s="628">
        <f t="shared" ref="E72:E77" si="82">SUM(G72+Y72+AG72+AN72)</f>
        <v>264913351.60000002</v>
      </c>
      <c r="F72" s="561">
        <f>F73+F74+F75+F76+F77</f>
        <v>206850</v>
      </c>
      <c r="G72" s="21">
        <f t="shared" ref="G72:G77" si="83">SUM(H72:W72)</f>
        <v>251948351.60000002</v>
      </c>
      <c r="H72" s="374">
        <f t="shared" ref="H72:W72" si="84">SUM(H73:H77)</f>
        <v>0</v>
      </c>
      <c r="I72" s="374">
        <f t="shared" si="84"/>
        <v>0</v>
      </c>
      <c r="J72" s="374">
        <f t="shared" si="84"/>
        <v>0</v>
      </c>
      <c r="K72" s="374">
        <f t="shared" si="84"/>
        <v>0</v>
      </c>
      <c r="L72" s="23">
        <f t="shared" si="84"/>
        <v>0</v>
      </c>
      <c r="M72" s="23">
        <f t="shared" si="84"/>
        <v>0</v>
      </c>
      <c r="N72" s="374">
        <f t="shared" si="84"/>
        <v>0</v>
      </c>
      <c r="O72" s="374">
        <f t="shared" si="84"/>
        <v>0</v>
      </c>
      <c r="P72" s="23">
        <f t="shared" si="84"/>
        <v>0</v>
      </c>
      <c r="Q72" s="374">
        <f t="shared" si="84"/>
        <v>0</v>
      </c>
      <c r="R72" s="23">
        <f t="shared" si="84"/>
        <v>0</v>
      </c>
      <c r="S72" s="23">
        <f t="shared" si="84"/>
        <v>251948351.60000002</v>
      </c>
      <c r="T72" s="23">
        <f t="shared" si="84"/>
        <v>0</v>
      </c>
      <c r="U72" s="23">
        <f t="shared" si="84"/>
        <v>0</v>
      </c>
      <c r="V72" s="23">
        <f t="shared" si="84"/>
        <v>0</v>
      </c>
      <c r="W72" s="23">
        <f t="shared" si="84"/>
        <v>0</v>
      </c>
      <c r="X72" s="350">
        <f>+X73+X74+X75+X76+X77</f>
        <v>215920</v>
      </c>
      <c r="Y72" s="33">
        <f t="shared" ref="Y72:AD72" si="85">SUM(Y73:Y77)</f>
        <v>0</v>
      </c>
      <c r="Z72" s="33">
        <f t="shared" si="85"/>
        <v>0</v>
      </c>
      <c r="AA72" s="33">
        <f t="shared" si="85"/>
        <v>0</v>
      </c>
      <c r="AB72" s="33">
        <f t="shared" si="85"/>
        <v>0</v>
      </c>
      <c r="AC72" s="33">
        <f t="shared" si="85"/>
        <v>0</v>
      </c>
      <c r="AD72" s="33">
        <f t="shared" si="85"/>
        <v>0</v>
      </c>
      <c r="AE72" s="615">
        <f t="shared" ref="AE72:AE77" si="86">X72/$X$7*100</f>
        <v>4.2352631199110817</v>
      </c>
      <c r="AF72" s="10">
        <f t="shared" si="72"/>
        <v>0</v>
      </c>
      <c r="AG72" s="2">
        <f>SUM(AG73:AG77)</f>
        <v>465000</v>
      </c>
      <c r="AH72" s="308">
        <f>SUM(AH73:AH77)</f>
        <v>0</v>
      </c>
      <c r="AI72" s="33">
        <f>SUM(AI73:AI77)</f>
        <v>265000</v>
      </c>
      <c r="AJ72" s="33">
        <f>SUM(AJ73:AJ77)</f>
        <v>0</v>
      </c>
      <c r="AK72" s="33">
        <f>SUM(AK73:AK77)</f>
        <v>200000</v>
      </c>
      <c r="AL72" s="614"/>
      <c r="AM72" s="623">
        <f>+AM73+AM74+AM75+AM77+AM76</f>
        <v>0</v>
      </c>
      <c r="AN72" s="34">
        <f t="shared" ref="AN72:AU72" si="87">SUM(AN73:AN77)</f>
        <v>12500000</v>
      </c>
      <c r="AO72" s="33">
        <f t="shared" si="87"/>
        <v>12000000</v>
      </c>
      <c r="AP72" s="34">
        <f t="shared" si="87"/>
        <v>500000</v>
      </c>
      <c r="AQ72" s="308">
        <f t="shared" si="87"/>
        <v>250000</v>
      </c>
      <c r="AR72" s="33">
        <f t="shared" si="87"/>
        <v>250000</v>
      </c>
      <c r="AS72" s="33">
        <f t="shared" si="87"/>
        <v>0</v>
      </c>
      <c r="AT72" s="33">
        <f t="shared" si="87"/>
        <v>0</v>
      </c>
      <c r="AU72" s="622">
        <f t="shared" si="87"/>
        <v>264913351.60000002</v>
      </c>
      <c r="AV72" s="611">
        <f t="shared" ref="AV72:AV77" si="88">AM72/$AM$7</f>
        <v>0</v>
      </c>
      <c r="AW72" s="621">
        <f>+AW73+AW74+AW75+AW76+AW77</f>
        <v>9000</v>
      </c>
      <c r="AX72" s="609">
        <f t="shared" ref="AX72:AX77" si="89">AW72/$AW$7</f>
        <v>1.7403414744171709E-4</v>
      </c>
      <c r="AY72" s="605">
        <f t="shared" ref="AY72:AY77" si="90">+F72/$F$7</f>
        <v>3.179112032214799E-3</v>
      </c>
      <c r="AZ72" s="561">
        <f>AZ73+AZ74+AZ75+AZ76+AZ77</f>
        <v>128601.10470000001</v>
      </c>
      <c r="BA72" s="607">
        <f t="shared" ref="BA72:BA77" si="91">+AZ72/$AZ$7</f>
        <v>3.5210510975886354E-3</v>
      </c>
      <c r="BB72" s="560">
        <f t="shared" ref="BB72:BB77" si="92">+F72-AZ72</f>
        <v>78248.895299999989</v>
      </c>
      <c r="BC72" s="607">
        <f t="shared" ref="BC72:BC77" si="93">+BB72/AZ72</f>
        <v>0.60846207723128509</v>
      </c>
      <c r="BD72" s="561">
        <f>BD73+BD74+BD75+BD76+BD77</f>
        <v>150973.17500000002</v>
      </c>
      <c r="BE72" s="605">
        <f t="shared" ref="BE72:BE77" si="94">+BD72/$BD$7</f>
        <v>3.4773148501996767E-3</v>
      </c>
      <c r="BF72" s="560">
        <f t="shared" ref="BF72:BF77" si="95">AZ72-BD72</f>
        <v>-22372.070300000007</v>
      </c>
      <c r="BG72" s="604">
        <f t="shared" ref="BG72:BG77" si="96">+BF72/BD72</f>
        <v>-0.14818573100817417</v>
      </c>
      <c r="BH72" s="555"/>
    </row>
    <row r="73" spans="1:60" ht="15.75" customHeight="1" x14ac:dyDescent="0.3">
      <c r="A73" s="645" t="s">
        <v>110</v>
      </c>
      <c r="B73" s="1967" t="s">
        <v>111</v>
      </c>
      <c r="C73" s="1968"/>
      <c r="D73" s="20">
        <f>+G73+Y73+AG73+AN73</f>
        <v>13423597.43</v>
      </c>
      <c r="E73" s="620">
        <f t="shared" si="82"/>
        <v>13423597.43</v>
      </c>
      <c r="F73" s="558">
        <f>10080000/1000</f>
        <v>10080</v>
      </c>
      <c r="G73" s="20">
        <f t="shared" si="83"/>
        <v>13423597.43</v>
      </c>
      <c r="H73" s="341"/>
      <c r="I73" s="341"/>
      <c r="J73" s="341"/>
      <c r="K73" s="341"/>
      <c r="L73" s="341"/>
      <c r="M73" s="1"/>
      <c r="N73" s="341"/>
      <c r="O73" s="341"/>
      <c r="P73" s="341"/>
      <c r="Q73" s="341"/>
      <c r="R73" s="1">
        <v>0</v>
      </c>
      <c r="S73" s="1">
        <v>13423597.43</v>
      </c>
      <c r="T73" s="1"/>
      <c r="U73" s="1"/>
      <c r="V73" s="1"/>
      <c r="W73" s="1"/>
      <c r="X73" s="617">
        <f>+'[3]Egresos -2015 '!$Z$73</f>
        <v>14400</v>
      </c>
      <c r="Y73" s="8">
        <f>SUM(Z73:AD73)</f>
        <v>0</v>
      </c>
      <c r="Z73" s="8">
        <f>SUM(AH71:AN71)</f>
        <v>0</v>
      </c>
      <c r="AA73" s="8">
        <f>SUM(AI71:AU71)</f>
        <v>0</v>
      </c>
      <c r="AB73" s="8">
        <f>SUM(AJ71:AW71)</f>
        <v>0</v>
      </c>
      <c r="AC73" s="8">
        <f>SUM(AN71:AX71)</f>
        <v>0</v>
      </c>
      <c r="AD73" s="8">
        <f>SUM(AU71:AY71)</f>
        <v>0</v>
      </c>
      <c r="AE73" s="642">
        <f t="shared" si="86"/>
        <v>0.28245548780436996</v>
      </c>
      <c r="AF73" s="8">
        <f t="shared" si="72"/>
        <v>0</v>
      </c>
      <c r="AG73" s="2">
        <f>SUM(AH73:AK73)</f>
        <v>0</v>
      </c>
      <c r="AH73" s="309">
        <v>0</v>
      </c>
      <c r="AI73" s="13">
        <v>0</v>
      </c>
      <c r="AJ73" s="13"/>
      <c r="AK73" s="13"/>
      <c r="AL73" s="614"/>
      <c r="AM73" s="614">
        <f>AG73/1000</f>
        <v>0</v>
      </c>
      <c r="AN73" s="30">
        <f>SUM(AO73+AP73)</f>
        <v>0</v>
      </c>
      <c r="AO73" s="13"/>
      <c r="AP73" s="30">
        <f>SUM(AQ73:AT73)</f>
        <v>0</v>
      </c>
      <c r="AQ73" s="309"/>
      <c r="AR73" s="13"/>
      <c r="AS73" s="13"/>
      <c r="AT73" s="13"/>
      <c r="AU73" s="612">
        <f>SUM(AN73+AG73+Y73+G73)</f>
        <v>13423597.43</v>
      </c>
      <c r="AV73" s="611">
        <f t="shared" si="88"/>
        <v>0</v>
      </c>
      <c r="AW73" s="610">
        <v>0</v>
      </c>
      <c r="AX73" s="609">
        <f t="shared" si="89"/>
        <v>0</v>
      </c>
      <c r="AY73" s="608">
        <f t="shared" si="90"/>
        <v>1.5492119547848767E-4</v>
      </c>
      <c r="AZ73" s="606">
        <f>+((5328011/6))*12/1000</f>
        <v>10656.022000000001</v>
      </c>
      <c r="BA73" s="608">
        <f t="shared" si="91"/>
        <v>2.9175797553649356E-4</v>
      </c>
      <c r="BB73" s="560">
        <f t="shared" si="92"/>
        <v>-576.02200000000084</v>
      </c>
      <c r="BC73" s="607">
        <f t="shared" si="93"/>
        <v>-5.4056007016502108E-2</v>
      </c>
      <c r="BD73" s="606">
        <f>9786.806</f>
        <v>9786.8060000000005</v>
      </c>
      <c r="BE73" s="605">
        <f t="shared" si="94"/>
        <v>2.2541624258629584E-4</v>
      </c>
      <c r="BF73" s="560">
        <f t="shared" si="95"/>
        <v>869.21600000000035</v>
      </c>
      <c r="BG73" s="604">
        <f t="shared" si="96"/>
        <v>8.8815084308404638E-2</v>
      </c>
      <c r="BH73" s="555"/>
    </row>
    <row r="74" spans="1:60" ht="15.75" customHeight="1" x14ac:dyDescent="0.3">
      <c r="A74" s="559" t="s">
        <v>112</v>
      </c>
      <c r="B74" s="1967" t="s">
        <v>113</v>
      </c>
      <c r="C74" s="1968"/>
      <c r="D74" s="20">
        <f>+G74+Y74+AG74+AN74</f>
        <v>63032662.439999998</v>
      </c>
      <c r="E74" s="620">
        <f t="shared" si="82"/>
        <v>63032662.439999998</v>
      </c>
      <c r="F74" s="558">
        <f>73500000/1000</f>
        <v>73500</v>
      </c>
      <c r="G74" s="20">
        <f t="shared" si="83"/>
        <v>63032662.439999998</v>
      </c>
      <c r="H74" s="375"/>
      <c r="I74" s="375"/>
      <c r="J74" s="375"/>
      <c r="K74" s="375"/>
      <c r="L74" s="341"/>
      <c r="M74" s="1"/>
      <c r="N74" s="375"/>
      <c r="O74" s="375"/>
      <c r="P74" s="341"/>
      <c r="Q74" s="375"/>
      <c r="R74" s="1">
        <v>0</v>
      </c>
      <c r="S74" s="1">
        <v>63032662.439999998</v>
      </c>
      <c r="T74" s="1"/>
      <c r="U74" s="1"/>
      <c r="V74" s="1"/>
      <c r="W74" s="1"/>
      <c r="X74" s="617">
        <f>+'[3]Egresos -2015 '!$Z$74</f>
        <v>69600</v>
      </c>
      <c r="Y74" s="8">
        <f>SUM(Z74:AD74)</f>
        <v>0</v>
      </c>
      <c r="Z74" s="8"/>
      <c r="AA74" s="8"/>
      <c r="AB74" s="8"/>
      <c r="AC74" s="8"/>
      <c r="AD74" s="8"/>
      <c r="AE74" s="642">
        <f t="shared" si="86"/>
        <v>1.3652015243877884</v>
      </c>
      <c r="AF74" s="8">
        <f t="shared" si="72"/>
        <v>0</v>
      </c>
      <c r="AG74" s="2">
        <f>SUM(AH74:AK74)</f>
        <v>0</v>
      </c>
      <c r="AH74" s="309">
        <v>0</v>
      </c>
      <c r="AI74" s="13">
        <v>0</v>
      </c>
      <c r="AJ74" s="13">
        <v>0</v>
      </c>
      <c r="AK74" s="13">
        <v>0</v>
      </c>
      <c r="AL74" s="614"/>
      <c r="AM74" s="614">
        <f>AG74/1000</f>
        <v>0</v>
      </c>
      <c r="AN74" s="30">
        <f>SUM(AO74+AP74)</f>
        <v>0</v>
      </c>
      <c r="AO74" s="13"/>
      <c r="AP74" s="30">
        <f>SUM(AQ74:AT74)</f>
        <v>0</v>
      </c>
      <c r="AQ74" s="309"/>
      <c r="AR74" s="13"/>
      <c r="AS74" s="13"/>
      <c r="AT74" s="13"/>
      <c r="AU74" s="612">
        <f>SUM(AN74+AG74+Y74+G74)</f>
        <v>63032662.439999998</v>
      </c>
      <c r="AV74" s="611">
        <f t="shared" si="88"/>
        <v>0</v>
      </c>
      <c r="AW74" s="610">
        <v>0</v>
      </c>
      <c r="AX74" s="609">
        <f t="shared" si="89"/>
        <v>0</v>
      </c>
      <c r="AY74" s="608">
        <f t="shared" si="90"/>
        <v>1.1296337170306392E-3</v>
      </c>
      <c r="AZ74" s="606">
        <f>+((25019575/6))*12/1000</f>
        <v>50039.15</v>
      </c>
      <c r="BA74" s="608">
        <f t="shared" si="91"/>
        <v>1.3700535811175063E-3</v>
      </c>
      <c r="BB74" s="560">
        <f t="shared" si="92"/>
        <v>23460.85</v>
      </c>
      <c r="BC74" s="607">
        <f t="shared" si="93"/>
        <v>0.46884989053571052</v>
      </c>
      <c r="BD74" s="606">
        <f>52839.525</f>
        <v>52839.525000000001</v>
      </c>
      <c r="BE74" s="605">
        <f t="shared" si="94"/>
        <v>1.2170351783354696E-3</v>
      </c>
      <c r="BF74" s="560">
        <f t="shared" si="95"/>
        <v>-2800.375</v>
      </c>
      <c r="BG74" s="604">
        <f t="shared" si="96"/>
        <v>-5.2997732284686509E-2</v>
      </c>
      <c r="BH74" s="555"/>
    </row>
    <row r="75" spans="1:60" ht="15.75" customHeight="1" x14ac:dyDescent="0.3">
      <c r="A75" s="559" t="s">
        <v>114</v>
      </c>
      <c r="B75" s="1967" t="s">
        <v>115</v>
      </c>
      <c r="C75" s="1968"/>
      <c r="D75" s="20">
        <f>+G75+Y75+AG75+AN75</f>
        <v>837378.86</v>
      </c>
      <c r="E75" s="620">
        <f t="shared" si="82"/>
        <v>837378.86</v>
      </c>
      <c r="F75" s="558">
        <f>200000/1000</f>
        <v>200</v>
      </c>
      <c r="G75" s="20">
        <f t="shared" si="83"/>
        <v>637378.86</v>
      </c>
      <c r="H75" s="375"/>
      <c r="I75" s="375"/>
      <c r="J75" s="375"/>
      <c r="K75" s="375">
        <v>0</v>
      </c>
      <c r="L75" s="341">
        <v>0</v>
      </c>
      <c r="M75" s="1"/>
      <c r="N75" s="375">
        <v>0</v>
      </c>
      <c r="O75" s="375"/>
      <c r="P75" s="341"/>
      <c r="Q75" s="375"/>
      <c r="R75" s="1">
        <v>0</v>
      </c>
      <c r="S75" s="1">
        <v>637378.86</v>
      </c>
      <c r="T75" s="1"/>
      <c r="U75" s="1"/>
      <c r="V75" s="1"/>
      <c r="W75" s="1"/>
      <c r="X75" s="617">
        <f>+'[3]Egresos -2015 '!$Z$75</f>
        <v>420</v>
      </c>
      <c r="Y75" s="8">
        <f>SUM(Z75:AD75)</f>
        <v>0</v>
      </c>
      <c r="Z75" s="8"/>
      <c r="AA75" s="8"/>
      <c r="AB75" s="8"/>
      <c r="AC75" s="8"/>
      <c r="AD75" s="8"/>
      <c r="AE75" s="642">
        <f t="shared" si="86"/>
        <v>8.2382850609607899E-3</v>
      </c>
      <c r="AF75" s="8">
        <f t="shared" si="72"/>
        <v>0</v>
      </c>
      <c r="AG75" s="2">
        <f>SUM(AH75:AK75)</f>
        <v>200000</v>
      </c>
      <c r="AH75" s="309"/>
      <c r="AI75" s="13"/>
      <c r="AJ75" s="13"/>
      <c r="AK75" s="13">
        <v>200000</v>
      </c>
      <c r="AL75" s="614"/>
      <c r="AM75" s="614">
        <v>0</v>
      </c>
      <c r="AN75" s="30">
        <f>SUM(AO75+AP75)</f>
        <v>0</v>
      </c>
      <c r="AO75" s="13"/>
      <c r="AP75" s="30">
        <f>SUM(AQ75:AT75)</f>
        <v>0</v>
      </c>
      <c r="AQ75" s="309"/>
      <c r="AR75" s="13"/>
      <c r="AS75" s="13"/>
      <c r="AT75" s="13"/>
      <c r="AU75" s="612">
        <f>SUM(AN75+AG75+Y75+G75)</f>
        <v>837378.86</v>
      </c>
      <c r="AV75" s="611">
        <f t="shared" si="88"/>
        <v>0</v>
      </c>
      <c r="AW75" s="610">
        <v>0</v>
      </c>
      <c r="AX75" s="609">
        <f t="shared" si="89"/>
        <v>0</v>
      </c>
      <c r="AY75" s="608">
        <f t="shared" si="90"/>
        <v>3.0738332436207867E-6</v>
      </c>
      <c r="AZ75" s="606">
        <f>+((40240/6))*12/1000</f>
        <v>80.48</v>
      </c>
      <c r="BA75" s="608">
        <f t="shared" si="91"/>
        <v>2.203512893571072E-6</v>
      </c>
      <c r="BB75" s="560">
        <f t="shared" si="92"/>
        <v>119.52</v>
      </c>
      <c r="BC75" s="607">
        <f t="shared" si="93"/>
        <v>1.4850894632206759</v>
      </c>
      <c r="BD75" s="606">
        <f>62.805</f>
        <v>62.805</v>
      </c>
      <c r="BE75" s="605">
        <f t="shared" si="94"/>
        <v>1.4465666444836354E-6</v>
      </c>
      <c r="BF75" s="560">
        <f t="shared" si="95"/>
        <v>17.675000000000004</v>
      </c>
      <c r="BG75" s="604">
        <f t="shared" si="96"/>
        <v>0.28142663800652823</v>
      </c>
      <c r="BH75" s="555"/>
    </row>
    <row r="76" spans="1:60" ht="15.75" customHeight="1" x14ac:dyDescent="0.3">
      <c r="A76" s="559" t="s">
        <v>116</v>
      </c>
      <c r="B76" s="1967" t="s">
        <v>117</v>
      </c>
      <c r="C76" s="1968"/>
      <c r="D76" s="20">
        <f>+G76+Y76+AG76+AN76</f>
        <v>150249175.37</v>
      </c>
      <c r="E76" s="620">
        <f t="shared" si="82"/>
        <v>150249175.37</v>
      </c>
      <c r="F76" s="558">
        <f>53070000/1000</f>
        <v>53070</v>
      </c>
      <c r="G76" s="20">
        <f t="shared" si="83"/>
        <v>137749175.37</v>
      </c>
      <c r="H76" s="375"/>
      <c r="I76" s="375">
        <v>0</v>
      </c>
      <c r="J76" s="375"/>
      <c r="K76" s="375"/>
      <c r="L76" s="341"/>
      <c r="M76" s="1">
        <v>0</v>
      </c>
      <c r="N76" s="375">
        <v>0</v>
      </c>
      <c r="O76" s="375"/>
      <c r="P76" s="341"/>
      <c r="Q76" s="375"/>
      <c r="R76" s="1">
        <v>0</v>
      </c>
      <c r="S76" s="1">
        <v>137749175.37</v>
      </c>
      <c r="T76" s="1"/>
      <c r="U76" s="1"/>
      <c r="V76" s="1"/>
      <c r="W76" s="1"/>
      <c r="X76" s="617">
        <f>+'[3]Egresos -2015 '!$Z$76</f>
        <v>100000</v>
      </c>
      <c r="Y76" s="8">
        <f>SUM(Z76:AD76)</f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642">
        <f t="shared" si="86"/>
        <v>1.9614964430859028</v>
      </c>
      <c r="AF76" s="8">
        <f t="shared" si="72"/>
        <v>0</v>
      </c>
      <c r="AG76" s="2">
        <f>SUM(AH76:AK76)</f>
        <v>0</v>
      </c>
      <c r="AH76" s="639">
        <v>0</v>
      </c>
      <c r="AI76" s="6">
        <v>0</v>
      </c>
      <c r="AJ76" s="7">
        <v>0</v>
      </c>
      <c r="AK76" s="7">
        <v>0</v>
      </c>
      <c r="AL76" s="614"/>
      <c r="AM76" s="614">
        <f>AG76/1000</f>
        <v>0</v>
      </c>
      <c r="AN76" s="30">
        <f>SUM(AO76+AP76)</f>
        <v>12500000</v>
      </c>
      <c r="AO76" s="7">
        <v>12000000</v>
      </c>
      <c r="AP76" s="30">
        <f>SUM(AQ76:AT76)</f>
        <v>500000</v>
      </c>
      <c r="AQ76" s="318">
        <v>250000</v>
      </c>
      <c r="AR76" s="7">
        <v>250000</v>
      </c>
      <c r="AS76" s="7"/>
      <c r="AT76" s="7"/>
      <c r="AU76" s="612">
        <f>SUM(AN76+AG76+Y76+G76)</f>
        <v>150249175.37</v>
      </c>
      <c r="AV76" s="611">
        <f t="shared" si="88"/>
        <v>0</v>
      </c>
      <c r="AW76" s="610">
        <f>+'[2]Egresos -2015 '!$AO$76</f>
        <v>9000</v>
      </c>
      <c r="AX76" s="609">
        <f t="shared" si="89"/>
        <v>1.7403414744171709E-4</v>
      </c>
      <c r="AY76" s="608">
        <f t="shared" si="90"/>
        <v>8.1564165119477582E-4</v>
      </c>
      <c r="AZ76" s="606">
        <f>+(((23868733.55+3000000)/6))*12/1000</f>
        <v>53737.467100000009</v>
      </c>
      <c r="BA76" s="608">
        <f t="shared" si="91"/>
        <v>1.4713121473993701E-3</v>
      </c>
      <c r="BB76" s="560">
        <f t="shared" si="92"/>
        <v>-667.46710000000894</v>
      </c>
      <c r="BC76" s="607">
        <f t="shared" si="93"/>
        <v>-1.2420888739655703E-2</v>
      </c>
      <c r="BD76" s="606">
        <f>57153.249</f>
        <v>57153.249000000003</v>
      </c>
      <c r="BE76" s="605">
        <f t="shared" si="94"/>
        <v>1.3163917463142696E-3</v>
      </c>
      <c r="BF76" s="560">
        <f t="shared" si="95"/>
        <v>-3415.7818999999945</v>
      </c>
      <c r="BG76" s="604">
        <f t="shared" si="96"/>
        <v>-5.9765314479321978E-2</v>
      </c>
      <c r="BH76" s="555"/>
    </row>
    <row r="77" spans="1:60" ht="15.75" customHeight="1" x14ac:dyDescent="0.3">
      <c r="A77" s="559" t="s">
        <v>118</v>
      </c>
      <c r="B77" s="1967" t="s">
        <v>119</v>
      </c>
      <c r="C77" s="1968"/>
      <c r="D77" s="20">
        <f>+G77+Y77+AG77+AN77</f>
        <v>37370537.5</v>
      </c>
      <c r="E77" s="620">
        <f t="shared" si="82"/>
        <v>37370537.5</v>
      </c>
      <c r="F77" s="558">
        <f>70000000/1000</f>
        <v>70000</v>
      </c>
      <c r="G77" s="20">
        <f t="shared" si="83"/>
        <v>37105537.5</v>
      </c>
      <c r="H77" s="375"/>
      <c r="I77" s="375"/>
      <c r="J77" s="375"/>
      <c r="K77" s="375"/>
      <c r="L77" s="341"/>
      <c r="M77" s="1"/>
      <c r="N77" s="375">
        <v>0</v>
      </c>
      <c r="O77" s="375"/>
      <c r="P77" s="341"/>
      <c r="Q77" s="375"/>
      <c r="R77" s="1">
        <v>0</v>
      </c>
      <c r="S77" s="1">
        <v>37105537.5</v>
      </c>
      <c r="T77" s="1"/>
      <c r="U77" s="1"/>
      <c r="V77" s="1"/>
      <c r="W77" s="1"/>
      <c r="X77" s="617">
        <f>+'[3]Egresos -2015 '!$Z$77</f>
        <v>31500</v>
      </c>
      <c r="Y77" s="8">
        <f>SUM(Z77:AD77)</f>
        <v>0</v>
      </c>
      <c r="Z77" s="8"/>
      <c r="AA77" s="8"/>
      <c r="AB77" s="8"/>
      <c r="AC77" s="8"/>
      <c r="AD77" s="8"/>
      <c r="AE77" s="642">
        <f t="shared" si="86"/>
        <v>0.61787137957205929</v>
      </c>
      <c r="AF77" s="8">
        <f t="shared" si="72"/>
        <v>0</v>
      </c>
      <c r="AG77" s="2">
        <f>SUM(AH77:AK77)</f>
        <v>265000</v>
      </c>
      <c r="AH77" s="699">
        <v>0</v>
      </c>
      <c r="AI77" s="698">
        <v>265000</v>
      </c>
      <c r="AJ77" s="698">
        <v>0</v>
      </c>
      <c r="AK77" s="698">
        <v>0</v>
      </c>
      <c r="AL77" s="614"/>
      <c r="AM77" s="614">
        <v>0</v>
      </c>
      <c r="AN77" s="30">
        <f>SUM(AO77+AP77)</f>
        <v>0</v>
      </c>
      <c r="AO77" s="698"/>
      <c r="AP77" s="30">
        <f>SUM(AQ77:AT77)</f>
        <v>0</v>
      </c>
      <c r="AQ77" s="699"/>
      <c r="AR77" s="698"/>
      <c r="AS77" s="698"/>
      <c r="AT77" s="698"/>
      <c r="AU77" s="612">
        <f>SUM(AN77+AG77+Y77+G77)</f>
        <v>37370537.5</v>
      </c>
      <c r="AV77" s="611">
        <f t="shared" si="88"/>
        <v>0</v>
      </c>
      <c r="AW77" s="610">
        <v>0</v>
      </c>
      <c r="AX77" s="609">
        <f t="shared" si="89"/>
        <v>0</v>
      </c>
      <c r="AY77" s="608">
        <f t="shared" si="90"/>
        <v>1.0758416352672755E-3</v>
      </c>
      <c r="AZ77" s="606">
        <f>+((7043992.8/6))*12/1000</f>
        <v>14087.985600000002</v>
      </c>
      <c r="BA77" s="608">
        <f t="shared" si="91"/>
        <v>3.857238806416948E-4</v>
      </c>
      <c r="BB77" s="560">
        <f t="shared" si="92"/>
        <v>55912.0144</v>
      </c>
      <c r="BC77" s="607">
        <f t="shared" si="93"/>
        <v>3.9687728244128806</v>
      </c>
      <c r="BD77" s="606">
        <f>31130.79</f>
        <v>31130.79</v>
      </c>
      <c r="BE77" s="605">
        <f t="shared" si="94"/>
        <v>7.1702511631915791E-4</v>
      </c>
      <c r="BF77" s="560">
        <f t="shared" si="95"/>
        <v>-17042.804400000001</v>
      </c>
      <c r="BG77" s="604">
        <f t="shared" si="96"/>
        <v>-0.54745814031703022</v>
      </c>
      <c r="BH77" s="555"/>
    </row>
    <row r="78" spans="1:60" ht="15.75" customHeight="1" x14ac:dyDescent="0.3">
      <c r="A78" s="559"/>
      <c r="B78" s="634"/>
      <c r="C78" s="635"/>
      <c r="D78" s="20"/>
      <c r="E78" s="620"/>
      <c r="F78" s="558"/>
      <c r="G78" s="20"/>
      <c r="H78" s="375"/>
      <c r="I78" s="375"/>
      <c r="J78" s="375"/>
      <c r="K78" s="375"/>
      <c r="L78" s="341"/>
      <c r="M78" s="1"/>
      <c r="N78" s="375"/>
      <c r="O78" s="375"/>
      <c r="P78" s="341"/>
      <c r="Q78" s="375"/>
      <c r="R78" s="1"/>
      <c r="S78" s="1"/>
      <c r="T78" s="1"/>
      <c r="U78" s="1"/>
      <c r="V78" s="1"/>
      <c r="W78" s="1"/>
      <c r="X78" s="617"/>
      <c r="Y78" s="560"/>
      <c r="Z78" s="560"/>
      <c r="AA78" s="560"/>
      <c r="AB78" s="560"/>
      <c r="AC78" s="560"/>
      <c r="AD78" s="560"/>
      <c r="AE78" s="615"/>
      <c r="AF78" s="8"/>
      <c r="AG78" s="2"/>
      <c r="AH78" s="699"/>
      <c r="AI78" s="698"/>
      <c r="AJ78" s="698"/>
      <c r="AK78" s="698"/>
      <c r="AL78" s="614"/>
      <c r="AM78" s="614"/>
      <c r="AN78" s="34"/>
      <c r="AO78" s="698"/>
      <c r="AP78" s="706"/>
      <c r="AQ78" s="699"/>
      <c r="AR78" s="698"/>
      <c r="AS78" s="698"/>
      <c r="AT78" s="698"/>
      <c r="AU78" s="612"/>
      <c r="AV78" s="611"/>
      <c r="AW78" s="610"/>
      <c r="AX78" s="609"/>
      <c r="AY78" s="608"/>
      <c r="AZ78" s="606"/>
      <c r="BA78" s="608"/>
      <c r="BB78" s="560"/>
      <c r="BC78" s="607"/>
      <c r="BD78" s="606"/>
      <c r="BE78" s="605"/>
      <c r="BF78" s="560"/>
      <c r="BG78" s="604"/>
      <c r="BH78" s="555"/>
    </row>
    <row r="79" spans="1:60" ht="15.75" customHeight="1" x14ac:dyDescent="0.3">
      <c r="A79" s="562" t="s">
        <v>120</v>
      </c>
      <c r="B79" s="1973" t="s">
        <v>121</v>
      </c>
      <c r="C79" s="1974"/>
      <c r="D79" s="21">
        <f>SUM(D80:D85)</f>
        <v>2827787227.8299999</v>
      </c>
      <c r="E79" s="628">
        <f t="shared" ref="E79:E85" si="97">SUM(G79+Y79+AG79+AN79)</f>
        <v>2827787227.8299999</v>
      </c>
      <c r="F79" s="561">
        <f>F80+F81+F82+F83+F84+F85</f>
        <v>2055239.5</v>
      </c>
      <c r="G79" s="21">
        <f t="shared" ref="G79:G85" si="98">SUM(H79:W79)</f>
        <v>345027726.18000001</v>
      </c>
      <c r="H79" s="25">
        <f t="shared" ref="H79:W79" si="99">SUM(H80:H85)</f>
        <v>55000</v>
      </c>
      <c r="I79" s="25">
        <f t="shared" si="99"/>
        <v>200000</v>
      </c>
      <c r="J79" s="25">
        <f t="shared" si="99"/>
        <v>6400000</v>
      </c>
      <c r="K79" s="25">
        <f t="shared" si="99"/>
        <v>100000</v>
      </c>
      <c r="L79" s="25">
        <f t="shared" si="99"/>
        <v>3000000</v>
      </c>
      <c r="M79" s="25">
        <f t="shared" si="99"/>
        <v>0</v>
      </c>
      <c r="N79" s="25">
        <f t="shared" si="99"/>
        <v>100000</v>
      </c>
      <c r="O79" s="25">
        <f t="shared" si="99"/>
        <v>0</v>
      </c>
      <c r="P79" s="25">
        <f t="shared" si="99"/>
        <v>0</v>
      </c>
      <c r="Q79" s="25">
        <f t="shared" si="99"/>
        <v>200000</v>
      </c>
      <c r="R79" s="25">
        <f t="shared" si="99"/>
        <v>500000</v>
      </c>
      <c r="S79" s="25">
        <f t="shared" si="99"/>
        <v>5639726.1799999997</v>
      </c>
      <c r="T79" s="25">
        <f t="shared" si="99"/>
        <v>500000</v>
      </c>
      <c r="U79" s="25">
        <f t="shared" si="99"/>
        <v>16960000</v>
      </c>
      <c r="V79" s="25">
        <f t="shared" si="99"/>
        <v>310973000</v>
      </c>
      <c r="W79" s="25">
        <f t="shared" si="99"/>
        <v>400000</v>
      </c>
      <c r="X79" s="350">
        <f>+X80+X81+X82+X83+X84+X85</f>
        <v>68136.399999999994</v>
      </c>
      <c r="Y79" s="6">
        <f t="shared" ref="Y79:AD79" si="100">SUM(Y80:Y84)</f>
        <v>5480000</v>
      </c>
      <c r="Z79" s="6">
        <f t="shared" si="100"/>
        <v>4000000</v>
      </c>
      <c r="AA79" s="6">
        <f t="shared" si="100"/>
        <v>0</v>
      </c>
      <c r="AB79" s="6">
        <f t="shared" si="100"/>
        <v>1000000</v>
      </c>
      <c r="AC79" s="6">
        <f t="shared" si="100"/>
        <v>240000</v>
      </c>
      <c r="AD79" s="6">
        <f t="shared" si="100"/>
        <v>240000</v>
      </c>
      <c r="AE79" s="615">
        <f t="shared" ref="AE79:AE85" si="101">X79/$X$7*100</f>
        <v>1.3364930624467828</v>
      </c>
      <c r="AF79" s="10">
        <f>+AF80+AF81+AF82+AF83+AF84+AF85</f>
        <v>2398.4</v>
      </c>
      <c r="AG79" s="2">
        <f>SUM(AG80:AG85)</f>
        <v>1470000</v>
      </c>
      <c r="AH79" s="709">
        <f>SUM(AH80:AH85)</f>
        <v>100000</v>
      </c>
      <c r="AI79" s="708">
        <f>SUM(AI80:AI85)</f>
        <v>500000</v>
      </c>
      <c r="AJ79" s="708">
        <f>SUM(AJ80:AJ85)</f>
        <v>70000</v>
      </c>
      <c r="AK79" s="708">
        <f>SUM(AK80:AK85)</f>
        <v>800000</v>
      </c>
      <c r="AL79" s="623">
        <f>(AF79/AF7)*100</f>
        <v>0.16565647207915005</v>
      </c>
      <c r="AM79" s="623">
        <f>+AM80+AM81+AM82+AM83+AM84+AM85</f>
        <v>1520</v>
      </c>
      <c r="AN79" s="34">
        <f t="shared" ref="AN79:AU79" si="102">SUM(AN80:AN85)</f>
        <v>2475809501.6500001</v>
      </c>
      <c r="AO79" s="708">
        <f t="shared" si="102"/>
        <v>2424209501.6500001</v>
      </c>
      <c r="AP79" s="706">
        <f t="shared" si="102"/>
        <v>51600000</v>
      </c>
      <c r="AQ79" s="709">
        <f t="shared" si="102"/>
        <v>0</v>
      </c>
      <c r="AR79" s="708">
        <f t="shared" si="102"/>
        <v>46300000</v>
      </c>
      <c r="AS79" s="708">
        <f t="shared" si="102"/>
        <v>0</v>
      </c>
      <c r="AT79" s="708">
        <f t="shared" si="102"/>
        <v>5300000</v>
      </c>
      <c r="AU79" s="622">
        <f t="shared" si="102"/>
        <v>2827787227.8299999</v>
      </c>
      <c r="AV79" s="611">
        <f t="shared" ref="AV79:AV100" si="103">AM79/$AM$7</f>
        <v>1.325051729917106E-4</v>
      </c>
      <c r="AW79" s="621">
        <f>+AW80+AW81+AW82+AW83+AW84+AW85</f>
        <v>1940100</v>
      </c>
      <c r="AX79" s="609">
        <f t="shared" ref="AX79:AX100" si="104">AW79/$AW$7</f>
        <v>3.7515961050186147E-2</v>
      </c>
      <c r="AY79" s="608">
        <f t="shared" ref="AY79:AY85" si="105">+F79/$F$7</f>
        <v>3.1587317493512825E-2</v>
      </c>
      <c r="AZ79" s="561">
        <f>AZ80+AZ81+AZ82+AZ83+AZ84+AZ85</f>
        <v>947939.21848000004</v>
      </c>
      <c r="BA79" s="608">
        <f t="shared" ref="BA79:BA85" si="106">+AZ79/$AZ$7</f>
        <v>2.5954228258478696E-2</v>
      </c>
      <c r="BB79" s="560">
        <f t="shared" ref="BB79:BB85" si="107">+F79-AZ79</f>
        <v>1107300.28152</v>
      </c>
      <c r="BC79" s="607">
        <f>+BB79/AZ79</f>
        <v>1.1681131658372905</v>
      </c>
      <c r="BD79" s="561">
        <f>BD80+BD81+BD82+BD83+BD84+BD85</f>
        <v>957910.49200000009</v>
      </c>
      <c r="BE79" s="605">
        <f t="shared" ref="BE79:BE85" si="108">+BD79/$BD$7</f>
        <v>2.2063233279645066E-2</v>
      </c>
      <c r="BF79" s="560">
        <f t="shared" ref="BF79:BF85" si="109">AZ79-BD79</f>
        <v>-9971.2735200000461</v>
      </c>
      <c r="BG79" s="604">
        <f>+BF79/BD79</f>
        <v>-1.0409400046533832E-2</v>
      </c>
      <c r="BH79" s="555"/>
    </row>
    <row r="80" spans="1:60" ht="15.75" customHeight="1" x14ac:dyDescent="0.3">
      <c r="A80" s="47" t="s">
        <v>122</v>
      </c>
      <c r="B80" s="1967" t="s">
        <v>123</v>
      </c>
      <c r="C80" s="1968"/>
      <c r="D80" s="20">
        <f t="shared" ref="D80:D85" si="110">+G80+Y80+AG80+AN80</f>
        <v>35400487.509999998</v>
      </c>
      <c r="E80" s="620">
        <f t="shared" si="97"/>
        <v>35400487.509999998</v>
      </c>
      <c r="F80" s="558">
        <f>20600000/1000</f>
        <v>20600</v>
      </c>
      <c r="G80" s="20">
        <f t="shared" si="98"/>
        <v>15689985.859999999</v>
      </c>
      <c r="H80" s="748"/>
      <c r="I80" s="748"/>
      <c r="J80" s="341">
        <v>2000000</v>
      </c>
      <c r="K80" s="748"/>
      <c r="L80" s="23">
        <v>3000000</v>
      </c>
      <c r="M80" s="1"/>
      <c r="N80" s="748"/>
      <c r="O80" s="341">
        <v>0</v>
      </c>
      <c r="P80" s="23"/>
      <c r="Q80" s="341"/>
      <c r="R80" s="1"/>
      <c r="S80" s="1">
        <v>116985.86</v>
      </c>
      <c r="T80" s="1"/>
      <c r="U80" s="1">
        <v>10400000</v>
      </c>
      <c r="V80" s="1">
        <v>123000</v>
      </c>
      <c r="W80" s="1">
        <v>50000</v>
      </c>
      <c r="X80" s="617">
        <f>+'[3]Egresos -2015 '!$Z$80</f>
        <v>16672.400000000001</v>
      </c>
      <c r="Y80" s="8">
        <f t="shared" ref="Y80:Y85" si="111">SUM(Z80:AD80)</f>
        <v>2200000</v>
      </c>
      <c r="Z80" s="8">
        <v>1000000</v>
      </c>
      <c r="AA80" s="8"/>
      <c r="AB80" s="8">
        <v>1000000</v>
      </c>
      <c r="AC80" s="8">
        <v>100000</v>
      </c>
      <c r="AD80" s="8">
        <v>100000</v>
      </c>
      <c r="AE80" s="642">
        <f t="shared" si="101"/>
        <v>0.32702853297705409</v>
      </c>
      <c r="AF80" s="8">
        <f>+'[2]Egresos -2015 '!$AG$80</f>
        <v>1598.4</v>
      </c>
      <c r="AG80" s="2">
        <f t="shared" ref="AG80:AG85" si="112">SUM(AH80:AK80)</f>
        <v>0</v>
      </c>
      <c r="AH80" s="699">
        <v>0</v>
      </c>
      <c r="AI80" s="698">
        <v>0</v>
      </c>
      <c r="AJ80" s="698">
        <v>0</v>
      </c>
      <c r="AK80" s="698">
        <v>0</v>
      </c>
      <c r="AL80" s="614">
        <f>(AF80/AF7)*100</f>
        <v>0.11040081094534417</v>
      </c>
      <c r="AM80" s="614">
        <v>0</v>
      </c>
      <c r="AN80" s="30">
        <f t="shared" ref="AN80:AN85" si="113">SUM(AO80+AP80)</f>
        <v>17510501.649999999</v>
      </c>
      <c r="AO80" s="698">
        <f>2000000+13910501.65</f>
        <v>15910501.65</v>
      </c>
      <c r="AP80" s="30">
        <f t="shared" ref="AP80:AP85" si="114">SUM(AQ80:AT80)</f>
        <v>1600000</v>
      </c>
      <c r="AQ80" s="699"/>
      <c r="AR80" s="698">
        <v>800000</v>
      </c>
      <c r="AS80" s="698"/>
      <c r="AT80" s="698">
        <v>800000</v>
      </c>
      <c r="AU80" s="612">
        <f t="shared" ref="AU80:AU85" si="115">SUM(AN80+AG80+Y80+G80)</f>
        <v>35400487.509999998</v>
      </c>
      <c r="AV80" s="611">
        <f t="shared" si="103"/>
        <v>0</v>
      </c>
      <c r="AW80" s="610">
        <f>+'[2]Egresos -2015 '!$AO$80</f>
        <v>17600</v>
      </c>
      <c r="AX80" s="609">
        <f t="shared" si="104"/>
        <v>3.4033344388602457E-4</v>
      </c>
      <c r="AY80" s="608">
        <f t="shared" si="105"/>
        <v>3.1660482409294103E-4</v>
      </c>
      <c r="AZ80" s="606">
        <f>+((4968326.97+784816)/6)*12/1000</f>
        <v>11506.28594</v>
      </c>
      <c r="BA80" s="608">
        <f t="shared" si="106"/>
        <v>3.1503789048093367E-4</v>
      </c>
      <c r="BB80" s="560">
        <f t="shared" si="107"/>
        <v>9093.7140600000002</v>
      </c>
      <c r="BC80" s="607">
        <f>+BB80/AZ80</f>
        <v>0.79032574954416612</v>
      </c>
      <c r="BD80" s="606">
        <f>10887.115</f>
        <v>10887.115</v>
      </c>
      <c r="BE80" s="605">
        <f t="shared" si="108"/>
        <v>2.507592932673745E-4</v>
      </c>
      <c r="BF80" s="560">
        <f t="shared" si="109"/>
        <v>619.17093999999997</v>
      </c>
      <c r="BG80" s="604">
        <f>+BF80/BD80</f>
        <v>5.6871902244074762E-2</v>
      </c>
      <c r="BH80" s="555"/>
    </row>
    <row r="81" spans="1:60" ht="15.75" customHeight="1" x14ac:dyDescent="0.3">
      <c r="A81" s="47" t="s">
        <v>124</v>
      </c>
      <c r="B81" s="1967" t="s">
        <v>125</v>
      </c>
      <c r="C81" s="1968"/>
      <c r="D81" s="20">
        <f t="shared" si="110"/>
        <v>145500000</v>
      </c>
      <c r="E81" s="620">
        <f t="shared" si="97"/>
        <v>145500000</v>
      </c>
      <c r="F81" s="558">
        <f>360100000/1000</f>
        <v>360100</v>
      </c>
      <c r="G81" s="20">
        <f t="shared" si="98"/>
        <v>4000000</v>
      </c>
      <c r="H81" s="747"/>
      <c r="I81" s="747"/>
      <c r="J81" s="20">
        <v>4000000</v>
      </c>
      <c r="K81" s="747"/>
      <c r="L81" s="21"/>
      <c r="M81" s="1"/>
      <c r="N81" s="747"/>
      <c r="O81" s="20"/>
      <c r="P81" s="21"/>
      <c r="Q81" s="747"/>
      <c r="R81" s="1"/>
      <c r="S81" s="1"/>
      <c r="T81" s="1"/>
      <c r="U81" s="1"/>
      <c r="V81" s="1"/>
      <c r="W81" s="1"/>
      <c r="X81" s="617">
        <f>+'[3]Egresos -2015 '!$Z$81</f>
        <v>7150</v>
      </c>
      <c r="Y81" s="8">
        <f t="shared" si="111"/>
        <v>500000</v>
      </c>
      <c r="Z81" s="8">
        <v>500000</v>
      </c>
      <c r="AA81" s="8"/>
      <c r="AB81" s="8"/>
      <c r="AC81" s="8"/>
      <c r="AD81" s="8"/>
      <c r="AE81" s="642">
        <f t="shared" si="101"/>
        <v>0.14024699568064206</v>
      </c>
      <c r="AF81" s="8"/>
      <c r="AG81" s="2">
        <f t="shared" si="112"/>
        <v>0</v>
      </c>
      <c r="AH81" s="699">
        <v>0</v>
      </c>
      <c r="AI81" s="698">
        <v>0</v>
      </c>
      <c r="AJ81" s="698"/>
      <c r="AK81" s="698"/>
      <c r="AL81" s="614">
        <f>(AF81/AF7)*100</f>
        <v>0</v>
      </c>
      <c r="AM81" s="614">
        <v>0</v>
      </c>
      <c r="AN81" s="30">
        <f t="shared" si="113"/>
        <v>141000000</v>
      </c>
      <c r="AO81" s="698">
        <v>100000000</v>
      </c>
      <c r="AP81" s="30">
        <f t="shared" si="114"/>
        <v>41000000</v>
      </c>
      <c r="AQ81" s="699"/>
      <c r="AR81" s="698">
        <v>41000000</v>
      </c>
      <c r="AS81" s="698"/>
      <c r="AT81" s="698"/>
      <c r="AU81" s="612">
        <f t="shared" si="115"/>
        <v>145500000</v>
      </c>
      <c r="AV81" s="611">
        <f t="shared" si="103"/>
        <v>0</v>
      </c>
      <c r="AW81" s="610">
        <f>+'[2]Egresos -2015 '!$AO$81</f>
        <v>215000</v>
      </c>
      <c r="AX81" s="609">
        <f t="shared" si="104"/>
        <v>4.1574824111076866E-3</v>
      </c>
      <c r="AY81" s="608">
        <f t="shared" si="105"/>
        <v>5.5344367551392265E-3</v>
      </c>
      <c r="AZ81" s="606">
        <f>+(((30972491.47+47134930.3)/6))*12/1000</f>
        <v>156214.84354</v>
      </c>
      <c r="BA81" s="608">
        <f t="shared" si="106"/>
        <v>4.2771051429868001E-3</v>
      </c>
      <c r="BB81" s="560">
        <f t="shared" si="107"/>
        <v>203885.15646</v>
      </c>
      <c r="BC81" s="607">
        <f>+BB81/AZ81</f>
        <v>1.3051586637974877</v>
      </c>
      <c r="BD81" s="606">
        <v>41667.266000000003</v>
      </c>
      <c r="BE81" s="605">
        <f t="shared" si="108"/>
        <v>9.5970825829833734E-4</v>
      </c>
      <c r="BF81" s="560">
        <f t="shared" si="109"/>
        <v>114547.57754</v>
      </c>
      <c r="BG81" s="604">
        <f>+BF81/BD81</f>
        <v>2.7491023178722593</v>
      </c>
      <c r="BH81" s="555"/>
    </row>
    <row r="82" spans="1:60" ht="15.75" customHeight="1" x14ac:dyDescent="0.3">
      <c r="A82" s="47" t="s">
        <v>126</v>
      </c>
      <c r="B82" s="1967" t="s">
        <v>127</v>
      </c>
      <c r="C82" s="1968"/>
      <c r="D82" s="20">
        <f t="shared" si="110"/>
        <v>24890478.990000002</v>
      </c>
      <c r="E82" s="620">
        <f t="shared" si="97"/>
        <v>24890478.990000002</v>
      </c>
      <c r="F82" s="558">
        <f>21756500/1000</f>
        <v>21756.5</v>
      </c>
      <c r="G82" s="20">
        <f t="shared" si="98"/>
        <v>8640478.9900000002</v>
      </c>
      <c r="H82" s="375">
        <v>55000</v>
      </c>
      <c r="I82" s="375">
        <v>200000</v>
      </c>
      <c r="J82" s="375">
        <v>400000</v>
      </c>
      <c r="K82" s="375">
        <v>100000</v>
      </c>
      <c r="L82" s="690"/>
      <c r="M82" s="1">
        <v>0</v>
      </c>
      <c r="N82" s="375">
        <f>100000</f>
        <v>100000</v>
      </c>
      <c r="O82" s="341">
        <v>0</v>
      </c>
      <c r="P82" s="341"/>
      <c r="Q82" s="375">
        <v>200000</v>
      </c>
      <c r="R82" s="1">
        <v>500000</v>
      </c>
      <c r="S82" s="1">
        <v>175478.99</v>
      </c>
      <c r="T82" s="1">
        <f>400000+100000</f>
        <v>500000</v>
      </c>
      <c r="U82" s="1">
        <v>1560000</v>
      </c>
      <c r="V82" s="1">
        <v>4550000</v>
      </c>
      <c r="W82" s="1">
        <v>300000</v>
      </c>
      <c r="X82" s="617">
        <f>+'[3]Egresos -2015 '!$Z$82</f>
        <v>7924</v>
      </c>
      <c r="Y82" s="8">
        <f t="shared" si="111"/>
        <v>2780000</v>
      </c>
      <c r="Z82" s="8">
        <v>2500000</v>
      </c>
      <c r="AA82" s="8"/>
      <c r="AB82" s="8"/>
      <c r="AC82" s="8">
        <v>140000</v>
      </c>
      <c r="AD82" s="8">
        <v>140000</v>
      </c>
      <c r="AE82" s="642">
        <f t="shared" si="101"/>
        <v>0.15542897815012693</v>
      </c>
      <c r="AF82" s="8">
        <f>+'[2]Egresos -2015 '!$AG$82</f>
        <v>800</v>
      </c>
      <c r="AG82" s="2">
        <f t="shared" si="112"/>
        <v>1470000</v>
      </c>
      <c r="AH82" s="699">
        <v>100000</v>
      </c>
      <c r="AI82" s="698">
        <v>500000</v>
      </c>
      <c r="AJ82" s="698">
        <v>70000</v>
      </c>
      <c r="AK82" s="698">
        <v>800000</v>
      </c>
      <c r="AL82" s="614">
        <f>(AF82/AF7)*100</f>
        <v>5.5255661133805881E-2</v>
      </c>
      <c r="AM82" s="614">
        <f>+'[2]Egresos -2015 '!$AM$82</f>
        <v>1520</v>
      </c>
      <c r="AN82" s="30">
        <f t="shared" si="113"/>
        <v>12000000</v>
      </c>
      <c r="AO82" s="698">
        <v>3000000</v>
      </c>
      <c r="AP82" s="30">
        <f t="shared" si="114"/>
        <v>9000000</v>
      </c>
      <c r="AQ82" s="699"/>
      <c r="AR82" s="698">
        <v>4500000</v>
      </c>
      <c r="AS82" s="698"/>
      <c r="AT82" s="698">
        <v>4500000</v>
      </c>
      <c r="AU82" s="612">
        <f t="shared" si="115"/>
        <v>24890478.990000002</v>
      </c>
      <c r="AV82" s="611">
        <f t="shared" si="103"/>
        <v>1.325051729917106E-4</v>
      </c>
      <c r="AW82" s="610">
        <f>+'[2]Egresos -2015 '!$AO$82</f>
        <v>6000</v>
      </c>
      <c r="AX82" s="609">
        <f t="shared" si="104"/>
        <v>1.1602276496114473E-4</v>
      </c>
      <c r="AY82" s="608">
        <f t="shared" si="105"/>
        <v>3.3437926482417826E-4</v>
      </c>
      <c r="AZ82" s="606">
        <f>+((229489.59/6))*12/1000</f>
        <v>458.97917999999999</v>
      </c>
      <c r="BA82" s="608">
        <f t="shared" si="106"/>
        <v>1.2566681672597885E-5</v>
      </c>
      <c r="BB82" s="560">
        <f t="shared" si="107"/>
        <v>21297.520820000002</v>
      </c>
      <c r="BC82" s="607">
        <f>+BB82/AZ82</f>
        <v>46.401932261938335</v>
      </c>
      <c r="BD82" s="606">
        <v>4547.2250000000004</v>
      </c>
      <c r="BE82" s="605">
        <f t="shared" si="108"/>
        <v>1.0473471873198153E-4</v>
      </c>
      <c r="BF82" s="560">
        <f t="shared" si="109"/>
        <v>-4088.2458200000005</v>
      </c>
      <c r="BG82" s="604">
        <f>+BF82/BD82</f>
        <v>-0.89906389501289252</v>
      </c>
      <c r="BH82" s="555"/>
    </row>
    <row r="83" spans="1:60" ht="21.75" customHeight="1" x14ac:dyDescent="0.3">
      <c r="A83" s="47" t="s">
        <v>128</v>
      </c>
      <c r="B83" s="1967" t="s">
        <v>129</v>
      </c>
      <c r="C83" s="1968"/>
      <c r="D83" s="20">
        <f t="shared" si="110"/>
        <v>82861.33</v>
      </c>
      <c r="E83" s="620">
        <f t="shared" si="97"/>
        <v>82861.33</v>
      </c>
      <c r="F83" s="558">
        <f>500000/1000</f>
        <v>500</v>
      </c>
      <c r="G83" s="20">
        <f t="shared" si="98"/>
        <v>82861.33</v>
      </c>
      <c r="H83" s="690"/>
      <c r="I83" s="690"/>
      <c r="J83" s="690"/>
      <c r="K83" s="690"/>
      <c r="L83" s="341"/>
      <c r="M83" s="1"/>
      <c r="N83" s="690"/>
      <c r="O83" s="341"/>
      <c r="P83" s="341"/>
      <c r="Q83" s="690"/>
      <c r="R83" s="1"/>
      <c r="S83" s="1">
        <v>32861.33</v>
      </c>
      <c r="T83" s="1"/>
      <c r="U83" s="1"/>
      <c r="V83" s="1"/>
      <c r="W83" s="1">
        <v>50000</v>
      </c>
      <c r="X83" s="617">
        <f>+'[3]Egresos -2015 '!$Z$83</f>
        <v>350</v>
      </c>
      <c r="Y83" s="8">
        <f t="shared" si="111"/>
        <v>0</v>
      </c>
      <c r="Z83" s="8"/>
      <c r="AA83" s="8"/>
      <c r="AB83" s="8"/>
      <c r="AC83" s="8"/>
      <c r="AD83" s="8"/>
      <c r="AE83" s="642">
        <f t="shared" si="101"/>
        <v>6.86523755080066E-3</v>
      </c>
      <c r="AF83" s="8"/>
      <c r="AG83" s="2">
        <f t="shared" si="112"/>
        <v>0</v>
      </c>
      <c r="AH83" s="309">
        <v>0</v>
      </c>
      <c r="AI83" s="13">
        <v>0</v>
      </c>
      <c r="AJ83" s="13"/>
      <c r="AK83" s="13"/>
      <c r="AL83" s="614"/>
      <c r="AM83" s="614">
        <v>0</v>
      </c>
      <c r="AN83" s="30">
        <f t="shared" si="113"/>
        <v>0</v>
      </c>
      <c r="AO83" s="13"/>
      <c r="AP83" s="30">
        <f t="shared" si="114"/>
        <v>0</v>
      </c>
      <c r="AQ83" s="309"/>
      <c r="AR83" s="13"/>
      <c r="AS83" s="13"/>
      <c r="AT83" s="13"/>
      <c r="AU83" s="612">
        <f t="shared" si="115"/>
        <v>82861.33</v>
      </c>
      <c r="AV83" s="611">
        <f t="shared" si="103"/>
        <v>0</v>
      </c>
      <c r="AW83" s="610">
        <v>0</v>
      </c>
      <c r="AX83" s="609">
        <f t="shared" si="104"/>
        <v>0</v>
      </c>
      <c r="AY83" s="608">
        <f t="shared" si="105"/>
        <v>7.6845831090519677E-6</v>
      </c>
      <c r="AZ83" s="606">
        <f>+((0/6))*12/1000</f>
        <v>0</v>
      </c>
      <c r="BA83" s="608">
        <f t="shared" si="106"/>
        <v>0</v>
      </c>
      <c r="BB83" s="560">
        <f t="shared" si="107"/>
        <v>500</v>
      </c>
      <c r="BC83" s="607">
        <v>0</v>
      </c>
      <c r="BD83" s="606">
        <v>36.020000000000003</v>
      </c>
      <c r="BE83" s="605">
        <f t="shared" si="108"/>
        <v>8.2963666164000567E-7</v>
      </c>
      <c r="BF83" s="560">
        <f t="shared" si="109"/>
        <v>-36.020000000000003</v>
      </c>
      <c r="BG83" s="604">
        <v>0</v>
      </c>
      <c r="BH83" s="555"/>
    </row>
    <row r="84" spans="1:60" ht="30.75" customHeight="1" x14ac:dyDescent="0.3">
      <c r="A84" s="48" t="s">
        <v>130</v>
      </c>
      <c r="B84" s="1967" t="s">
        <v>131</v>
      </c>
      <c r="C84" s="1983"/>
      <c r="D84" s="20">
        <f t="shared" si="110"/>
        <v>2615713400</v>
      </c>
      <c r="E84" s="620">
        <f t="shared" si="97"/>
        <v>2615713400</v>
      </c>
      <c r="F84" s="558">
        <f>1651887000/1000</f>
        <v>1651887</v>
      </c>
      <c r="G84" s="20">
        <f t="shared" si="98"/>
        <v>310414400</v>
      </c>
      <c r="H84" s="375"/>
      <c r="I84" s="690"/>
      <c r="J84" s="690"/>
      <c r="K84" s="341">
        <v>0</v>
      </c>
      <c r="L84" s="341">
        <v>0</v>
      </c>
      <c r="M84" s="1"/>
      <c r="N84" s="690"/>
      <c r="O84" s="341"/>
      <c r="P84" s="341"/>
      <c r="Q84" s="690"/>
      <c r="R84" s="1"/>
      <c r="S84" s="1">
        <v>114400</v>
      </c>
      <c r="T84" s="1"/>
      <c r="U84" s="1">
        <v>5000000</v>
      </c>
      <c r="V84" s="1">
        <f>15300000+290000000</f>
        <v>305300000</v>
      </c>
      <c r="W84" s="1"/>
      <c r="X84" s="617">
        <f>+'[3]Egresos -2015 '!$Z$84</f>
        <v>34650</v>
      </c>
      <c r="Y84" s="8">
        <f t="shared" si="111"/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642">
        <f t="shared" si="101"/>
        <v>0.67965851752926532</v>
      </c>
      <c r="AF84" s="8"/>
      <c r="AG84" s="2">
        <f t="shared" si="112"/>
        <v>0</v>
      </c>
      <c r="AH84" s="636">
        <v>0</v>
      </c>
      <c r="AI84" s="9">
        <v>0</v>
      </c>
      <c r="AJ84" s="9">
        <v>0</v>
      </c>
      <c r="AK84" s="9">
        <v>0</v>
      </c>
      <c r="AL84" s="614"/>
      <c r="AM84" s="614">
        <v>0</v>
      </c>
      <c r="AN84" s="30">
        <f t="shared" si="113"/>
        <v>2305299000</v>
      </c>
      <c r="AO84" s="12">
        <f>245299000+2060000000</f>
        <v>2305299000</v>
      </c>
      <c r="AP84" s="30">
        <f t="shared" si="114"/>
        <v>0</v>
      </c>
      <c r="AQ84" s="317">
        <v>0</v>
      </c>
      <c r="AR84" s="12">
        <v>0</v>
      </c>
      <c r="AS84" s="12">
        <v>0</v>
      </c>
      <c r="AT84" s="12">
        <v>0</v>
      </c>
      <c r="AU84" s="612">
        <f t="shared" si="115"/>
        <v>2615713400</v>
      </c>
      <c r="AV84" s="611">
        <f t="shared" si="103"/>
        <v>0</v>
      </c>
      <c r="AW84" s="610">
        <f>+'[2]Egresos -2015 '!$AO$84</f>
        <v>1700000</v>
      </c>
      <c r="AX84" s="609">
        <f t="shared" si="104"/>
        <v>3.2873116738991008E-2</v>
      </c>
      <c r="AY84" s="608">
        <f t="shared" si="105"/>
        <v>2.5388125876525055E-2</v>
      </c>
      <c r="AZ84" s="606">
        <f>+((389879554.91/6))*12/1000</f>
        <v>779759.10982000001</v>
      </c>
      <c r="BA84" s="608">
        <f t="shared" si="106"/>
        <v>2.1349518543338362E-2</v>
      </c>
      <c r="BB84" s="560">
        <f t="shared" si="107"/>
        <v>872127.89017999999</v>
      </c>
      <c r="BC84" s="607">
        <f>+BB84/AZ84</f>
        <v>1.1184580971183811</v>
      </c>
      <c r="BD84" s="606">
        <v>900695.21900000004</v>
      </c>
      <c r="BE84" s="605">
        <f t="shared" si="108"/>
        <v>2.0745412955199161E-2</v>
      </c>
      <c r="BF84" s="560">
        <f t="shared" si="109"/>
        <v>-120936.10918000003</v>
      </c>
      <c r="BG84" s="604">
        <f>+BF84/BD84</f>
        <v>-0.13426973589830948</v>
      </c>
      <c r="BH84" s="555"/>
    </row>
    <row r="85" spans="1:60" ht="15.75" customHeight="1" x14ac:dyDescent="0.3">
      <c r="A85" s="47" t="s">
        <v>132</v>
      </c>
      <c r="B85" s="1967" t="s">
        <v>133</v>
      </c>
      <c r="C85" s="1968"/>
      <c r="D85" s="20">
        <f t="shared" si="110"/>
        <v>6200000</v>
      </c>
      <c r="E85" s="620">
        <f t="shared" si="97"/>
        <v>6200000</v>
      </c>
      <c r="F85" s="558">
        <f>396000/1000</f>
        <v>396</v>
      </c>
      <c r="G85" s="20">
        <f t="shared" si="98"/>
        <v>6200000</v>
      </c>
      <c r="H85" s="690"/>
      <c r="I85" s="690"/>
      <c r="J85" s="690"/>
      <c r="K85" s="690"/>
      <c r="L85" s="341"/>
      <c r="M85" s="1"/>
      <c r="N85" s="690"/>
      <c r="O85" s="341"/>
      <c r="P85" s="341"/>
      <c r="Q85" s="690"/>
      <c r="R85" s="1"/>
      <c r="S85" s="1">
        <v>5200000</v>
      </c>
      <c r="T85" s="1"/>
      <c r="U85" s="1"/>
      <c r="V85" s="1">
        <v>1000000</v>
      </c>
      <c r="W85" s="1"/>
      <c r="X85" s="617">
        <f>+'[3]Egresos -2015 '!$Z$85</f>
        <v>1390</v>
      </c>
      <c r="Y85" s="8">
        <f t="shared" si="111"/>
        <v>0</v>
      </c>
      <c r="Z85" s="8"/>
      <c r="AA85" s="8"/>
      <c r="AB85" s="8"/>
      <c r="AC85" s="8"/>
      <c r="AD85" s="8"/>
      <c r="AE85" s="642">
        <f t="shared" si="101"/>
        <v>2.7264800558894044E-2</v>
      </c>
      <c r="AF85" s="8"/>
      <c r="AG85" s="2">
        <f t="shared" si="112"/>
        <v>0</v>
      </c>
      <c r="AH85" s="699">
        <v>0</v>
      </c>
      <c r="AI85" s="698">
        <v>0</v>
      </c>
      <c r="AJ85" s="698">
        <v>0</v>
      </c>
      <c r="AK85" s="698">
        <v>0</v>
      </c>
      <c r="AL85" s="614"/>
      <c r="AM85" s="614">
        <v>0</v>
      </c>
      <c r="AN85" s="30">
        <f t="shared" si="113"/>
        <v>0</v>
      </c>
      <c r="AO85" s="698">
        <v>0</v>
      </c>
      <c r="AP85" s="30">
        <f t="shared" si="114"/>
        <v>0</v>
      </c>
      <c r="AQ85" s="699">
        <v>0</v>
      </c>
      <c r="AR85" s="698">
        <v>0</v>
      </c>
      <c r="AS85" s="698">
        <v>0</v>
      </c>
      <c r="AT85" s="698">
        <v>0</v>
      </c>
      <c r="AU85" s="612">
        <f t="shared" si="115"/>
        <v>6200000</v>
      </c>
      <c r="AV85" s="611">
        <f t="shared" si="103"/>
        <v>0</v>
      </c>
      <c r="AW85" s="610">
        <f>+'[2]Egresos -2015 '!$AO$85</f>
        <v>1500</v>
      </c>
      <c r="AX85" s="609">
        <f t="shared" si="104"/>
        <v>2.9005691240286182E-5</v>
      </c>
      <c r="AY85" s="608">
        <f t="shared" si="105"/>
        <v>6.0861898223691581E-6</v>
      </c>
      <c r="AZ85" s="606">
        <f>+((0/6))*12/1000</f>
        <v>0</v>
      </c>
      <c r="BA85" s="608">
        <f t="shared" si="106"/>
        <v>0</v>
      </c>
      <c r="BB85" s="560">
        <f t="shared" si="107"/>
        <v>396</v>
      </c>
      <c r="BC85" s="607">
        <v>0</v>
      </c>
      <c r="BD85" s="606">
        <v>77.647000000000006</v>
      </c>
      <c r="BE85" s="605">
        <f t="shared" si="108"/>
        <v>1.7884174865730572E-6</v>
      </c>
      <c r="BF85" s="560">
        <f t="shared" si="109"/>
        <v>-77.647000000000006</v>
      </c>
      <c r="BG85" s="604">
        <f>+BF85/BD85</f>
        <v>-1</v>
      </c>
      <c r="BH85" s="555"/>
    </row>
    <row r="86" spans="1:60" ht="15" customHeight="1" x14ac:dyDescent="0.3">
      <c r="A86" s="746"/>
      <c r="B86" s="634"/>
      <c r="C86" s="635"/>
      <c r="D86" s="20"/>
      <c r="E86" s="620"/>
      <c r="F86" s="558"/>
      <c r="G86" s="20"/>
      <c r="H86" s="690"/>
      <c r="I86" s="690"/>
      <c r="J86" s="690"/>
      <c r="K86" s="690"/>
      <c r="L86" s="341"/>
      <c r="M86" s="1"/>
      <c r="N86" s="690"/>
      <c r="O86" s="341"/>
      <c r="P86" s="341"/>
      <c r="Q86" s="690"/>
      <c r="R86" s="1"/>
      <c r="S86" s="1"/>
      <c r="T86" s="1"/>
      <c r="U86" s="1"/>
      <c r="V86" s="1"/>
      <c r="W86" s="1"/>
      <c r="X86" s="617"/>
      <c r="Y86" s="560"/>
      <c r="Z86" s="560"/>
      <c r="AA86" s="560"/>
      <c r="AB86" s="560"/>
      <c r="AC86" s="560"/>
      <c r="AD86" s="560"/>
      <c r="AE86" s="615"/>
      <c r="AF86" s="8"/>
      <c r="AG86" s="11"/>
      <c r="AH86" s="699"/>
      <c r="AI86" s="698"/>
      <c r="AJ86" s="698"/>
      <c r="AK86" s="698"/>
      <c r="AL86" s="614"/>
      <c r="AM86" s="614"/>
      <c r="AN86" s="34"/>
      <c r="AO86" s="698"/>
      <c r="AP86" s="706"/>
      <c r="AQ86" s="699"/>
      <c r="AR86" s="698"/>
      <c r="AS86" s="698"/>
      <c r="AT86" s="698"/>
      <c r="AU86" s="612"/>
      <c r="AV86" s="611">
        <f t="shared" si="103"/>
        <v>0</v>
      </c>
      <c r="AW86" s="610"/>
      <c r="AX86" s="609">
        <f t="shared" si="104"/>
        <v>0</v>
      </c>
      <c r="AY86" s="608"/>
      <c r="AZ86" s="606"/>
      <c r="BA86" s="608"/>
      <c r="BB86" s="560"/>
      <c r="BC86" s="607"/>
      <c r="BD86" s="606"/>
      <c r="BE86" s="605"/>
      <c r="BF86" s="560"/>
      <c r="BG86" s="604"/>
      <c r="BH86" s="555"/>
    </row>
    <row r="87" spans="1:60" ht="15.75" customHeight="1" x14ac:dyDescent="0.3">
      <c r="A87" s="562" t="s">
        <v>134</v>
      </c>
      <c r="B87" s="1973" t="s">
        <v>135</v>
      </c>
      <c r="C87" s="1974"/>
      <c r="D87" s="21">
        <f>SUM(D88:D94)</f>
        <v>1184481336.3899999</v>
      </c>
      <c r="E87" s="628">
        <f t="shared" ref="E87:E94" si="116">SUM(G87+Y87+AG87+AN87)</f>
        <v>1184481336.3899999</v>
      </c>
      <c r="F87" s="561">
        <f>F88+F89+F90+F91+F92+F93+F94</f>
        <v>2464511.713</v>
      </c>
      <c r="G87" s="21">
        <f t="shared" ref="G87:G94" si="117">SUM(H87:W87)</f>
        <v>678251336.38999999</v>
      </c>
      <c r="H87" s="374">
        <f t="shared" ref="H87:W87" si="118">SUM(H88:H94)</f>
        <v>0</v>
      </c>
      <c r="I87" s="374">
        <f t="shared" si="118"/>
        <v>1800000</v>
      </c>
      <c r="J87" s="374">
        <f t="shared" si="118"/>
        <v>13000000</v>
      </c>
      <c r="K87" s="374">
        <f t="shared" si="118"/>
        <v>83000000</v>
      </c>
      <c r="L87" s="23">
        <f t="shared" si="118"/>
        <v>2500000</v>
      </c>
      <c r="M87" s="23">
        <f t="shared" si="118"/>
        <v>123160640</v>
      </c>
      <c r="N87" s="374">
        <f t="shared" si="118"/>
        <v>0</v>
      </c>
      <c r="O87" s="23">
        <f t="shared" si="118"/>
        <v>0</v>
      </c>
      <c r="P87" s="23">
        <f t="shared" si="118"/>
        <v>0</v>
      </c>
      <c r="Q87" s="374">
        <f t="shared" si="118"/>
        <v>0</v>
      </c>
      <c r="R87" s="23">
        <f t="shared" si="118"/>
        <v>2000000</v>
      </c>
      <c r="S87" s="23">
        <f t="shared" si="118"/>
        <v>157500000</v>
      </c>
      <c r="T87" s="23">
        <f t="shared" si="118"/>
        <v>0</v>
      </c>
      <c r="U87" s="23">
        <f t="shared" si="118"/>
        <v>0</v>
      </c>
      <c r="V87" s="23">
        <f t="shared" si="118"/>
        <v>262290696.38999999</v>
      </c>
      <c r="W87" s="23">
        <f t="shared" si="118"/>
        <v>33000000</v>
      </c>
      <c r="X87" s="350">
        <f>+X894+X89+X90+X91+X92+X93+X94</f>
        <v>565456.77600000007</v>
      </c>
      <c r="Y87" s="9">
        <f t="shared" ref="Y87:AD87" si="119">SUM(Y88:Y94)</f>
        <v>293000000</v>
      </c>
      <c r="Z87" s="9">
        <f t="shared" si="119"/>
        <v>143000000</v>
      </c>
      <c r="AA87" s="9">
        <f t="shared" si="119"/>
        <v>0</v>
      </c>
      <c r="AB87" s="9">
        <f t="shared" si="119"/>
        <v>0</v>
      </c>
      <c r="AC87" s="9">
        <f t="shared" si="119"/>
        <v>150000000</v>
      </c>
      <c r="AD87" s="9">
        <f t="shared" si="119"/>
        <v>0</v>
      </c>
      <c r="AE87" s="615">
        <f t="shared" ref="AE87:AE94" si="120">X87/$X$7*100</f>
        <v>11.091414548428222</v>
      </c>
      <c r="AF87" s="10">
        <f>+AF88+AF89+AF90+AF91+AF92+AF93+AF94</f>
        <v>530000</v>
      </c>
      <c r="AG87" s="2">
        <f>SUM(AG88:AG94)</f>
        <v>116030000</v>
      </c>
      <c r="AH87" s="709">
        <f>SUM(AH88:AH94)</f>
        <v>0</v>
      </c>
      <c r="AI87" s="708">
        <f>SUM(AI88:AI94)</f>
        <v>90000000</v>
      </c>
      <c r="AJ87" s="33">
        <f>SUM(AJ88:AJ94)</f>
        <v>30000</v>
      </c>
      <c r="AK87" s="33">
        <f>SUM(AK88:AK94)</f>
        <v>26000000</v>
      </c>
      <c r="AL87" s="623">
        <f>(AF87/AF7)*100</f>
        <v>36.606875501146398</v>
      </c>
      <c r="AM87" s="623">
        <f>+AM88+AM89+AM90+AM91+AM92+AM93+AM94</f>
        <v>126000</v>
      </c>
      <c r="AN87" s="34">
        <f t="shared" ref="AN87:AU87" si="121">SUM(AN88:AN94)</f>
        <v>97200000</v>
      </c>
      <c r="AO87" s="33">
        <f t="shared" si="121"/>
        <v>93200000</v>
      </c>
      <c r="AP87" s="34">
        <f t="shared" si="121"/>
        <v>4000000</v>
      </c>
      <c r="AQ87" s="305">
        <f t="shared" si="121"/>
        <v>1000000</v>
      </c>
      <c r="AR87" s="35">
        <f t="shared" si="121"/>
        <v>1000000</v>
      </c>
      <c r="AS87" s="35">
        <f t="shared" si="121"/>
        <v>1000000</v>
      </c>
      <c r="AT87" s="35">
        <f t="shared" si="121"/>
        <v>1000000</v>
      </c>
      <c r="AU87" s="622">
        <f t="shared" si="121"/>
        <v>1184481336.3899999</v>
      </c>
      <c r="AV87" s="611">
        <f t="shared" si="103"/>
        <v>1.0983981445365484E-2</v>
      </c>
      <c r="AW87" s="621">
        <f>+AW89+AW90+AW91+AW92+AW93+AW94</f>
        <v>1442298.1409999998</v>
      </c>
      <c r="AX87" s="609">
        <f t="shared" si="104"/>
        <v>2.7889903036189826E-2</v>
      </c>
      <c r="AY87" s="608">
        <f>+F87/$F$7</f>
        <v>3.787749016356106E-2</v>
      </c>
      <c r="AZ87" s="561">
        <f>AZ88+AZ89+AZ90+AZ91+AZ92+AZ93+AZ94</f>
        <v>1279746.9800600002</v>
      </c>
      <c r="BA87" s="608">
        <f t="shared" ref="BA87:BA94" si="122">+AZ87/$AZ$7</f>
        <v>3.5039003119667643E-2</v>
      </c>
      <c r="BB87" s="560">
        <f t="shared" ref="BB87:BB94" si="123">+F87-AZ87</f>
        <v>1184764.7329399998</v>
      </c>
      <c r="BC87" s="607">
        <f>+BB87/AZ87</f>
        <v>0.92578044832303708</v>
      </c>
      <c r="BD87" s="561">
        <f>BD88+BD89+BD90+BD91+BD92+BD93+BD94</f>
        <v>1273301.696</v>
      </c>
      <c r="BE87" s="605">
        <f t="shared" ref="BE87:BE94" si="124">+BD87/$BD$7</f>
        <v>2.9327533823708972E-2</v>
      </c>
      <c r="BF87" s="560">
        <f t="shared" ref="BF87:BF94" si="125">AZ87-BD87</f>
        <v>6445.2840600002091</v>
      </c>
      <c r="BG87" s="604">
        <f>+BF87/BD87</f>
        <v>5.0618671759000066E-3</v>
      </c>
      <c r="BH87" s="555"/>
    </row>
    <row r="88" spans="1:60" ht="15.75" customHeight="1" x14ac:dyDescent="0.3">
      <c r="A88" s="559" t="s">
        <v>136</v>
      </c>
      <c r="B88" s="1967" t="s">
        <v>137</v>
      </c>
      <c r="C88" s="1968"/>
      <c r="D88" s="20">
        <f t="shared" ref="D88:D94" si="126">+G88+Y88+AG88+AN88</f>
        <v>1000000</v>
      </c>
      <c r="E88" s="620">
        <f t="shared" si="116"/>
        <v>1000000</v>
      </c>
      <c r="F88" s="558">
        <f>6000000/1000</f>
        <v>6000</v>
      </c>
      <c r="G88" s="20">
        <f t="shared" si="117"/>
        <v>1000000</v>
      </c>
      <c r="H88" s="375"/>
      <c r="I88" s="375"/>
      <c r="J88" s="375"/>
      <c r="K88" s="375"/>
      <c r="L88" s="341">
        <v>1000000</v>
      </c>
      <c r="M88" s="1"/>
      <c r="N88" s="375">
        <v>0</v>
      </c>
      <c r="O88" s="341"/>
      <c r="P88" s="341"/>
      <c r="Q88" s="375"/>
      <c r="R88" s="1"/>
      <c r="S88" s="1"/>
      <c r="T88" s="1">
        <v>0</v>
      </c>
      <c r="U88" s="1">
        <v>0</v>
      </c>
      <c r="V88" s="1"/>
      <c r="W88" s="1"/>
      <c r="X88" s="696">
        <f>+'[3]Egresos -2015 '!$Z$88</f>
        <v>0</v>
      </c>
      <c r="Y88" s="8">
        <f t="shared" ref="Y88:Y94" si="127">SUM(Z88:AD88)</f>
        <v>0</v>
      </c>
      <c r="Z88" s="8">
        <v>0</v>
      </c>
      <c r="AA88" s="8">
        <v>0</v>
      </c>
      <c r="AB88" s="8"/>
      <c r="AC88" s="8"/>
      <c r="AD88" s="8"/>
      <c r="AE88" s="642">
        <f t="shared" si="120"/>
        <v>0</v>
      </c>
      <c r="AF88" s="8">
        <f>Y88/1000</f>
        <v>0</v>
      </c>
      <c r="AG88" s="2">
        <f t="shared" ref="AG88:AG94" si="128">SUM(AH88:AK88)</f>
        <v>0</v>
      </c>
      <c r="AH88" s="699">
        <v>0</v>
      </c>
      <c r="AI88" s="698">
        <v>0</v>
      </c>
      <c r="AJ88" s="698">
        <v>0</v>
      </c>
      <c r="AK88" s="698">
        <v>0</v>
      </c>
      <c r="AL88" s="614"/>
      <c r="AM88" s="614">
        <f>AG88/1000</f>
        <v>0</v>
      </c>
      <c r="AN88" s="30">
        <f t="shared" ref="AN88:AN94" si="129">SUM(AO88+AP88)</f>
        <v>0</v>
      </c>
      <c r="AO88" s="698"/>
      <c r="AP88" s="30">
        <f t="shared" ref="AP88:AP94" si="130">SUM(AQ88:AT88)</f>
        <v>0</v>
      </c>
      <c r="AQ88" s="699"/>
      <c r="AR88" s="698"/>
      <c r="AS88" s="698"/>
      <c r="AT88" s="698"/>
      <c r="AU88" s="612">
        <f t="shared" ref="AU88:AU94" si="131">SUM(AN88+AG88+Y88+G88)</f>
        <v>1000000</v>
      </c>
      <c r="AV88" s="611">
        <f t="shared" si="103"/>
        <v>0</v>
      </c>
      <c r="AW88" s="610">
        <v>0</v>
      </c>
      <c r="AX88" s="609">
        <f t="shared" si="104"/>
        <v>0</v>
      </c>
      <c r="AY88" s="608">
        <v>0</v>
      </c>
      <c r="AZ88" s="606">
        <f>+((0/7))*12/1000</f>
        <v>0</v>
      </c>
      <c r="BA88" s="608">
        <f t="shared" si="122"/>
        <v>0</v>
      </c>
      <c r="BB88" s="560">
        <f t="shared" si="123"/>
        <v>6000</v>
      </c>
      <c r="BC88" s="607">
        <v>0</v>
      </c>
      <c r="BD88" s="606">
        <v>0</v>
      </c>
      <c r="BE88" s="605">
        <f t="shared" si="124"/>
        <v>0</v>
      </c>
      <c r="BF88" s="560">
        <f t="shared" si="125"/>
        <v>0</v>
      </c>
      <c r="BG88" s="604">
        <v>0</v>
      </c>
      <c r="BH88" s="555"/>
    </row>
    <row r="89" spans="1:60" ht="15.75" customHeight="1" x14ac:dyDescent="0.3">
      <c r="A89" s="559" t="s">
        <v>138</v>
      </c>
      <c r="B89" s="1967" t="s">
        <v>139</v>
      </c>
      <c r="C89" s="1968"/>
      <c r="D89" s="20">
        <f t="shared" si="126"/>
        <v>293090696.38999999</v>
      </c>
      <c r="E89" s="620">
        <f t="shared" si="116"/>
        <v>293090696.38999999</v>
      </c>
      <c r="F89" s="558">
        <f>1079311259/1000</f>
        <v>1079311.2590000001</v>
      </c>
      <c r="G89" s="20">
        <f t="shared" si="117"/>
        <v>265090696.38999999</v>
      </c>
      <c r="H89" s="375"/>
      <c r="I89" s="375">
        <v>1800000</v>
      </c>
      <c r="J89" s="375">
        <v>7000000</v>
      </c>
      <c r="K89" s="375">
        <v>13000000</v>
      </c>
      <c r="L89" s="341"/>
      <c r="M89" s="1"/>
      <c r="N89" s="375">
        <v>0</v>
      </c>
      <c r="O89" s="341"/>
      <c r="P89" s="341"/>
      <c r="Q89" s="375">
        <v>0</v>
      </c>
      <c r="R89" s="1">
        <v>1000000</v>
      </c>
      <c r="S89" s="1"/>
      <c r="T89" s="1"/>
      <c r="U89" s="1"/>
      <c r="V89" s="1">
        <f>232336632+9954064.39</f>
        <v>242290696.38999999</v>
      </c>
      <c r="W89" s="1"/>
      <c r="X89" s="696">
        <f>+'[3]Egresos -2015 '!$Z$89</f>
        <v>94496.775999999998</v>
      </c>
      <c r="Y89" s="8">
        <f t="shared" si="127"/>
        <v>28000000</v>
      </c>
      <c r="Z89" s="8">
        <v>18000000</v>
      </c>
      <c r="AA89" s="8"/>
      <c r="AB89" s="8"/>
      <c r="AC89" s="8">
        <v>10000000</v>
      </c>
      <c r="AD89" s="8"/>
      <c r="AE89" s="642">
        <f t="shared" si="120"/>
        <v>1.853550900070853</v>
      </c>
      <c r="AF89" s="8">
        <f>+'[2]Egresos -2015 '!$AG$89</f>
        <v>44000</v>
      </c>
      <c r="AG89" s="2">
        <f t="shared" si="128"/>
        <v>0</v>
      </c>
      <c r="AH89" s="699">
        <v>0</v>
      </c>
      <c r="AI89" s="698">
        <v>0</v>
      </c>
      <c r="AJ89" s="698"/>
      <c r="AK89" s="698"/>
      <c r="AL89" s="614">
        <f>(AF89/AF7)*100</f>
        <v>3.0390613623593237</v>
      </c>
      <c r="AM89" s="614">
        <v>0</v>
      </c>
      <c r="AN89" s="30">
        <f t="shared" si="129"/>
        <v>0</v>
      </c>
      <c r="AO89" s="698"/>
      <c r="AP89" s="30">
        <f t="shared" si="130"/>
        <v>0</v>
      </c>
      <c r="AQ89" s="699"/>
      <c r="AR89" s="698"/>
      <c r="AS89" s="698"/>
      <c r="AT89" s="698"/>
      <c r="AU89" s="612">
        <f t="shared" si="131"/>
        <v>293090696.38999999</v>
      </c>
      <c r="AV89" s="611">
        <f t="shared" si="103"/>
        <v>0</v>
      </c>
      <c r="AW89" s="610">
        <f>+'[2]Egresos -2015 '!$AO$89</f>
        <v>815395.93099999998</v>
      </c>
      <c r="AX89" s="609">
        <f t="shared" si="104"/>
        <v>1.5767415075447797E-2</v>
      </c>
      <c r="AY89" s="608">
        <f t="shared" ref="AY89:AY94" si="132">+F89/$F$7</f>
        <v>1.6588114140642027E-2</v>
      </c>
      <c r="AZ89" s="606">
        <f>+(((205060605.03+4075000)/6))*12/1000</f>
        <v>418271.21006000001</v>
      </c>
      <c r="BA89" s="608">
        <f t="shared" si="122"/>
        <v>1.145211238042724E-2</v>
      </c>
      <c r="BB89" s="560">
        <f t="shared" si="123"/>
        <v>661040.04894000012</v>
      </c>
      <c r="BC89" s="607">
        <f>+BB89/AZ89</f>
        <v>1.5804101096156618</v>
      </c>
      <c r="BD89" s="606">
        <f>699195.39</f>
        <v>699195.39</v>
      </c>
      <c r="BE89" s="605">
        <f t="shared" si="124"/>
        <v>1.6104334513983392E-2</v>
      </c>
      <c r="BF89" s="560">
        <f t="shared" si="125"/>
        <v>-280924.17994</v>
      </c>
      <c r="BG89" s="604">
        <f t="shared" ref="BG89:BG94" si="133">+BF89/BD89</f>
        <v>-0.40178208260211784</v>
      </c>
      <c r="BH89" s="555"/>
    </row>
    <row r="90" spans="1:60" ht="15.75" customHeight="1" x14ac:dyDescent="0.3">
      <c r="A90" s="559" t="s">
        <v>140</v>
      </c>
      <c r="B90" s="1967" t="s">
        <v>141</v>
      </c>
      <c r="C90" s="1968"/>
      <c r="D90" s="20">
        <f t="shared" si="126"/>
        <v>197500000</v>
      </c>
      <c r="E90" s="620">
        <f t="shared" si="116"/>
        <v>197500000</v>
      </c>
      <c r="F90" s="558">
        <f>769265254/1000</f>
        <v>769265.25399999996</v>
      </c>
      <c r="G90" s="20">
        <f t="shared" si="117"/>
        <v>4500000</v>
      </c>
      <c r="H90" s="375"/>
      <c r="I90" s="375">
        <v>0</v>
      </c>
      <c r="J90" s="375"/>
      <c r="K90" s="375"/>
      <c r="L90" s="341">
        <v>500000</v>
      </c>
      <c r="M90" s="1"/>
      <c r="N90" s="375"/>
      <c r="O90" s="341"/>
      <c r="P90" s="341"/>
      <c r="Q90" s="375">
        <v>0</v>
      </c>
      <c r="R90" s="1"/>
      <c r="S90" s="1">
        <v>4000000</v>
      </c>
      <c r="T90" s="1"/>
      <c r="U90" s="1"/>
      <c r="V90" s="1"/>
      <c r="W90" s="1"/>
      <c r="X90" s="696">
        <f>+'[3]Egresos -2015 '!$Z$90</f>
        <v>29200</v>
      </c>
      <c r="Y90" s="8">
        <f t="shared" si="127"/>
        <v>110000000</v>
      </c>
      <c r="Z90" s="8">
        <v>80000000</v>
      </c>
      <c r="AA90" s="8"/>
      <c r="AB90" s="8"/>
      <c r="AC90" s="8">
        <v>30000000</v>
      </c>
      <c r="AD90" s="8"/>
      <c r="AE90" s="642">
        <f t="shared" si="120"/>
        <v>0.57275696138108356</v>
      </c>
      <c r="AF90" s="8">
        <f>+'[2]Egresos -2015 '!$AG$90</f>
        <v>180000</v>
      </c>
      <c r="AG90" s="2">
        <f t="shared" si="128"/>
        <v>83000000</v>
      </c>
      <c r="AH90" s="699">
        <v>0</v>
      </c>
      <c r="AI90" s="698">
        <v>65000000</v>
      </c>
      <c r="AJ90" s="698"/>
      <c r="AK90" s="698">
        <v>18000000</v>
      </c>
      <c r="AL90" s="614">
        <f>(AF90/AF7)*100</f>
        <v>12.432523755106324</v>
      </c>
      <c r="AM90" s="614">
        <f>+'[2]Egresos -2015 '!$AM$90</f>
        <v>108000</v>
      </c>
      <c r="AN90" s="30">
        <f t="shared" si="129"/>
        <v>0</v>
      </c>
      <c r="AO90" s="698"/>
      <c r="AP90" s="30">
        <f t="shared" si="130"/>
        <v>0</v>
      </c>
      <c r="AQ90" s="699"/>
      <c r="AR90" s="698"/>
      <c r="AS90" s="698"/>
      <c r="AT90" s="698"/>
      <c r="AU90" s="612">
        <f t="shared" si="131"/>
        <v>197500000</v>
      </c>
      <c r="AV90" s="611">
        <f t="shared" si="103"/>
        <v>9.4148412388847004E-3</v>
      </c>
      <c r="AW90" s="610">
        <f>+'[2]Egresos -2015 '!$AO$90</f>
        <v>550202.21</v>
      </c>
      <c r="AX90" s="609">
        <f t="shared" si="104"/>
        <v>1.0639330281988732E-2</v>
      </c>
      <c r="AY90" s="608">
        <f t="shared" si="132"/>
        <v>1.1822965554537943E-2</v>
      </c>
      <c r="AZ90" s="606">
        <f>(((52204321.86+75029082)/6))*12/1000</f>
        <v>254466.80771999998</v>
      </c>
      <c r="BA90" s="608">
        <f t="shared" si="122"/>
        <v>6.9672079000607694E-3</v>
      </c>
      <c r="BB90" s="560">
        <f t="shared" si="123"/>
        <v>514798.44627999997</v>
      </c>
      <c r="BC90" s="607">
        <f>+BB90/AZ90</f>
        <v>2.0230475278585383</v>
      </c>
      <c r="BD90" s="606">
        <v>227248.20699999999</v>
      </c>
      <c r="BE90" s="605">
        <f t="shared" si="124"/>
        <v>5.2341322548350062E-3</v>
      </c>
      <c r="BF90" s="560">
        <f t="shared" si="125"/>
        <v>27218.600719999988</v>
      </c>
      <c r="BG90" s="604">
        <f t="shared" si="133"/>
        <v>0.11977476557163766</v>
      </c>
      <c r="BH90" s="555"/>
    </row>
    <row r="91" spans="1:60" ht="15.75" customHeight="1" x14ac:dyDescent="0.3">
      <c r="A91" s="559" t="s">
        <v>142</v>
      </c>
      <c r="B91" s="1967" t="s">
        <v>143</v>
      </c>
      <c r="C91" s="1968"/>
      <c r="D91" s="20">
        <f t="shared" si="126"/>
        <v>196000000</v>
      </c>
      <c r="E91" s="620">
        <f t="shared" si="116"/>
        <v>196000000</v>
      </c>
      <c r="F91" s="558">
        <f>313160200/1000</f>
        <v>313160.2</v>
      </c>
      <c r="G91" s="20">
        <f t="shared" si="117"/>
        <v>97000000</v>
      </c>
      <c r="H91" s="375"/>
      <c r="I91" s="375">
        <v>0</v>
      </c>
      <c r="J91" s="375">
        <v>6000000</v>
      </c>
      <c r="K91" s="375">
        <v>70000000</v>
      </c>
      <c r="L91" s="341">
        <v>0</v>
      </c>
      <c r="M91" s="1"/>
      <c r="N91" s="375"/>
      <c r="O91" s="341"/>
      <c r="P91" s="341">
        <v>0</v>
      </c>
      <c r="Q91" s="375">
        <v>0</v>
      </c>
      <c r="R91" s="1">
        <v>1000000</v>
      </c>
      <c r="S91" s="1"/>
      <c r="T91" s="1"/>
      <c r="U91" s="1"/>
      <c r="V91" s="1">
        <v>20000000</v>
      </c>
      <c r="W91" s="1"/>
      <c r="X91" s="696">
        <f>+'[3]Egresos -2015 '!$Z$91</f>
        <v>82600</v>
      </c>
      <c r="Y91" s="8">
        <f t="shared" si="127"/>
        <v>60000000</v>
      </c>
      <c r="Z91" s="8">
        <v>30000000</v>
      </c>
      <c r="AA91" s="8"/>
      <c r="AB91" s="8"/>
      <c r="AC91" s="8">
        <v>30000000</v>
      </c>
      <c r="AD91" s="8"/>
      <c r="AE91" s="642">
        <f t="shared" si="120"/>
        <v>1.6201960619889557</v>
      </c>
      <c r="AF91" s="8">
        <f>+'[2]Egresos -2015 '!$AG$91</f>
        <v>194000</v>
      </c>
      <c r="AG91" s="2">
        <f t="shared" si="128"/>
        <v>25000000</v>
      </c>
      <c r="AH91" s="699"/>
      <c r="AI91" s="698">
        <v>25000000</v>
      </c>
      <c r="AJ91" s="698">
        <v>0</v>
      </c>
      <c r="AK91" s="698">
        <v>0</v>
      </c>
      <c r="AL91" s="614">
        <f>(AF91/AF7)*100</f>
        <v>13.399497824947925</v>
      </c>
      <c r="AM91" s="614">
        <f>+'[2]Egresos -2015 '!$AM$91</f>
        <v>3000</v>
      </c>
      <c r="AN91" s="30">
        <f t="shared" si="129"/>
        <v>14000000</v>
      </c>
      <c r="AO91" s="698">
        <v>14000000</v>
      </c>
      <c r="AP91" s="30">
        <f t="shared" si="130"/>
        <v>0</v>
      </c>
      <c r="AQ91" s="699"/>
      <c r="AR91" s="698"/>
      <c r="AS91" s="698"/>
      <c r="AT91" s="698"/>
      <c r="AU91" s="612">
        <f t="shared" si="131"/>
        <v>196000000</v>
      </c>
      <c r="AV91" s="611">
        <f t="shared" si="103"/>
        <v>2.6152336774679726E-4</v>
      </c>
      <c r="AW91" s="610">
        <f>+'[2]Egresos -2015 '!$AO$91</f>
        <v>16500</v>
      </c>
      <c r="AX91" s="609">
        <f t="shared" si="104"/>
        <v>3.19062603643148E-4</v>
      </c>
      <c r="AY91" s="608">
        <f t="shared" si="132"/>
        <v>4.8130111666946718E-3</v>
      </c>
      <c r="AZ91" s="606">
        <f>+(((40123625.98+72443523.78)/6))*12/1000</f>
        <v>225134.29951999997</v>
      </c>
      <c r="BA91" s="608">
        <f t="shared" si="122"/>
        <v>6.1640945797392082E-3</v>
      </c>
      <c r="BB91" s="560">
        <f t="shared" si="123"/>
        <v>88025.90048000004</v>
      </c>
      <c r="BC91" s="607">
        <f>+BB91/AZ91</f>
        <v>0.39099284590431854</v>
      </c>
      <c r="BD91" s="606">
        <v>95715</v>
      </c>
      <c r="BE91" s="605">
        <f t="shared" si="124"/>
        <v>2.2045717120731021E-3</v>
      </c>
      <c r="BF91" s="560">
        <f t="shared" si="125"/>
        <v>129419.29951999997</v>
      </c>
      <c r="BG91" s="604">
        <f t="shared" si="133"/>
        <v>1.3521318447474269</v>
      </c>
      <c r="BH91" s="555"/>
    </row>
    <row r="92" spans="1:60" ht="15.75" customHeight="1" x14ac:dyDescent="0.3">
      <c r="A92" s="559" t="s">
        <v>144</v>
      </c>
      <c r="B92" s="1967" t="s">
        <v>145</v>
      </c>
      <c r="C92" s="1968"/>
      <c r="D92" s="20">
        <f t="shared" si="126"/>
        <v>169628000</v>
      </c>
      <c r="E92" s="620">
        <f t="shared" si="116"/>
        <v>169628000</v>
      </c>
      <c r="F92" s="558">
        <v>0</v>
      </c>
      <c r="G92" s="20">
        <f t="shared" si="117"/>
        <v>124628000</v>
      </c>
      <c r="H92" s="375"/>
      <c r="I92" s="375"/>
      <c r="J92" s="375"/>
      <c r="K92" s="375"/>
      <c r="L92" s="341"/>
      <c r="M92" s="1">
        <v>122728000</v>
      </c>
      <c r="N92" s="375"/>
      <c r="O92" s="375"/>
      <c r="P92" s="341"/>
      <c r="Q92" s="375"/>
      <c r="R92" s="1"/>
      <c r="S92" s="1">
        <v>900000</v>
      </c>
      <c r="T92" s="1"/>
      <c r="U92" s="1"/>
      <c r="V92" s="1"/>
      <c r="W92" s="1">
        <v>1000000</v>
      </c>
      <c r="X92" s="696">
        <f>+'[3]Egresos -2015 '!$Z$92</f>
        <v>120000</v>
      </c>
      <c r="Y92" s="8">
        <f t="shared" si="127"/>
        <v>0</v>
      </c>
      <c r="Z92" s="8"/>
      <c r="AA92" s="8"/>
      <c r="AB92" s="8"/>
      <c r="AC92" s="8"/>
      <c r="AD92" s="8"/>
      <c r="AE92" s="642">
        <f t="shared" si="120"/>
        <v>2.3537957317030833</v>
      </c>
      <c r="AF92" s="8">
        <f>Y92/1000</f>
        <v>0</v>
      </c>
      <c r="AG92" s="2">
        <f t="shared" si="128"/>
        <v>0</v>
      </c>
      <c r="AH92" s="309"/>
      <c r="AI92" s="13">
        <v>0</v>
      </c>
      <c r="AJ92" s="13"/>
      <c r="AK92" s="13"/>
      <c r="AL92" s="614"/>
      <c r="AM92" s="614">
        <v>0</v>
      </c>
      <c r="AN92" s="30">
        <f t="shared" si="129"/>
        <v>45000000</v>
      </c>
      <c r="AO92" s="13">
        <f>60000000-15000000</f>
        <v>45000000</v>
      </c>
      <c r="AP92" s="30">
        <f t="shared" si="130"/>
        <v>0</v>
      </c>
      <c r="AQ92" s="309"/>
      <c r="AR92" s="13"/>
      <c r="AS92" s="13"/>
      <c r="AT92" s="13"/>
      <c r="AU92" s="612">
        <f t="shared" si="131"/>
        <v>169628000</v>
      </c>
      <c r="AV92" s="611">
        <f t="shared" si="103"/>
        <v>0</v>
      </c>
      <c r="AW92" s="610">
        <f>+'[2]Egresos -2015 '!$AO$92</f>
        <v>26000</v>
      </c>
      <c r="AX92" s="609">
        <f t="shared" si="104"/>
        <v>5.027653148316272E-4</v>
      </c>
      <c r="AY92" s="608">
        <f t="shared" si="132"/>
        <v>0</v>
      </c>
      <c r="AZ92" s="606">
        <f>+((0/6))*12/1000</f>
        <v>0</v>
      </c>
      <c r="BA92" s="608">
        <f t="shared" si="122"/>
        <v>0</v>
      </c>
      <c r="BB92" s="560">
        <f t="shared" si="123"/>
        <v>0</v>
      </c>
      <c r="BC92" s="607">
        <v>0</v>
      </c>
      <c r="BD92" s="606">
        <v>43456.745999999999</v>
      </c>
      <c r="BE92" s="605">
        <f t="shared" si="124"/>
        <v>1.0009247550576809E-3</v>
      </c>
      <c r="BF92" s="560">
        <f t="shared" si="125"/>
        <v>-43456.745999999999</v>
      </c>
      <c r="BG92" s="604">
        <f t="shared" si="133"/>
        <v>-1</v>
      </c>
      <c r="BH92" s="555"/>
    </row>
    <row r="93" spans="1:60" ht="15.75" customHeight="1" x14ac:dyDescent="0.3">
      <c r="A93" s="559" t="s">
        <v>146</v>
      </c>
      <c r="B93" s="1967" t="s">
        <v>147</v>
      </c>
      <c r="C93" s="1968"/>
      <c r="D93" s="20">
        <f t="shared" si="126"/>
        <v>177062640</v>
      </c>
      <c r="E93" s="620">
        <f t="shared" si="116"/>
        <v>177062640</v>
      </c>
      <c r="F93" s="558">
        <f>226250000/1000</f>
        <v>226250</v>
      </c>
      <c r="G93" s="20">
        <f t="shared" si="117"/>
        <v>149032640</v>
      </c>
      <c r="H93" s="375"/>
      <c r="I93" s="375"/>
      <c r="J93" s="375"/>
      <c r="K93" s="375"/>
      <c r="L93" s="341">
        <v>1000000</v>
      </c>
      <c r="M93" s="1">
        <v>432640</v>
      </c>
      <c r="N93" s="375">
        <v>0</v>
      </c>
      <c r="O93" s="375"/>
      <c r="P93" s="341"/>
      <c r="Q93" s="375"/>
      <c r="R93" s="1"/>
      <c r="S93" s="1">
        <v>147600000</v>
      </c>
      <c r="T93" s="1"/>
      <c r="U93" s="1"/>
      <c r="V93" s="1"/>
      <c r="W93" s="1"/>
      <c r="X93" s="696">
        <f>+'[3]Egresos -2015 '!$Z$93</f>
        <v>205200</v>
      </c>
      <c r="Y93" s="8">
        <f t="shared" si="127"/>
        <v>0</v>
      </c>
      <c r="Z93" s="8"/>
      <c r="AA93" s="8"/>
      <c r="AB93" s="8"/>
      <c r="AC93" s="8"/>
      <c r="AD93" s="8"/>
      <c r="AE93" s="642">
        <f t="shared" si="120"/>
        <v>4.0249907012122721</v>
      </c>
      <c r="AF93" s="8">
        <f>Y93/1000</f>
        <v>0</v>
      </c>
      <c r="AG93" s="2">
        <f t="shared" si="128"/>
        <v>8030000</v>
      </c>
      <c r="AH93" s="636">
        <v>0</v>
      </c>
      <c r="AI93" s="9">
        <v>0</v>
      </c>
      <c r="AJ93" s="12">
        <v>30000</v>
      </c>
      <c r="AK93" s="12">
        <v>8000000</v>
      </c>
      <c r="AL93" s="614"/>
      <c r="AM93" s="614">
        <f>+'[2]Egresos -2015 '!$AM$93</f>
        <v>15000</v>
      </c>
      <c r="AN93" s="30">
        <f t="shared" si="129"/>
        <v>20000000</v>
      </c>
      <c r="AO93" s="12">
        <f>24800000-4800000</f>
        <v>20000000</v>
      </c>
      <c r="AP93" s="30">
        <f t="shared" si="130"/>
        <v>0</v>
      </c>
      <c r="AQ93" s="317"/>
      <c r="AR93" s="12"/>
      <c r="AS93" s="12"/>
      <c r="AT93" s="12"/>
      <c r="AU93" s="612">
        <f t="shared" si="131"/>
        <v>177062640</v>
      </c>
      <c r="AV93" s="611">
        <f t="shared" si="103"/>
        <v>1.3076168387339863E-3</v>
      </c>
      <c r="AW93" s="610">
        <f>+'[2]Egresos -2015 '!$AO$93</f>
        <v>14000</v>
      </c>
      <c r="AX93" s="609">
        <f t="shared" si="104"/>
        <v>2.7071978490933772E-4</v>
      </c>
      <c r="AY93" s="608">
        <f t="shared" si="132"/>
        <v>3.4772738568460151E-3</v>
      </c>
      <c r="AZ93" s="606">
        <f>+(((59647382.5+106180024.98)/6))*12/1000</f>
        <v>331654.81496000005</v>
      </c>
      <c r="BA93" s="608">
        <f t="shared" si="122"/>
        <v>9.080587238808252E-3</v>
      </c>
      <c r="BB93" s="560">
        <f t="shared" si="123"/>
        <v>-105404.81496000005</v>
      </c>
      <c r="BC93" s="607">
        <f>+BB93/AZ93</f>
        <v>-0.31781481891861763</v>
      </c>
      <c r="BD93" s="606">
        <v>190859.03400000001</v>
      </c>
      <c r="BE93" s="605">
        <f t="shared" si="124"/>
        <v>4.3959925544585325E-3</v>
      </c>
      <c r="BF93" s="560">
        <f t="shared" si="125"/>
        <v>140795.78096000003</v>
      </c>
      <c r="BG93" s="604">
        <f t="shared" si="133"/>
        <v>0.73769513556272126</v>
      </c>
      <c r="BH93" s="555"/>
    </row>
    <row r="94" spans="1:60" ht="15.75" customHeight="1" x14ac:dyDescent="0.3">
      <c r="A94" s="559" t="s">
        <v>148</v>
      </c>
      <c r="B94" s="1967" t="s">
        <v>149</v>
      </c>
      <c r="C94" s="1968"/>
      <c r="D94" s="20">
        <f t="shared" si="126"/>
        <v>150200000</v>
      </c>
      <c r="E94" s="620">
        <f t="shared" si="116"/>
        <v>150200000</v>
      </c>
      <c r="F94" s="558">
        <f>70525000/1000</f>
        <v>70525</v>
      </c>
      <c r="G94" s="20">
        <f t="shared" si="117"/>
        <v>37000000</v>
      </c>
      <c r="H94" s="375"/>
      <c r="I94" s="375">
        <v>0</v>
      </c>
      <c r="J94" s="375"/>
      <c r="K94" s="375"/>
      <c r="L94" s="341"/>
      <c r="M94" s="1">
        <v>0</v>
      </c>
      <c r="N94" s="375">
        <v>0</v>
      </c>
      <c r="O94" s="375"/>
      <c r="P94" s="341"/>
      <c r="Q94" s="375"/>
      <c r="R94" s="1"/>
      <c r="S94" s="1">
        <v>5000000</v>
      </c>
      <c r="T94" s="1"/>
      <c r="U94" s="1"/>
      <c r="V94" s="1"/>
      <c r="W94" s="1">
        <f>32000000</f>
        <v>32000000</v>
      </c>
      <c r="X94" s="696">
        <f>+'[3]Egresos -2015 '!$Z$94</f>
        <v>33960</v>
      </c>
      <c r="Y94" s="8">
        <f t="shared" si="127"/>
        <v>95000000</v>
      </c>
      <c r="Z94" s="8">
        <v>15000000</v>
      </c>
      <c r="AA94" s="8"/>
      <c r="AB94" s="8"/>
      <c r="AC94" s="8">
        <v>80000000</v>
      </c>
      <c r="AD94" s="8"/>
      <c r="AE94" s="642">
        <f t="shared" si="120"/>
        <v>0.66612419207197249</v>
      </c>
      <c r="AF94" s="8">
        <f>+'[2]Egresos -2015 '!$AG$94</f>
        <v>112000</v>
      </c>
      <c r="AG94" s="2">
        <f t="shared" si="128"/>
        <v>0</v>
      </c>
      <c r="AH94" s="699">
        <v>0</v>
      </c>
      <c r="AI94" s="698">
        <v>0</v>
      </c>
      <c r="AJ94" s="698">
        <v>0</v>
      </c>
      <c r="AK94" s="698">
        <v>0</v>
      </c>
      <c r="AL94" s="614">
        <f>(AF94/AF7)*100</f>
        <v>7.7357925587328236</v>
      </c>
      <c r="AM94" s="614">
        <f>AG94/1000</f>
        <v>0</v>
      </c>
      <c r="AN94" s="30">
        <f t="shared" si="129"/>
        <v>18200000</v>
      </c>
      <c r="AO94" s="698">
        <v>14200000</v>
      </c>
      <c r="AP94" s="30">
        <f t="shared" si="130"/>
        <v>4000000</v>
      </c>
      <c r="AQ94" s="699">
        <v>1000000</v>
      </c>
      <c r="AR94" s="698">
        <v>1000000</v>
      </c>
      <c r="AS94" s="698">
        <v>1000000</v>
      </c>
      <c r="AT94" s="698">
        <v>1000000</v>
      </c>
      <c r="AU94" s="612">
        <f t="shared" si="131"/>
        <v>150200000</v>
      </c>
      <c r="AV94" s="611">
        <f t="shared" si="103"/>
        <v>0</v>
      </c>
      <c r="AW94" s="610">
        <f>+'[2]Egresos -2015 '!$AO$94</f>
        <v>20200</v>
      </c>
      <c r="AX94" s="609">
        <f t="shared" si="104"/>
        <v>3.9060997536918726E-4</v>
      </c>
      <c r="AY94" s="608">
        <f t="shared" si="132"/>
        <v>1.0839104475317801E-3</v>
      </c>
      <c r="AZ94" s="606">
        <f>+(((16783701.99+8326221.91)/6))*12/1000</f>
        <v>50219.847799999996</v>
      </c>
      <c r="BA94" s="608">
        <f t="shared" si="122"/>
        <v>1.3750010206321672E-3</v>
      </c>
      <c r="BB94" s="560">
        <f t="shared" si="123"/>
        <v>20305.152200000004</v>
      </c>
      <c r="BC94" s="607">
        <f>+BB94/AZ94</f>
        <v>0.40432524369378925</v>
      </c>
      <c r="BD94" s="606">
        <v>16827.319</v>
      </c>
      <c r="BE94" s="605">
        <f t="shared" si="124"/>
        <v>3.875780333012614E-4</v>
      </c>
      <c r="BF94" s="560">
        <f t="shared" si="125"/>
        <v>33392.5288</v>
      </c>
      <c r="BG94" s="604">
        <f t="shared" si="133"/>
        <v>1.9844235911852626</v>
      </c>
      <c r="BH94" s="555"/>
    </row>
    <row r="95" spans="1:60" ht="15.75" customHeight="1" x14ac:dyDescent="0.3">
      <c r="A95" s="559"/>
      <c r="B95" s="634"/>
      <c r="C95" s="635"/>
      <c r="D95" s="20"/>
      <c r="E95" s="620"/>
      <c r="F95" s="558"/>
      <c r="G95" s="20"/>
      <c r="H95" s="375"/>
      <c r="I95" s="375"/>
      <c r="J95" s="375"/>
      <c r="K95" s="375"/>
      <c r="L95" s="341"/>
      <c r="M95" s="1"/>
      <c r="N95" s="375"/>
      <c r="O95" s="375"/>
      <c r="P95" s="341"/>
      <c r="Q95" s="375"/>
      <c r="R95" s="1"/>
      <c r="S95" s="1"/>
      <c r="T95" s="1"/>
      <c r="U95" s="1"/>
      <c r="V95" s="1"/>
      <c r="W95" s="1"/>
      <c r="X95" s="617"/>
      <c r="Y95" s="560"/>
      <c r="Z95" s="560"/>
      <c r="AA95" s="560"/>
      <c r="AB95" s="560"/>
      <c r="AC95" s="560"/>
      <c r="AD95" s="560"/>
      <c r="AE95" s="615"/>
      <c r="AF95" s="8"/>
      <c r="AG95" s="11" t="s">
        <v>0</v>
      </c>
      <c r="AH95" s="699" t="s">
        <v>0</v>
      </c>
      <c r="AI95" s="698" t="s">
        <v>0</v>
      </c>
      <c r="AJ95" s="698" t="s">
        <v>0</v>
      </c>
      <c r="AK95" s="698" t="s">
        <v>0</v>
      </c>
      <c r="AL95" s="614"/>
      <c r="AM95" s="614"/>
      <c r="AN95" s="34"/>
      <c r="AO95" s="698"/>
      <c r="AP95" s="706"/>
      <c r="AQ95" s="699"/>
      <c r="AR95" s="698"/>
      <c r="AS95" s="698"/>
      <c r="AT95" s="698"/>
      <c r="AU95" s="612"/>
      <c r="AV95" s="611">
        <f t="shared" si="103"/>
        <v>0</v>
      </c>
      <c r="AW95" s="610"/>
      <c r="AX95" s="609">
        <f t="shared" si="104"/>
        <v>0</v>
      </c>
      <c r="AY95" s="608"/>
      <c r="AZ95" s="606"/>
      <c r="BA95" s="608"/>
      <c r="BB95" s="560"/>
      <c r="BC95" s="607"/>
      <c r="BD95" s="606"/>
      <c r="BE95" s="605"/>
      <c r="BF95" s="560"/>
      <c r="BG95" s="604"/>
      <c r="BH95" s="555"/>
    </row>
    <row r="96" spans="1:60" ht="15.75" customHeight="1" x14ac:dyDescent="0.3">
      <c r="A96" s="562" t="s">
        <v>150</v>
      </c>
      <c r="B96" s="1973" t="s">
        <v>151</v>
      </c>
      <c r="C96" s="1979"/>
      <c r="D96" s="21">
        <f>SUM(D97:D100)</f>
        <v>39361612.140000001</v>
      </c>
      <c r="E96" s="628">
        <f>SUM(G96+Y96+AG96+AN96)</f>
        <v>39361612.140000001</v>
      </c>
      <c r="F96" s="561">
        <f>F97+F98+F99+F100</f>
        <v>36928.300000000003</v>
      </c>
      <c r="G96" s="21">
        <f>SUM(H96:W96)</f>
        <v>9941612.1400000006</v>
      </c>
      <c r="H96" s="374">
        <f t="shared" ref="H96:W96" si="134">SUM(H97:H100)</f>
        <v>0</v>
      </c>
      <c r="I96" s="374">
        <f t="shared" si="134"/>
        <v>22000</v>
      </c>
      <c r="J96" s="374">
        <f t="shared" si="134"/>
        <v>2956000</v>
      </c>
      <c r="K96" s="374">
        <f t="shared" si="134"/>
        <v>500000</v>
      </c>
      <c r="L96" s="23">
        <f t="shared" si="134"/>
        <v>300000</v>
      </c>
      <c r="M96" s="23">
        <f t="shared" si="134"/>
        <v>0</v>
      </c>
      <c r="N96" s="374">
        <f t="shared" si="134"/>
        <v>400000</v>
      </c>
      <c r="O96" s="374">
        <f t="shared" si="134"/>
        <v>50000</v>
      </c>
      <c r="P96" s="23">
        <f t="shared" si="134"/>
        <v>130000</v>
      </c>
      <c r="Q96" s="374">
        <f t="shared" si="134"/>
        <v>450000</v>
      </c>
      <c r="R96" s="23">
        <f t="shared" si="134"/>
        <v>350000</v>
      </c>
      <c r="S96" s="23">
        <f t="shared" si="134"/>
        <v>4237612.1399999997</v>
      </c>
      <c r="T96" s="23">
        <f t="shared" si="134"/>
        <v>0</v>
      </c>
      <c r="U96" s="23">
        <f t="shared" si="134"/>
        <v>52000</v>
      </c>
      <c r="V96" s="23">
        <f t="shared" si="134"/>
        <v>244000</v>
      </c>
      <c r="W96" s="23">
        <f t="shared" si="134"/>
        <v>250000</v>
      </c>
      <c r="X96" s="350">
        <f>+X97+X98+X99+X100</f>
        <v>14360</v>
      </c>
      <c r="Y96" s="9">
        <f t="shared" ref="Y96:AD96" si="135">SUM(Y97:Y99)</f>
        <v>11550000</v>
      </c>
      <c r="Z96" s="9">
        <f t="shared" si="135"/>
        <v>1050000</v>
      </c>
      <c r="AA96" s="9">
        <f t="shared" si="135"/>
        <v>1500000</v>
      </c>
      <c r="AB96" s="9">
        <f t="shared" si="135"/>
        <v>3000000</v>
      </c>
      <c r="AC96" s="9">
        <f t="shared" si="135"/>
        <v>3000000</v>
      </c>
      <c r="AD96" s="9">
        <f t="shared" si="135"/>
        <v>3000000</v>
      </c>
      <c r="AE96" s="615">
        <f>X96/$X$7*100</f>
        <v>0.28167088922713562</v>
      </c>
      <c r="AF96" s="10">
        <f>+AF97+AF98+AF99+AF100</f>
        <v>16240</v>
      </c>
      <c r="AG96" s="2">
        <f>SUM(AG97:AG100)</f>
        <v>10075000</v>
      </c>
      <c r="AH96" s="709">
        <f>SUM(AH97:AH100)</f>
        <v>1025000</v>
      </c>
      <c r="AI96" s="708">
        <f>SUM(AI97:AI100)</f>
        <v>3650000</v>
      </c>
      <c r="AJ96" s="33">
        <f>SUM(AJ97:AJ100)</f>
        <v>100000</v>
      </c>
      <c r="AK96" s="33">
        <f>SUM(AK97:AK100)</f>
        <v>5300000</v>
      </c>
      <c r="AL96" s="623">
        <f>(AF96/AF7)*100</f>
        <v>1.1216899210162594</v>
      </c>
      <c r="AM96" s="623">
        <f>+AM97+AM98+AM99+AM100</f>
        <v>6350</v>
      </c>
      <c r="AN96" s="34">
        <f t="shared" ref="AN96:AU96" si="136">SUM(AN97:AN100)</f>
        <v>7795000</v>
      </c>
      <c r="AO96" s="35">
        <f t="shared" si="136"/>
        <v>1380000</v>
      </c>
      <c r="AP96" s="34">
        <f t="shared" si="136"/>
        <v>6415000</v>
      </c>
      <c r="AQ96" s="305">
        <f t="shared" si="136"/>
        <v>1324500</v>
      </c>
      <c r="AR96" s="35">
        <f t="shared" si="136"/>
        <v>641500</v>
      </c>
      <c r="AS96" s="35">
        <f t="shared" si="136"/>
        <v>1924500</v>
      </c>
      <c r="AT96" s="35">
        <f t="shared" si="136"/>
        <v>2524500</v>
      </c>
      <c r="AU96" s="622">
        <f t="shared" si="136"/>
        <v>39361612.140000001</v>
      </c>
      <c r="AV96" s="611">
        <f t="shared" si="103"/>
        <v>5.5355779506405418E-4</v>
      </c>
      <c r="AW96" s="621">
        <f>+AW97+AW98</f>
        <v>7950</v>
      </c>
      <c r="AX96" s="609">
        <f t="shared" si="104"/>
        <v>1.5373016357351677E-4</v>
      </c>
      <c r="AY96" s="608">
        <f>+F96/$F$7</f>
        <v>5.6755718085200763E-4</v>
      </c>
      <c r="AZ96" s="561">
        <f>AZ97+AZ98+AZ99+AZ100</f>
        <v>11520.771999999999</v>
      </c>
      <c r="BA96" s="608">
        <f>+AZ96/$AZ$7</f>
        <v>3.1543451349270107E-4</v>
      </c>
      <c r="BB96" s="560">
        <f>+F96-AZ96</f>
        <v>25407.528000000006</v>
      </c>
      <c r="BC96" s="607">
        <f>+BB96/AZ96</f>
        <v>2.2053667931281002</v>
      </c>
      <c r="BD96" s="561">
        <f>BD97+BD98+BD99+BD100</f>
        <v>14349.007</v>
      </c>
      <c r="BE96" s="605">
        <f>+BD96/$BD$7</f>
        <v>3.3049589853773102E-4</v>
      </c>
      <c r="BF96" s="560">
        <f>AZ96-BD96</f>
        <v>-2828.2350000000006</v>
      </c>
      <c r="BG96" s="604">
        <f>+BF96/BD96</f>
        <v>-0.19710318630411156</v>
      </c>
      <c r="BH96" s="555"/>
    </row>
    <row r="97" spans="1:60" ht="15.75" customHeight="1" x14ac:dyDescent="0.3">
      <c r="A97" s="559" t="s">
        <v>152</v>
      </c>
      <c r="B97" s="1967" t="s">
        <v>153</v>
      </c>
      <c r="C97" s="1968"/>
      <c r="D97" s="20">
        <f>+G97+Y97+AG97+AN97</f>
        <v>7053373.6200000001</v>
      </c>
      <c r="E97" s="620">
        <f>SUM(G97+Y97+AG97+AN97)</f>
        <v>7053373.6200000001</v>
      </c>
      <c r="F97" s="558">
        <f>3091000/1000</f>
        <v>3091</v>
      </c>
      <c r="G97" s="20">
        <f>SUM(H97:W97)</f>
        <v>1883373.62</v>
      </c>
      <c r="H97" s="375"/>
      <c r="I97" s="375">
        <v>0</v>
      </c>
      <c r="J97" s="375">
        <v>416000</v>
      </c>
      <c r="K97" s="375"/>
      <c r="L97" s="341">
        <v>200000</v>
      </c>
      <c r="M97" s="1"/>
      <c r="N97" s="375">
        <f>100000</f>
        <v>100000</v>
      </c>
      <c r="O97" s="375"/>
      <c r="P97" s="341">
        <v>30000</v>
      </c>
      <c r="Q97" s="375">
        <v>50000</v>
      </c>
      <c r="R97" s="1">
        <v>50000</v>
      </c>
      <c r="S97" s="1">
        <v>947373.62</v>
      </c>
      <c r="T97" s="1"/>
      <c r="U97" s="1"/>
      <c r="V97" s="1">
        <v>40000</v>
      </c>
      <c r="W97" s="1">
        <v>50000</v>
      </c>
      <c r="X97" s="617">
        <f>+'[3]Egresos -2015 '!$Z$97</f>
        <v>2065</v>
      </c>
      <c r="Y97" s="8">
        <f>SUM(Z97:AD97)</f>
        <v>4050000</v>
      </c>
      <c r="Z97" s="8">
        <v>50000</v>
      </c>
      <c r="AA97" s="8">
        <v>1000000</v>
      </c>
      <c r="AB97" s="8">
        <v>1000000</v>
      </c>
      <c r="AC97" s="8">
        <v>1000000</v>
      </c>
      <c r="AD97" s="8">
        <v>1000000</v>
      </c>
      <c r="AE97" s="642">
        <f>X97/$X$7*100</f>
        <v>4.0504901549723887E-2</v>
      </c>
      <c r="AF97" s="8">
        <f>+'[2]Egresos -2015 '!$AG$97</f>
        <v>6240</v>
      </c>
      <c r="AG97" s="2">
        <f>SUM(AH97:AK97)</f>
        <v>525000</v>
      </c>
      <c r="AH97" s="699">
        <v>25000</v>
      </c>
      <c r="AI97" s="698">
        <v>150000</v>
      </c>
      <c r="AJ97" s="698">
        <v>50000</v>
      </c>
      <c r="AK97" s="698">
        <v>300000</v>
      </c>
      <c r="AL97" s="614">
        <f>(AF97/AF7)*100</f>
        <v>0.43099415684368586</v>
      </c>
      <c r="AM97" s="614">
        <f>+'[2]Egresos -2015 '!$AM$97</f>
        <v>350</v>
      </c>
      <c r="AN97" s="30">
        <f>SUM(AO97+AP97)</f>
        <v>595000</v>
      </c>
      <c r="AO97" s="698">
        <v>180000</v>
      </c>
      <c r="AP97" s="613">
        <f>SUM(AQ97:AT97)</f>
        <v>415000</v>
      </c>
      <c r="AQ97" s="699">
        <v>124500</v>
      </c>
      <c r="AR97" s="698">
        <v>41500</v>
      </c>
      <c r="AS97" s="698">
        <v>124500</v>
      </c>
      <c r="AT97" s="698">
        <v>124500</v>
      </c>
      <c r="AU97" s="612">
        <f>SUM(AN97+AG97+Y97+G97)</f>
        <v>7053373.6200000001</v>
      </c>
      <c r="AV97" s="611">
        <f t="shared" si="103"/>
        <v>3.0511059570459679E-5</v>
      </c>
      <c r="AW97" s="610">
        <f>+'[2]Egresos -2015 '!$AO$97</f>
        <v>920</v>
      </c>
      <c r="AX97" s="609">
        <f t="shared" si="104"/>
        <v>1.7790157294042192E-5</v>
      </c>
      <c r="AY97" s="608">
        <f>+F97/$F$7</f>
        <v>4.7506092780159263E-5</v>
      </c>
      <c r="AZ97" s="606">
        <f>+((696615/6))*12/1000</f>
        <v>1393.23</v>
      </c>
      <c r="BA97" s="608">
        <f>+AZ97/$AZ$7</f>
        <v>3.8146126599279627E-5</v>
      </c>
      <c r="BB97" s="560">
        <f>+F97-AZ97</f>
        <v>1697.77</v>
      </c>
      <c r="BC97" s="607">
        <f>+BB97/AZ97</f>
        <v>1.2185855888833861</v>
      </c>
      <c r="BD97" s="606">
        <v>379.452</v>
      </c>
      <c r="BE97" s="605">
        <f>+BD97/$BD$7</f>
        <v>8.73979151950648E-6</v>
      </c>
      <c r="BF97" s="560">
        <f>AZ97-BD97</f>
        <v>1013.778</v>
      </c>
      <c r="BG97" s="604">
        <f>+BF97/BD97</f>
        <v>2.6716896998829891</v>
      </c>
      <c r="BH97" s="555"/>
    </row>
    <row r="98" spans="1:60" ht="15.75" customHeight="1" x14ac:dyDescent="0.3">
      <c r="A98" s="559" t="s">
        <v>154</v>
      </c>
      <c r="B98" s="1967" t="s">
        <v>155</v>
      </c>
      <c r="C98" s="1968"/>
      <c r="D98" s="20">
        <f>+G98+Y98+AG98+AN98</f>
        <v>30808238.52</v>
      </c>
      <c r="E98" s="620">
        <f>SUM(G98+Y98+AG98+AN98)</f>
        <v>30808238.52</v>
      </c>
      <c r="F98" s="558">
        <f>32837300/1000</f>
        <v>32837.300000000003</v>
      </c>
      <c r="G98" s="20">
        <f>SUM(H98:W98)</f>
        <v>6558238.5199999996</v>
      </c>
      <c r="H98" s="375"/>
      <c r="I98" s="375">
        <v>22000</v>
      </c>
      <c r="J98" s="375">
        <v>1040000</v>
      </c>
      <c r="K98" s="375">
        <v>500000</v>
      </c>
      <c r="L98" s="341">
        <v>100000</v>
      </c>
      <c r="M98" s="1"/>
      <c r="N98" s="375">
        <f>300000</f>
        <v>300000</v>
      </c>
      <c r="O98" s="375">
        <v>50000</v>
      </c>
      <c r="P98" s="341">
        <v>100000</v>
      </c>
      <c r="Q98" s="375">
        <v>400000</v>
      </c>
      <c r="R98" s="1">
        <v>300000</v>
      </c>
      <c r="S98" s="1">
        <v>3290238.52</v>
      </c>
      <c r="T98" s="1"/>
      <c r="U98" s="1">
        <v>52000</v>
      </c>
      <c r="V98" s="1">
        <v>204000</v>
      </c>
      <c r="W98" s="1">
        <v>200000</v>
      </c>
      <c r="X98" s="617">
        <f>+'[3]Egresos -2015 '!$Z$98</f>
        <v>12295</v>
      </c>
      <c r="Y98" s="8">
        <f>SUM(Z98:AD98)</f>
        <v>7500000</v>
      </c>
      <c r="Z98" s="8">
        <v>1000000</v>
      </c>
      <c r="AA98" s="8">
        <v>500000</v>
      </c>
      <c r="AB98" s="8">
        <v>2000000</v>
      </c>
      <c r="AC98" s="8">
        <v>2000000</v>
      </c>
      <c r="AD98" s="8">
        <v>2000000</v>
      </c>
      <c r="AE98" s="642">
        <f>X98/$X$7*100</f>
        <v>0.24116598767741174</v>
      </c>
      <c r="AF98" s="8">
        <f>+'[2]Egresos -2015 '!$AG$98</f>
        <v>10000</v>
      </c>
      <c r="AG98" s="2">
        <f>SUM(AH98:AK98)</f>
        <v>9550000</v>
      </c>
      <c r="AH98" s="316">
        <v>1000000</v>
      </c>
      <c r="AI98" s="8">
        <v>3500000</v>
      </c>
      <c r="AJ98" s="8">
        <v>50000</v>
      </c>
      <c r="AK98" s="8">
        <v>5000000</v>
      </c>
      <c r="AL98" s="614">
        <f>(AF98/AF7)*100</f>
        <v>0.6906957641725735</v>
      </c>
      <c r="AM98" s="614">
        <f>+'[2]Egresos -2015 '!$AM$98</f>
        <v>6000</v>
      </c>
      <c r="AN98" s="30">
        <f>SUM(AO98+AP98)</f>
        <v>7200000</v>
      </c>
      <c r="AO98" s="8">
        <v>1200000</v>
      </c>
      <c r="AP98" s="613">
        <f>SUM(AQ98:AT98)</f>
        <v>6000000</v>
      </c>
      <c r="AQ98" s="316">
        <v>1200000</v>
      </c>
      <c r="AR98" s="8">
        <v>600000</v>
      </c>
      <c r="AS98" s="8">
        <v>1800000</v>
      </c>
      <c r="AT98" s="8">
        <v>2400000</v>
      </c>
      <c r="AU98" s="612">
        <f>SUM(AN98+AG98+Y98+G98)</f>
        <v>30808238.52</v>
      </c>
      <c r="AV98" s="611">
        <f t="shared" si="103"/>
        <v>5.2304673549359451E-4</v>
      </c>
      <c r="AW98" s="610">
        <f>+'[2]Egresos -2015 '!$AO$98</f>
        <v>7030</v>
      </c>
      <c r="AX98" s="609">
        <f t="shared" si="104"/>
        <v>1.3594000627947458E-4</v>
      </c>
      <c r="AY98" s="608">
        <f>+F98/$F$7</f>
        <v>5.0468192185374437E-4</v>
      </c>
      <c r="AZ98" s="606">
        <f>+((5063771/6))*12/1000</f>
        <v>10127.541999999999</v>
      </c>
      <c r="BA98" s="608">
        <f>+AZ98/$AZ$7</f>
        <v>2.7728838689342148E-4</v>
      </c>
      <c r="BB98" s="560">
        <f>+F98-AZ98</f>
        <v>22709.758000000002</v>
      </c>
      <c r="BC98" s="607">
        <f>+BB98/AZ98</f>
        <v>2.2423760869123033</v>
      </c>
      <c r="BD98" s="606">
        <v>13281.76</v>
      </c>
      <c r="BE98" s="605">
        <f>+BD98/$BD$7</f>
        <v>3.0591435388961023E-4</v>
      </c>
      <c r="BF98" s="560">
        <f>AZ98-BD98</f>
        <v>-3154.2180000000008</v>
      </c>
      <c r="BG98" s="604">
        <f>+BF98/BD98</f>
        <v>-0.23748494175470727</v>
      </c>
      <c r="BH98" s="555"/>
    </row>
    <row r="99" spans="1:60" ht="15.75" customHeight="1" x14ac:dyDescent="0.3">
      <c r="A99" s="559" t="s">
        <v>156</v>
      </c>
      <c r="B99" s="1967" t="s">
        <v>157</v>
      </c>
      <c r="C99" s="1968"/>
      <c r="D99" s="20">
        <f>+G99+Y99+AG99+AN99</f>
        <v>1000000</v>
      </c>
      <c r="E99" s="620">
        <f>SUM(G99+Y99+AG99+AN99)</f>
        <v>1000000</v>
      </c>
      <c r="F99" s="558">
        <f>1000000/1000</f>
        <v>1000</v>
      </c>
      <c r="G99" s="20">
        <f>SUM(H99:W99)</f>
        <v>1000000</v>
      </c>
      <c r="H99" s="375">
        <v>0</v>
      </c>
      <c r="I99" s="375"/>
      <c r="J99" s="375">
        <v>1000000</v>
      </c>
      <c r="K99" s="375"/>
      <c r="L99" s="341"/>
      <c r="M99" s="1"/>
      <c r="N99" s="375"/>
      <c r="O99" s="375"/>
      <c r="P99" s="341"/>
      <c r="Q99" s="375"/>
      <c r="R99" s="1"/>
      <c r="S99" s="1"/>
      <c r="T99" s="1"/>
      <c r="U99" s="1"/>
      <c r="V99" s="1"/>
      <c r="W99" s="1"/>
      <c r="X99" s="617">
        <v>0</v>
      </c>
      <c r="Y99" s="8">
        <f>SUM(Z99:AD99)</f>
        <v>0</v>
      </c>
      <c r="Z99" s="8"/>
      <c r="AA99" s="8"/>
      <c r="AB99" s="8"/>
      <c r="AC99" s="8"/>
      <c r="AD99" s="8"/>
      <c r="AE99" s="642">
        <f>X99/$X$7*100</f>
        <v>0</v>
      </c>
      <c r="AF99" s="8">
        <f>Y99/1000</f>
        <v>0</v>
      </c>
      <c r="AG99" s="2">
        <f>SUM(AH99:AK99)</f>
        <v>0</v>
      </c>
      <c r="AH99" s="315">
        <v>0</v>
      </c>
      <c r="AI99" s="2">
        <v>0</v>
      </c>
      <c r="AJ99" s="2">
        <v>0</v>
      </c>
      <c r="AK99" s="2">
        <v>0</v>
      </c>
      <c r="AL99" s="614"/>
      <c r="AM99" s="614">
        <v>0</v>
      </c>
      <c r="AN99" s="30">
        <f>SUM(AO99+AP99)</f>
        <v>0</v>
      </c>
      <c r="AO99" s="11"/>
      <c r="AP99" s="613">
        <f>SUM(AQ99:AT99)</f>
        <v>0</v>
      </c>
      <c r="AQ99" s="307"/>
      <c r="AR99" s="11"/>
      <c r="AS99" s="11"/>
      <c r="AT99" s="11"/>
      <c r="AU99" s="612">
        <f>SUM(AN99+AG99+Y99+G99)</f>
        <v>1000000</v>
      </c>
      <c r="AV99" s="611">
        <f t="shared" si="103"/>
        <v>0</v>
      </c>
      <c r="AW99" s="610">
        <v>0</v>
      </c>
      <c r="AX99" s="609">
        <f t="shared" si="104"/>
        <v>0</v>
      </c>
      <c r="AY99" s="608">
        <f>+F99/$F$7</f>
        <v>1.5369166218103935E-5</v>
      </c>
      <c r="AZ99" s="606">
        <f>+((0/7))*12/1000</f>
        <v>0</v>
      </c>
      <c r="BA99" s="608">
        <f>+AZ99/$AZ$7</f>
        <v>0</v>
      </c>
      <c r="BB99" s="560">
        <f>+F99-AZ99</f>
        <v>1000</v>
      </c>
      <c r="BC99" s="607">
        <v>0</v>
      </c>
      <c r="BD99" s="606">
        <v>197.79499999999999</v>
      </c>
      <c r="BE99" s="605">
        <f>+BD99/$BD$7</f>
        <v>4.5557463489473871E-6</v>
      </c>
      <c r="BF99" s="560">
        <f>AZ99-BD99</f>
        <v>-197.79499999999999</v>
      </c>
      <c r="BG99" s="604">
        <v>0</v>
      </c>
      <c r="BH99" s="555"/>
    </row>
    <row r="100" spans="1:60" ht="15.75" customHeight="1" x14ac:dyDescent="0.3">
      <c r="A100" s="559" t="s">
        <v>158</v>
      </c>
      <c r="B100" s="1967" t="s">
        <v>159</v>
      </c>
      <c r="C100" s="1968"/>
      <c r="D100" s="20">
        <f>+G100+Y100+AG100+AN100</f>
        <v>500000</v>
      </c>
      <c r="E100" s="620">
        <f>SUM(G100+Y100+AG100+AN100)</f>
        <v>500000</v>
      </c>
      <c r="F100" s="558">
        <f>+X100+AF100+AM100+AW100</f>
        <v>0</v>
      </c>
      <c r="G100" s="20">
        <f>SUM(H100:W100)</f>
        <v>500000</v>
      </c>
      <c r="H100" s="375"/>
      <c r="I100" s="375"/>
      <c r="J100" s="375">
        <v>500000</v>
      </c>
      <c r="K100" s="375"/>
      <c r="L100" s="341"/>
      <c r="M100" s="1"/>
      <c r="N100" s="375"/>
      <c r="O100" s="375"/>
      <c r="P100" s="341"/>
      <c r="Q100" s="375"/>
      <c r="R100" s="1"/>
      <c r="S100" s="1"/>
      <c r="T100" s="1"/>
      <c r="U100" s="1"/>
      <c r="V100" s="1"/>
      <c r="W100" s="1"/>
      <c r="X100" s="617">
        <v>0</v>
      </c>
      <c r="Y100" s="8">
        <f>SUM(Z100:AD100)</f>
        <v>0</v>
      </c>
      <c r="Z100" s="8"/>
      <c r="AA100" s="8"/>
      <c r="AB100" s="8"/>
      <c r="AC100" s="8"/>
      <c r="AD100" s="8"/>
      <c r="AE100" s="642">
        <f>X100/$X$7*100</f>
        <v>0</v>
      </c>
      <c r="AF100" s="8">
        <f>Y100/1000</f>
        <v>0</v>
      </c>
      <c r="AG100" s="2">
        <f>SUM(AH100:AK100)</f>
        <v>0</v>
      </c>
      <c r="AH100" s="309">
        <v>0</v>
      </c>
      <c r="AI100" s="13">
        <v>0</v>
      </c>
      <c r="AJ100" s="13">
        <v>0</v>
      </c>
      <c r="AK100" s="13">
        <v>0</v>
      </c>
      <c r="AL100" s="614"/>
      <c r="AM100" s="614">
        <v>0</v>
      </c>
      <c r="AN100" s="30">
        <f>SUM(AO100+AP100)</f>
        <v>0</v>
      </c>
      <c r="AO100" s="13"/>
      <c r="AP100" s="613">
        <f>SUM(AQ100:AT100)</f>
        <v>0</v>
      </c>
      <c r="AQ100" s="309"/>
      <c r="AR100" s="13"/>
      <c r="AS100" s="13"/>
      <c r="AT100" s="13"/>
      <c r="AU100" s="612">
        <f>SUM(AN100+AG100+Y100+G100)</f>
        <v>500000</v>
      </c>
      <c r="AV100" s="611">
        <f t="shared" si="103"/>
        <v>0</v>
      </c>
      <c r="AW100" s="610">
        <v>0</v>
      </c>
      <c r="AX100" s="609">
        <f t="shared" si="104"/>
        <v>0</v>
      </c>
      <c r="AY100" s="608">
        <f>+F100/$F$7</f>
        <v>0</v>
      </c>
      <c r="AZ100" s="606">
        <f>+((0/7))*12/1000</f>
        <v>0</v>
      </c>
      <c r="BA100" s="608">
        <f>+AZ100/$AZ$7</f>
        <v>0</v>
      </c>
      <c r="BB100" s="560">
        <f>+F100-AZ100</f>
        <v>0</v>
      </c>
      <c r="BC100" s="607">
        <v>0</v>
      </c>
      <c r="BD100" s="606">
        <v>490</v>
      </c>
      <c r="BE100" s="605">
        <f>+BD100/$BD$7</f>
        <v>1.1286006779666928E-5</v>
      </c>
      <c r="BF100" s="560">
        <f>AZ100-BD100</f>
        <v>-490</v>
      </c>
      <c r="BG100" s="604">
        <v>0</v>
      </c>
      <c r="BH100" s="555"/>
    </row>
    <row r="101" spans="1:60" ht="15.75" customHeight="1" x14ac:dyDescent="0.3">
      <c r="A101" s="559"/>
      <c r="B101" s="634"/>
      <c r="C101" s="635"/>
      <c r="D101" s="20"/>
      <c r="E101" s="620"/>
      <c r="F101" s="558"/>
      <c r="G101" s="20"/>
      <c r="H101" s="375"/>
      <c r="I101" s="375"/>
      <c r="J101" s="375"/>
      <c r="K101" s="375"/>
      <c r="L101" s="341"/>
      <c r="M101" s="1"/>
      <c r="N101" s="375"/>
      <c r="O101" s="375"/>
      <c r="P101" s="341"/>
      <c r="Q101" s="375"/>
      <c r="R101" s="1"/>
      <c r="S101" s="1"/>
      <c r="T101" s="1"/>
      <c r="U101" s="1"/>
      <c r="V101" s="1"/>
      <c r="W101" s="1"/>
      <c r="X101" s="617"/>
      <c r="Y101" s="2"/>
      <c r="Z101" s="2"/>
      <c r="AA101" s="2"/>
      <c r="AB101" s="2"/>
      <c r="AC101" s="2"/>
      <c r="AD101" s="2"/>
      <c r="AE101" s="615"/>
      <c r="AF101" s="8"/>
      <c r="AG101" s="2"/>
      <c r="AH101" s="309"/>
      <c r="AI101" s="13"/>
      <c r="AJ101" s="13"/>
      <c r="AK101" s="13"/>
      <c r="AL101" s="614"/>
      <c r="AM101" s="614"/>
      <c r="AN101" s="34"/>
      <c r="AO101" s="13"/>
      <c r="AP101" s="115"/>
      <c r="AQ101" s="309"/>
      <c r="AR101" s="13"/>
      <c r="AS101" s="13"/>
      <c r="AT101" s="13"/>
      <c r="AU101" s="612"/>
      <c r="AV101" s="611"/>
      <c r="AW101" s="610"/>
      <c r="AX101" s="609"/>
      <c r="AY101" s="608"/>
      <c r="AZ101" s="606">
        <f>(494091012.88/6)*12/1000</f>
        <v>988182.02575999999</v>
      </c>
      <c r="BA101" s="608"/>
      <c r="BB101" s="560"/>
      <c r="BC101" s="607"/>
      <c r="BD101" s="606"/>
      <c r="BE101" s="605"/>
      <c r="BF101" s="560"/>
      <c r="BG101" s="604"/>
      <c r="BH101" s="555"/>
    </row>
    <row r="102" spans="1:60" ht="15.75" customHeight="1" x14ac:dyDescent="0.3">
      <c r="A102" s="562" t="s">
        <v>160</v>
      </c>
      <c r="B102" s="1973" t="s">
        <v>161</v>
      </c>
      <c r="C102" s="1974"/>
      <c r="D102" s="21">
        <f>SUM(D103:D105)</f>
        <v>687561305.39999998</v>
      </c>
      <c r="E102" s="628">
        <f>SUM(G102+Y102+AG102+AN102)</f>
        <v>687561305.39999998</v>
      </c>
      <c r="F102" s="561">
        <f>F103+F104+F105</f>
        <v>699557.6</v>
      </c>
      <c r="G102" s="21">
        <f t="shared" ref="G102:W102" si="137">SUM(G103:G105)</f>
        <v>180975025.40000001</v>
      </c>
      <c r="H102" s="21">
        <f t="shared" si="137"/>
        <v>0</v>
      </c>
      <c r="I102" s="21">
        <f t="shared" si="137"/>
        <v>0</v>
      </c>
      <c r="J102" s="21">
        <f t="shared" si="137"/>
        <v>0</v>
      </c>
      <c r="K102" s="21">
        <f t="shared" si="137"/>
        <v>0</v>
      </c>
      <c r="L102" s="21">
        <f t="shared" si="137"/>
        <v>0</v>
      </c>
      <c r="M102" s="21">
        <f t="shared" si="137"/>
        <v>0</v>
      </c>
      <c r="N102" s="21">
        <f t="shared" si="137"/>
        <v>0</v>
      </c>
      <c r="O102" s="21">
        <f t="shared" si="137"/>
        <v>0</v>
      </c>
      <c r="P102" s="21">
        <f t="shared" si="137"/>
        <v>0</v>
      </c>
      <c r="Q102" s="21">
        <f t="shared" si="137"/>
        <v>0</v>
      </c>
      <c r="R102" s="21">
        <f t="shared" si="137"/>
        <v>0</v>
      </c>
      <c r="S102" s="21">
        <f t="shared" si="137"/>
        <v>180975025.40000001</v>
      </c>
      <c r="T102" s="21">
        <f t="shared" si="137"/>
        <v>0</v>
      </c>
      <c r="U102" s="21">
        <f t="shared" si="137"/>
        <v>0</v>
      </c>
      <c r="V102" s="21">
        <f t="shared" si="137"/>
        <v>0</v>
      </c>
      <c r="W102" s="21">
        <f t="shared" si="137"/>
        <v>0</v>
      </c>
      <c r="X102" s="350">
        <f>+X103+X104+X105</f>
        <v>155486.71</v>
      </c>
      <c r="Y102" s="8"/>
      <c r="Z102" s="8"/>
      <c r="AA102" s="8"/>
      <c r="AB102" s="8"/>
      <c r="AC102" s="8"/>
      <c r="AD102" s="8"/>
      <c r="AE102" s="615">
        <f>X102/$X$7*100</f>
        <v>3.0498662861212922</v>
      </c>
      <c r="AF102" s="10">
        <f>Y102/1000</f>
        <v>0</v>
      </c>
      <c r="AG102" s="2">
        <f>SUM(AG103:AG105)</f>
        <v>0</v>
      </c>
      <c r="AH102" s="321">
        <f>SUM(AH103:AH105)</f>
        <v>0</v>
      </c>
      <c r="AI102" s="14">
        <f>SUM(AI103:AI105)</f>
        <v>0</v>
      </c>
      <c r="AJ102" s="14">
        <f>SUM(AJ103:AJ105)</f>
        <v>0</v>
      </c>
      <c r="AK102" s="14">
        <f>SUM(AK103:AK105)</f>
        <v>0</v>
      </c>
      <c r="AL102" s="614"/>
      <c r="AM102" s="623">
        <f>AG102/1000</f>
        <v>0</v>
      </c>
      <c r="AN102" s="34">
        <f t="shared" ref="AN102:AU102" si="138">SUM(AN103:AN105)</f>
        <v>506586280</v>
      </c>
      <c r="AO102" s="14">
        <f t="shared" si="138"/>
        <v>506318280</v>
      </c>
      <c r="AP102" s="115">
        <f t="shared" si="138"/>
        <v>268000</v>
      </c>
      <c r="AQ102" s="309">
        <f t="shared" si="138"/>
        <v>0</v>
      </c>
      <c r="AR102" s="13">
        <f t="shared" si="138"/>
        <v>0</v>
      </c>
      <c r="AS102" s="13">
        <f t="shared" si="138"/>
        <v>0</v>
      </c>
      <c r="AT102" s="13">
        <f t="shared" si="138"/>
        <v>268000</v>
      </c>
      <c r="AU102" s="622">
        <f t="shared" si="138"/>
        <v>687561305.39999998</v>
      </c>
      <c r="AV102" s="611">
        <f>AM102/$AM$7</f>
        <v>0</v>
      </c>
      <c r="AW102" s="621">
        <f>+AW103+AW104+AW105</f>
        <v>612244.11100000003</v>
      </c>
      <c r="AX102" s="609">
        <f>AW102/$AW$7</f>
        <v>1.1839042431566336E-2</v>
      </c>
      <c r="AY102" s="608">
        <f>+F102/F7</f>
        <v>1.0751617033537865E-2</v>
      </c>
      <c r="AZ102" s="561">
        <f>AZ103</f>
        <v>988182.02575999999</v>
      </c>
      <c r="BA102" s="608">
        <f>+AZ102/$AZ$7</f>
        <v>2.7056061567561393E-2</v>
      </c>
      <c r="BB102" s="560">
        <f>+F102-AZ102</f>
        <v>-288624.42576000001</v>
      </c>
      <c r="BC102" s="607">
        <f>+BB102/AZ102</f>
        <v>-0.29207617446595646</v>
      </c>
      <c r="BD102" s="561">
        <f>BD103+BD104+BD105</f>
        <v>714465.66</v>
      </c>
      <c r="BE102" s="605">
        <f>+BD102/$BD$7</f>
        <v>1.645604955632491E-2</v>
      </c>
      <c r="BF102" s="560">
        <f t="shared" ref="BF102:BF110" si="139">AZ102-BD102</f>
        <v>273716.36575999996</v>
      </c>
      <c r="BG102" s="604">
        <f>+BF102/BD102</f>
        <v>0.38310639836769755</v>
      </c>
      <c r="BH102" s="555"/>
    </row>
    <row r="103" spans="1:60" ht="15.75" customHeight="1" x14ac:dyDescent="0.3">
      <c r="A103" s="745" t="s">
        <v>162</v>
      </c>
      <c r="B103" s="1967" t="s">
        <v>163</v>
      </c>
      <c r="C103" s="1968"/>
      <c r="D103" s="20">
        <f>+G103+Y103+AG103+AN103</f>
        <v>682281802.91999996</v>
      </c>
      <c r="E103" s="620">
        <f>SUM(G103+Y103+AG103+AN103)</f>
        <v>682281802.91999996</v>
      </c>
      <c r="F103" s="558">
        <f>697557600/1000</f>
        <v>697557.6</v>
      </c>
      <c r="G103" s="20">
        <f>SUM(H103:W103)</f>
        <v>176661522.91999999</v>
      </c>
      <c r="H103" s="341"/>
      <c r="I103" s="341"/>
      <c r="J103" s="341"/>
      <c r="K103" s="341"/>
      <c r="L103" s="341"/>
      <c r="M103" s="1"/>
      <c r="N103" s="341"/>
      <c r="O103" s="341"/>
      <c r="P103" s="341"/>
      <c r="Q103" s="341"/>
      <c r="R103" s="1"/>
      <c r="S103" s="1">
        <v>176661522.91999999</v>
      </c>
      <c r="T103" s="1"/>
      <c r="U103" s="1"/>
      <c r="V103" s="1">
        <v>0</v>
      </c>
      <c r="W103" s="1">
        <v>0</v>
      </c>
      <c r="X103" s="617">
        <f>+'[3]Egresos -2015 '!$Z$103</f>
        <v>151986.71</v>
      </c>
      <c r="Y103" s="8">
        <f>SUM(Z103:AD103)</f>
        <v>0</v>
      </c>
      <c r="Z103" s="8"/>
      <c r="AA103" s="8"/>
      <c r="AB103" s="8"/>
      <c r="AC103" s="8"/>
      <c r="AD103" s="8"/>
      <c r="AE103" s="642">
        <f>X103/$X$7*100</f>
        <v>2.9812139106132856</v>
      </c>
      <c r="AF103" s="8">
        <f>Y103/1000</f>
        <v>0</v>
      </c>
      <c r="AG103" s="2">
        <f>SUM(AH103:AK103)</f>
        <v>0</v>
      </c>
      <c r="AH103" s="309">
        <v>0</v>
      </c>
      <c r="AI103" s="13">
        <v>0</v>
      </c>
      <c r="AJ103" s="13"/>
      <c r="AK103" s="13"/>
      <c r="AL103" s="614"/>
      <c r="AM103" s="614">
        <f>AG103/1000</f>
        <v>0</v>
      </c>
      <c r="AN103" s="30">
        <f>SUM(AO103+AP103)</f>
        <v>505620280</v>
      </c>
      <c r="AO103" s="13">
        <v>505620280</v>
      </c>
      <c r="AP103" s="613">
        <f>SUM(AQ103:AT103)</f>
        <v>0</v>
      </c>
      <c r="AQ103" s="309"/>
      <c r="AR103" s="13"/>
      <c r="AS103" s="13"/>
      <c r="AT103" s="667"/>
      <c r="AU103" s="612">
        <f>SUM(AN103+AG103+Y103+G103)</f>
        <v>682281802.91999996</v>
      </c>
      <c r="AV103" s="611">
        <f>AM103/$AM$7</f>
        <v>0</v>
      </c>
      <c r="AW103" s="610">
        <f>+'[2]Egresos -2015 '!$AO$103</f>
        <v>611546.11100000003</v>
      </c>
      <c r="AX103" s="609">
        <f>AW103/$AW$7</f>
        <v>1.1825545116575855E-2</v>
      </c>
      <c r="AY103" s="608">
        <f>+F103/F7</f>
        <v>1.0720878701101657E-2</v>
      </c>
      <c r="AZ103" s="606">
        <f>+((494091012.88/6))*12/1000</f>
        <v>988182.02575999999</v>
      </c>
      <c r="BA103" s="608">
        <f>+AZ103/$AZ$7</f>
        <v>2.7056061567561393E-2</v>
      </c>
      <c r="BB103" s="560">
        <f>+F103-AZ103</f>
        <v>-290624.42576000001</v>
      </c>
      <c r="BC103" s="607">
        <f>+BB103/AZ103</f>
        <v>-0.29410009308404889</v>
      </c>
      <c r="BD103" s="606">
        <v>714465.66</v>
      </c>
      <c r="BE103" s="605">
        <f>+BD103/$BD$7</f>
        <v>1.645604955632491E-2</v>
      </c>
      <c r="BF103" s="560">
        <f t="shared" si="139"/>
        <v>273716.36575999996</v>
      </c>
      <c r="BG103" s="604">
        <f>+BF103/BD103</f>
        <v>0.38310639836769755</v>
      </c>
      <c r="BH103" s="555"/>
    </row>
    <row r="104" spans="1:60" ht="15.75" customHeight="1" x14ac:dyDescent="0.3">
      <c r="A104" s="559" t="s">
        <v>164</v>
      </c>
      <c r="B104" s="1967" t="s">
        <v>165</v>
      </c>
      <c r="C104" s="1968"/>
      <c r="D104" s="20">
        <f>+G104+Y104+AG104+AN104</f>
        <v>3524646.4</v>
      </c>
      <c r="E104" s="620">
        <f>SUM(G104+Y104+AG104+AN104)</f>
        <v>3524646.4</v>
      </c>
      <c r="F104" s="558">
        <f>1000000/1000</f>
        <v>1000</v>
      </c>
      <c r="G104" s="20">
        <f>SUM(H104:W104)</f>
        <v>2924646.3999999999</v>
      </c>
      <c r="H104" s="375"/>
      <c r="I104" s="375"/>
      <c r="J104" s="375"/>
      <c r="K104" s="375"/>
      <c r="L104" s="341"/>
      <c r="M104" s="1"/>
      <c r="N104" s="375"/>
      <c r="O104" s="375"/>
      <c r="P104" s="341"/>
      <c r="Q104" s="375"/>
      <c r="R104" s="1"/>
      <c r="S104" s="1">
        <v>2924646.3999999999</v>
      </c>
      <c r="T104" s="1"/>
      <c r="U104" s="1"/>
      <c r="V104" s="1">
        <v>0</v>
      </c>
      <c r="W104" s="1"/>
      <c r="X104" s="617">
        <f>+'[3]Egresos -2015 '!$Z$104</f>
        <v>2000</v>
      </c>
      <c r="Y104" s="8">
        <f>SUM(Z104:AD104)</f>
        <v>0</v>
      </c>
      <c r="Z104" s="8"/>
      <c r="AA104" s="8"/>
      <c r="AB104" s="8"/>
      <c r="AC104" s="8"/>
      <c r="AD104" s="8"/>
      <c r="AE104" s="642">
        <f>X104/$X$7*100</f>
        <v>3.9229928861718055E-2</v>
      </c>
      <c r="AF104" s="8">
        <f>Y104/1000</f>
        <v>0</v>
      </c>
      <c r="AG104" s="2">
        <f>SUM(AH104:AK104)</f>
        <v>0</v>
      </c>
      <c r="AH104" s="639">
        <v>0</v>
      </c>
      <c r="AI104" s="6">
        <v>0</v>
      </c>
      <c r="AJ104" s="6">
        <v>0</v>
      </c>
      <c r="AK104" s="6">
        <v>0</v>
      </c>
      <c r="AL104" s="614"/>
      <c r="AM104" s="614">
        <f>AG104/1000</f>
        <v>0</v>
      </c>
      <c r="AN104" s="30">
        <f>SUM(AO104+AP104)</f>
        <v>600000</v>
      </c>
      <c r="AO104" s="7">
        <v>450000</v>
      </c>
      <c r="AP104" s="613">
        <f>SUM(AQ104:AT104)</f>
        <v>150000</v>
      </c>
      <c r="AQ104" s="318"/>
      <c r="AR104" s="7">
        <v>0</v>
      </c>
      <c r="AS104" s="7">
        <v>0</v>
      </c>
      <c r="AT104" s="744">
        <v>150000</v>
      </c>
      <c r="AU104" s="612">
        <f>SUM(AN104+AG104+Y104+G104)</f>
        <v>3524646.4</v>
      </c>
      <c r="AV104" s="611">
        <f>AM104/$AM$7</f>
        <v>0</v>
      </c>
      <c r="AW104" s="610">
        <f>+'[2]Egresos -2015 '!$AO$104</f>
        <v>450</v>
      </c>
      <c r="AX104" s="609">
        <f>AW104/$AW$7</f>
        <v>8.7017073720858554E-6</v>
      </c>
      <c r="AY104" s="608">
        <f>+F104/F7</f>
        <v>1.5369166218103935E-5</v>
      </c>
      <c r="AZ104" s="606">
        <f>+((0/7))*12/1000</f>
        <v>0</v>
      </c>
      <c r="BA104" s="608">
        <f>+AZ104/$AZ$7</f>
        <v>0</v>
      </c>
      <c r="BB104" s="560">
        <f>+F104-AZ104</f>
        <v>1000</v>
      </c>
      <c r="BC104" s="607">
        <f>+AZ104/BB104</f>
        <v>0</v>
      </c>
      <c r="BD104" s="606">
        <v>0</v>
      </c>
      <c r="BE104" s="605">
        <f>+BD104/$BD$7</f>
        <v>0</v>
      </c>
      <c r="BF104" s="560">
        <f t="shared" si="139"/>
        <v>0</v>
      </c>
      <c r="BG104" s="604">
        <v>0</v>
      </c>
      <c r="BH104" s="555"/>
    </row>
    <row r="105" spans="1:60" ht="15.75" customHeight="1" x14ac:dyDescent="0.3">
      <c r="A105" s="559" t="s">
        <v>166</v>
      </c>
      <c r="B105" s="1967" t="s">
        <v>167</v>
      </c>
      <c r="C105" s="1968"/>
      <c r="D105" s="20">
        <f>+G105+Y105+AG105+AN105</f>
        <v>1754856.08</v>
      </c>
      <c r="E105" s="620">
        <f>SUM(G105+Y105+AG105+AN105)</f>
        <v>1754856.08</v>
      </c>
      <c r="F105" s="558">
        <f>1000000/1000</f>
        <v>1000</v>
      </c>
      <c r="G105" s="20">
        <f>SUM(H105:W105)</f>
        <v>1388856.08</v>
      </c>
      <c r="H105" s="375"/>
      <c r="I105" s="375"/>
      <c r="J105" s="375"/>
      <c r="K105" s="375"/>
      <c r="L105" s="341"/>
      <c r="M105" s="1"/>
      <c r="N105" s="375"/>
      <c r="O105" s="375"/>
      <c r="P105" s="341"/>
      <c r="Q105" s="375"/>
      <c r="R105" s="1"/>
      <c r="S105" s="1">
        <v>1388856.08</v>
      </c>
      <c r="T105" s="1"/>
      <c r="U105" s="1"/>
      <c r="V105" s="1"/>
      <c r="W105" s="1"/>
      <c r="X105" s="617">
        <f>+'[3]Egresos -2015 '!$Z$105</f>
        <v>1500</v>
      </c>
      <c r="Y105" s="8">
        <f>SUM(Z105:AD105)</f>
        <v>0</v>
      </c>
      <c r="Z105" s="8"/>
      <c r="AA105" s="8"/>
      <c r="AB105" s="8"/>
      <c r="AC105" s="8"/>
      <c r="AD105" s="8"/>
      <c r="AE105" s="642">
        <f>X105/$X$7*100</f>
        <v>2.9422446646288541E-2</v>
      </c>
      <c r="AF105" s="8">
        <f>Y105/1000</f>
        <v>0</v>
      </c>
      <c r="AG105" s="2">
        <f>SUM(AH105:AK105)</f>
        <v>0</v>
      </c>
      <c r="AH105" s="309">
        <v>0</v>
      </c>
      <c r="AI105" s="13">
        <v>0</v>
      </c>
      <c r="AJ105" s="13">
        <v>0</v>
      </c>
      <c r="AK105" s="13">
        <v>0</v>
      </c>
      <c r="AL105" s="614"/>
      <c r="AM105" s="614">
        <f>AG105/1000</f>
        <v>0</v>
      </c>
      <c r="AN105" s="30">
        <f>SUM(AO105+AP105)</f>
        <v>366000</v>
      </c>
      <c r="AO105" s="13">
        <v>248000</v>
      </c>
      <c r="AP105" s="613">
        <f>SUM(AQ105:AT105)</f>
        <v>118000</v>
      </c>
      <c r="AQ105" s="309">
        <v>0</v>
      </c>
      <c r="AR105" s="13">
        <v>0</v>
      </c>
      <c r="AS105" s="13">
        <v>0</v>
      </c>
      <c r="AT105" s="667">
        <v>118000</v>
      </c>
      <c r="AU105" s="612">
        <f>SUM(AN105+AG105+Y105+G105)</f>
        <v>1754856.08</v>
      </c>
      <c r="AV105" s="611">
        <f>AM105/$AM$7</f>
        <v>0</v>
      </c>
      <c r="AW105" s="610">
        <f>+'[2]Egresos -2015 '!$AO$105</f>
        <v>248</v>
      </c>
      <c r="AX105" s="609">
        <f>AW105/$AW$7</f>
        <v>4.7956076183939819E-6</v>
      </c>
      <c r="AY105" s="608">
        <f>+F105/$F$7</f>
        <v>1.5369166218103935E-5</v>
      </c>
      <c r="AZ105" s="606">
        <f>+((0/7))*12/1000</f>
        <v>0</v>
      </c>
      <c r="BA105" s="608">
        <f>+AZ105/$AZ$7</f>
        <v>0</v>
      </c>
      <c r="BB105" s="560">
        <f>+F105-AZ105</f>
        <v>1000</v>
      </c>
      <c r="BC105" s="607">
        <v>0</v>
      </c>
      <c r="BD105" s="606">
        <v>0</v>
      </c>
      <c r="BE105" s="605">
        <f>+BD105/$BD$7</f>
        <v>0</v>
      </c>
      <c r="BF105" s="560">
        <f t="shared" si="139"/>
        <v>0</v>
      </c>
      <c r="BG105" s="604">
        <v>0</v>
      </c>
      <c r="BH105" s="555"/>
    </row>
    <row r="106" spans="1:60" ht="15.75" customHeight="1" x14ac:dyDescent="0.3">
      <c r="A106" s="559"/>
      <c r="B106" s="634"/>
      <c r="C106" s="635"/>
      <c r="D106" s="20"/>
      <c r="E106" s="620"/>
      <c r="F106" s="558"/>
      <c r="G106" s="20"/>
      <c r="H106" s="375"/>
      <c r="I106" s="375"/>
      <c r="J106" s="375"/>
      <c r="K106" s="375"/>
      <c r="L106" s="341"/>
      <c r="M106" s="1"/>
      <c r="N106" s="375"/>
      <c r="O106" s="375"/>
      <c r="P106" s="341"/>
      <c r="Q106" s="375"/>
      <c r="R106" s="1"/>
      <c r="S106" s="1"/>
      <c r="T106" s="1"/>
      <c r="U106" s="1"/>
      <c r="V106" s="1"/>
      <c r="W106" s="1"/>
      <c r="X106" s="617"/>
      <c r="Y106" s="560"/>
      <c r="Z106" s="560"/>
      <c r="AA106" s="560"/>
      <c r="AB106" s="560"/>
      <c r="AC106" s="560"/>
      <c r="AD106" s="560"/>
      <c r="AE106" s="615"/>
      <c r="AF106" s="8"/>
      <c r="AG106" s="2"/>
      <c r="AH106" s="309"/>
      <c r="AI106" s="13"/>
      <c r="AJ106" s="13"/>
      <c r="AK106" s="13"/>
      <c r="AL106" s="614"/>
      <c r="AM106" s="614"/>
      <c r="AN106" s="34"/>
      <c r="AO106" s="13"/>
      <c r="AP106" s="115"/>
      <c r="AQ106" s="309"/>
      <c r="AR106" s="13"/>
      <c r="AS106" s="13"/>
      <c r="AT106" s="13"/>
      <c r="AU106" s="612"/>
      <c r="AV106" s="611"/>
      <c r="AW106" s="610"/>
      <c r="AX106" s="609"/>
      <c r="AY106" s="608"/>
      <c r="AZ106" s="606"/>
      <c r="BA106" s="608"/>
      <c r="BB106" s="560"/>
      <c r="BC106" s="607"/>
      <c r="BD106" s="606"/>
      <c r="BE106" s="605"/>
      <c r="BF106" s="560">
        <f t="shared" si="139"/>
        <v>0</v>
      </c>
      <c r="BG106" s="604"/>
      <c r="BH106" s="555"/>
    </row>
    <row r="107" spans="1:60" ht="15.75" customHeight="1" x14ac:dyDescent="0.3">
      <c r="A107" s="562" t="s">
        <v>168</v>
      </c>
      <c r="B107" s="1973" t="s">
        <v>169</v>
      </c>
      <c r="C107" s="1979"/>
      <c r="D107" s="21">
        <f>SUM(D108:D110)</f>
        <v>36760800</v>
      </c>
      <c r="E107" s="743">
        <f>SUM(G107+Y107+AG107+AN107)</f>
        <v>36760800</v>
      </c>
      <c r="F107" s="561">
        <f>F108+F109+F110</f>
        <v>36450</v>
      </c>
      <c r="G107" s="21">
        <f>SUM(H107:W107)</f>
        <v>23600800</v>
      </c>
      <c r="H107" s="25">
        <f t="shared" ref="H107:W107" si="140">SUM(H108:H110)</f>
        <v>66400</v>
      </c>
      <c r="I107" s="25">
        <f t="shared" si="140"/>
        <v>798800</v>
      </c>
      <c r="J107" s="25">
        <f t="shared" si="140"/>
        <v>450000</v>
      </c>
      <c r="K107" s="25">
        <f t="shared" si="140"/>
        <v>4800000</v>
      </c>
      <c r="L107" s="25">
        <f t="shared" si="140"/>
        <v>2300000</v>
      </c>
      <c r="M107" s="25">
        <f t="shared" si="140"/>
        <v>1300000</v>
      </c>
      <c r="N107" s="25">
        <f t="shared" si="140"/>
        <v>1200000</v>
      </c>
      <c r="O107" s="25">
        <f t="shared" si="140"/>
        <v>97000</v>
      </c>
      <c r="P107" s="25">
        <f t="shared" si="140"/>
        <v>0</v>
      </c>
      <c r="Q107" s="25">
        <f t="shared" si="140"/>
        <v>400000</v>
      </c>
      <c r="R107" s="25">
        <f t="shared" si="140"/>
        <v>1100000</v>
      </c>
      <c r="S107" s="25">
        <f t="shared" si="140"/>
        <v>0</v>
      </c>
      <c r="T107" s="25">
        <f t="shared" si="140"/>
        <v>7488600</v>
      </c>
      <c r="U107" s="25">
        <f t="shared" si="140"/>
        <v>0</v>
      </c>
      <c r="V107" s="25">
        <f t="shared" si="140"/>
        <v>3600000</v>
      </c>
      <c r="W107" s="25">
        <f t="shared" si="140"/>
        <v>0</v>
      </c>
      <c r="X107" s="350">
        <f>+X108+X109+X110</f>
        <v>28250</v>
      </c>
      <c r="Y107" s="6">
        <f>SUM(Y108:Y110)</f>
        <v>8170000</v>
      </c>
      <c r="Z107" s="6">
        <f>SUM(Z108:Z110)</f>
        <v>3800000</v>
      </c>
      <c r="AA107" s="6">
        <f>SUM(AA108:AA109)</f>
        <v>0</v>
      </c>
      <c r="AB107" s="6">
        <f>SUM(AB108:AB109)</f>
        <v>790000</v>
      </c>
      <c r="AC107" s="6">
        <f>SUM(AC108:AC109)</f>
        <v>790000</v>
      </c>
      <c r="AD107" s="6">
        <f>SUM(AD108:AD109)</f>
        <v>2790000</v>
      </c>
      <c r="AE107" s="615">
        <f>X107/$X$7*100</f>
        <v>0.55412274517176752</v>
      </c>
      <c r="AF107" s="10">
        <f>+AF108+AF109+AF110</f>
        <v>79800</v>
      </c>
      <c r="AG107" s="2">
        <f>SUM(AG108:AG110)</f>
        <v>1440000</v>
      </c>
      <c r="AH107" s="321">
        <f>SUM(AH108:AH110)</f>
        <v>400000</v>
      </c>
      <c r="AI107" s="14">
        <f>SUM(AI108:AI110)</f>
        <v>800000</v>
      </c>
      <c r="AJ107" s="33">
        <f>SUM(AJ108:AJ110)</f>
        <v>0</v>
      </c>
      <c r="AK107" s="33">
        <f>SUM(AK108:AK110)</f>
        <v>240000</v>
      </c>
      <c r="AL107" s="623">
        <f>(AF107/AF7)*100</f>
        <v>5.5117521980971373</v>
      </c>
      <c r="AM107" s="623">
        <v>0</v>
      </c>
      <c r="AN107" s="34">
        <f t="shared" ref="AN107:AU107" si="141">SUM(AN108:AN110)</f>
        <v>3550000</v>
      </c>
      <c r="AO107" s="33">
        <f t="shared" si="141"/>
        <v>2150000</v>
      </c>
      <c r="AP107" s="34">
        <f t="shared" si="141"/>
        <v>1400000</v>
      </c>
      <c r="AQ107" s="305">
        <f t="shared" si="141"/>
        <v>1400000</v>
      </c>
      <c r="AR107" s="35">
        <f t="shared" si="141"/>
        <v>0</v>
      </c>
      <c r="AS107" s="35">
        <f t="shared" si="141"/>
        <v>0</v>
      </c>
      <c r="AT107" s="35">
        <f t="shared" si="141"/>
        <v>0</v>
      </c>
      <c r="AU107" s="622">
        <f t="shared" si="141"/>
        <v>36760800</v>
      </c>
      <c r="AV107" s="611">
        <f>AM107/$AM$7</f>
        <v>0</v>
      </c>
      <c r="AW107" s="621">
        <f>+AW108+AW109</f>
        <v>8420</v>
      </c>
      <c r="AX107" s="609">
        <f>AW107/$AW$7</f>
        <v>1.628186134954731E-4</v>
      </c>
      <c r="AY107" s="608">
        <f>+F107/$F$7</f>
        <v>5.602061086498884E-4</v>
      </c>
      <c r="AZ107" s="561">
        <f>AZ108+AZ109+AZ110</f>
        <v>6738.4134000000004</v>
      </c>
      <c r="BA107" s="608">
        <f>+AZ107/$AZ$7</f>
        <v>1.8449528838359946E-4</v>
      </c>
      <c r="BB107" s="560">
        <f>+F107-AZ107</f>
        <v>29711.586599999999</v>
      </c>
      <c r="BC107" s="607">
        <v>0</v>
      </c>
      <c r="BD107" s="561">
        <f>BD108+BD109+BD110</f>
        <v>5128.75</v>
      </c>
      <c r="BE107" s="605">
        <f>+BD107/$BD$7</f>
        <v>1.1812879034942194E-4</v>
      </c>
      <c r="BF107" s="560">
        <f t="shared" si="139"/>
        <v>1609.6634000000004</v>
      </c>
      <c r="BG107" s="604">
        <f>+BF107/BD107</f>
        <v>0.31385101632951506</v>
      </c>
      <c r="BH107" s="555"/>
    </row>
    <row r="108" spans="1:60" ht="15.75" customHeight="1" x14ac:dyDescent="0.3">
      <c r="A108" s="559" t="s">
        <v>170</v>
      </c>
      <c r="B108" s="1981" t="s">
        <v>171</v>
      </c>
      <c r="C108" s="1982"/>
      <c r="D108" s="20">
        <f>+G108+Y108+AG108+AN108</f>
        <v>31210800</v>
      </c>
      <c r="E108" s="620">
        <f>SUM(G108+Y108+AG108+AN108)</f>
        <v>31210800</v>
      </c>
      <c r="F108" s="558">
        <f>29300000/1000</f>
        <v>29300</v>
      </c>
      <c r="G108" s="20">
        <f>SUM(H108:W108)</f>
        <v>23050800</v>
      </c>
      <c r="H108" s="375">
        <v>66400</v>
      </c>
      <c r="I108" s="375">
        <v>798800</v>
      </c>
      <c r="J108" s="375"/>
      <c r="K108" s="375">
        <v>4800000</v>
      </c>
      <c r="L108" s="341">
        <v>2300000</v>
      </c>
      <c r="M108" s="1">
        <v>1300000</v>
      </c>
      <c r="N108" s="375">
        <v>1100000</v>
      </c>
      <c r="O108" s="375">
        <v>97000</v>
      </c>
      <c r="P108" s="341"/>
      <c r="Q108" s="375">
        <v>400000</v>
      </c>
      <c r="R108" s="1">
        <v>1100000</v>
      </c>
      <c r="S108" s="1"/>
      <c r="T108" s="1">
        <f>7200000+288600</f>
        <v>7488600</v>
      </c>
      <c r="U108" s="1"/>
      <c r="V108" s="1">
        <v>3600000</v>
      </c>
      <c r="W108" s="1"/>
      <c r="X108" s="617">
        <f>+'[3]Egresos -2015 '!$Z$108</f>
        <v>27000</v>
      </c>
      <c r="Y108" s="8">
        <f>SUM(Z108:AD108)</f>
        <v>3170000</v>
      </c>
      <c r="Z108" s="8">
        <v>800000</v>
      </c>
      <c r="AA108" s="8"/>
      <c r="AB108" s="8">
        <v>790000</v>
      </c>
      <c r="AC108" s="8">
        <v>790000</v>
      </c>
      <c r="AD108" s="8">
        <v>790000</v>
      </c>
      <c r="AE108" s="642">
        <f>X108/$X$7*100</f>
        <v>0.52960403963319369</v>
      </c>
      <c r="AF108" s="8">
        <f>+'[2]Egresos -2015 '!$AG$108</f>
        <v>79800</v>
      </c>
      <c r="AG108" s="2">
        <f>SUM(AH108:AK108)</f>
        <v>1440000</v>
      </c>
      <c r="AH108" s="309">
        <v>400000</v>
      </c>
      <c r="AI108" s="13">
        <v>800000</v>
      </c>
      <c r="AJ108" s="13"/>
      <c r="AK108" s="13">
        <v>240000</v>
      </c>
      <c r="AL108" s="614">
        <f>(AF108/AF7)*100</f>
        <v>5.5117521980971373</v>
      </c>
      <c r="AM108" s="614">
        <v>0</v>
      </c>
      <c r="AN108" s="30">
        <f>SUM(AO108+AP108)</f>
        <v>3550000</v>
      </c>
      <c r="AO108" s="13">
        <v>2150000</v>
      </c>
      <c r="AP108" s="613">
        <f>SUM(AQ108:AT108)</f>
        <v>1400000</v>
      </c>
      <c r="AQ108" s="309">
        <v>1400000</v>
      </c>
      <c r="AR108" s="13"/>
      <c r="AS108" s="13"/>
      <c r="AT108" s="13"/>
      <c r="AU108" s="612">
        <f>SUM(AN108+AG108+Y108+G108)</f>
        <v>31210800</v>
      </c>
      <c r="AV108" s="611">
        <f>AM108/$AM$7</f>
        <v>0</v>
      </c>
      <c r="AW108" s="610">
        <f>+'[2]Egresos -2015 '!$AO$108</f>
        <v>7000</v>
      </c>
      <c r="AX108" s="609">
        <f>AW108/$AW$7</f>
        <v>1.3535989245466886E-4</v>
      </c>
      <c r="AY108" s="608">
        <f>+F108/$F$7</f>
        <v>4.5031657019044529E-4</v>
      </c>
      <c r="AZ108" s="606">
        <f>((3234176.7/6)*12/1000)</f>
        <v>6468.3534</v>
      </c>
      <c r="BA108" s="608">
        <f>+AZ108/$AZ$7</f>
        <v>1.771011445958534E-4</v>
      </c>
      <c r="BB108" s="560">
        <f>+F108-AZ108</f>
        <v>22831.6466</v>
      </c>
      <c r="BC108" s="607">
        <v>0</v>
      </c>
      <c r="BD108" s="606">
        <v>5128.75</v>
      </c>
      <c r="BE108" s="605">
        <f>+BD108/$BD$7</f>
        <v>1.1812879034942194E-4</v>
      </c>
      <c r="BF108" s="560">
        <f t="shared" si="139"/>
        <v>1339.6034</v>
      </c>
      <c r="BG108" s="604">
        <f>+BF108/BD108</f>
        <v>0.26119491104070192</v>
      </c>
      <c r="BH108" s="555"/>
    </row>
    <row r="109" spans="1:60" ht="15.75" customHeight="1" x14ac:dyDescent="0.3">
      <c r="A109" s="559" t="s">
        <v>172</v>
      </c>
      <c r="B109" s="1967" t="s">
        <v>173</v>
      </c>
      <c r="C109" s="1981"/>
      <c r="D109" s="20">
        <f>+G109+Y109+AG109+AN109</f>
        <v>3500000</v>
      </c>
      <c r="E109" s="620">
        <f>SUM(G109+Y109+AG109+AN109)</f>
        <v>3500000</v>
      </c>
      <c r="F109" s="558">
        <f>7150000/1000</f>
        <v>7150</v>
      </c>
      <c r="G109" s="20">
        <f>SUM(H109:W109)</f>
        <v>0</v>
      </c>
      <c r="H109" s="375"/>
      <c r="I109" s="375"/>
      <c r="J109" s="375"/>
      <c r="K109" s="375">
        <v>0</v>
      </c>
      <c r="L109" s="341"/>
      <c r="M109" s="1"/>
      <c r="N109" s="375"/>
      <c r="O109" s="375"/>
      <c r="P109" s="341"/>
      <c r="Q109" s="375"/>
      <c r="R109" s="1"/>
      <c r="S109" s="1"/>
      <c r="T109" s="1"/>
      <c r="U109" s="1"/>
      <c r="V109" s="1"/>
      <c r="W109" s="1"/>
      <c r="X109" s="617">
        <f>+'[3]Egresos -2015 '!$Z$109</f>
        <v>1250</v>
      </c>
      <c r="Y109" s="8">
        <f>SUM(Z109:AD109)</f>
        <v>3500000</v>
      </c>
      <c r="Z109" s="8">
        <v>1500000</v>
      </c>
      <c r="AA109" s="8"/>
      <c r="AB109" s="8"/>
      <c r="AC109" s="8"/>
      <c r="AD109" s="8">
        <v>2000000</v>
      </c>
      <c r="AE109" s="615"/>
      <c r="AF109" s="8">
        <v>0</v>
      </c>
      <c r="AG109" s="2">
        <f>SUM(AH109:AK109)</f>
        <v>0</v>
      </c>
      <c r="AH109" s="636">
        <v>0</v>
      </c>
      <c r="AI109" s="9">
        <v>0</v>
      </c>
      <c r="AJ109" s="9">
        <v>0</v>
      </c>
      <c r="AK109" s="9">
        <v>0</v>
      </c>
      <c r="AL109" s="614">
        <f>(AF109/AF7)*100</f>
        <v>0</v>
      </c>
      <c r="AM109" s="614">
        <v>0</v>
      </c>
      <c r="AN109" s="30">
        <f>SUM(AO109+AP109)</f>
        <v>0</v>
      </c>
      <c r="AO109" s="12"/>
      <c r="AP109" s="613">
        <f>SUM(AQ109:AT109)</f>
        <v>0</v>
      </c>
      <c r="AQ109" s="317"/>
      <c r="AR109" s="12"/>
      <c r="AS109" s="12"/>
      <c r="AT109" s="12"/>
      <c r="AU109" s="612">
        <f>SUM(AN109+AG109+Y109+G109)</f>
        <v>3500000</v>
      </c>
      <c r="AV109" s="611">
        <f>AM109/$AM$7</f>
        <v>0</v>
      </c>
      <c r="AW109" s="610">
        <f>+'[2]Egresos -2015 '!$AO$109</f>
        <v>1420</v>
      </c>
      <c r="AX109" s="609">
        <f>AW109/$AW$7</f>
        <v>2.7458721040804253E-5</v>
      </c>
      <c r="AY109" s="608">
        <f>+F109/$F$7</f>
        <v>1.0988953845944313E-4</v>
      </c>
      <c r="AZ109" s="606">
        <f>+((135030/6))*12/1000</f>
        <v>270.06</v>
      </c>
      <c r="BA109" s="608">
        <f>+AZ109/$AZ$7</f>
        <v>7.3941437877460698E-6</v>
      </c>
      <c r="BB109" s="560">
        <f>+F109-AZ109</f>
        <v>6879.94</v>
      </c>
      <c r="BC109" s="607">
        <v>0</v>
      </c>
      <c r="BD109" s="606">
        <v>0</v>
      </c>
      <c r="BE109" s="605">
        <f>+BD109/$BD$7</f>
        <v>0</v>
      </c>
      <c r="BF109" s="560">
        <f t="shared" si="139"/>
        <v>270.06</v>
      </c>
      <c r="BG109" s="604">
        <v>0</v>
      </c>
      <c r="BH109" s="555"/>
    </row>
    <row r="110" spans="1:60" ht="15.75" hidden="1" customHeight="1" x14ac:dyDescent="0.3">
      <c r="A110" s="559" t="s">
        <v>174</v>
      </c>
      <c r="B110" s="1981" t="s">
        <v>175</v>
      </c>
      <c r="C110" s="1982"/>
      <c r="D110" s="20">
        <f>+G110+Y110+AG110+AN110</f>
        <v>2050000</v>
      </c>
      <c r="E110" s="620">
        <f>SUM(G110+Y110+AG110+AN110)</f>
        <v>2050000</v>
      </c>
      <c r="F110" s="558">
        <f>+X110+AF110+AM110+AW110</f>
        <v>0</v>
      </c>
      <c r="G110" s="20">
        <f>SUM(H110:W110)</f>
        <v>550000</v>
      </c>
      <c r="H110" s="375"/>
      <c r="I110" s="375"/>
      <c r="J110" s="375">
        <v>450000</v>
      </c>
      <c r="K110" s="375">
        <v>0</v>
      </c>
      <c r="L110" s="341">
        <v>0</v>
      </c>
      <c r="M110" s="1"/>
      <c r="N110" s="375">
        <f>100000</f>
        <v>100000</v>
      </c>
      <c r="O110" s="375"/>
      <c r="P110" s="341"/>
      <c r="Q110" s="375"/>
      <c r="R110" s="1"/>
      <c r="S110" s="1"/>
      <c r="T110" s="1"/>
      <c r="U110" s="1"/>
      <c r="V110" s="1"/>
      <c r="W110" s="1"/>
      <c r="X110" s="617">
        <f>+'[3]Egresos -2015 '!$Z$110</f>
        <v>0</v>
      </c>
      <c r="Y110" s="8">
        <f>SUM(Z110:AD110)</f>
        <v>1500000</v>
      </c>
      <c r="Z110" s="8">
        <v>1500000</v>
      </c>
      <c r="AA110" s="8"/>
      <c r="AB110" s="8"/>
      <c r="AC110" s="8"/>
      <c r="AD110" s="8"/>
      <c r="AE110" s="642">
        <f>X110/$X$7*100</f>
        <v>0</v>
      </c>
      <c r="AF110" s="8">
        <v>0</v>
      </c>
      <c r="AG110" s="2">
        <f>SUM(AH110:AK110)</f>
        <v>0</v>
      </c>
      <c r="AH110" s="321"/>
      <c r="AI110" s="14"/>
      <c r="AJ110" s="14"/>
      <c r="AK110" s="14"/>
      <c r="AL110" s="614">
        <f>(AF110/AF7)*100</f>
        <v>0</v>
      </c>
      <c r="AM110" s="614">
        <v>0</v>
      </c>
      <c r="AN110" s="30">
        <f>SUM(AO110+AP110)</f>
        <v>0</v>
      </c>
      <c r="AO110" s="13"/>
      <c r="AP110" s="613">
        <f>SUM(AQ110:AT110)</f>
        <v>0</v>
      </c>
      <c r="AQ110" s="309"/>
      <c r="AR110" s="13"/>
      <c r="AS110" s="13"/>
      <c r="AT110" s="13"/>
      <c r="AU110" s="612">
        <f>SUM(AN110+AG110+Y110+G110)</f>
        <v>2050000</v>
      </c>
      <c r="AV110" s="611">
        <f>AM110/$AM$7</f>
        <v>0</v>
      </c>
      <c r="AW110" s="610">
        <v>0</v>
      </c>
      <c r="AX110" s="609">
        <f>AW110/$AW$7</f>
        <v>0</v>
      </c>
      <c r="AY110" s="608">
        <f>+F110/$F$7</f>
        <v>0</v>
      </c>
      <c r="AZ110" s="606">
        <f>+((0/7))*12/1000</f>
        <v>0</v>
      </c>
      <c r="BA110" s="608">
        <f>+AZ110/$AZ$7</f>
        <v>0</v>
      </c>
      <c r="BB110" s="560">
        <f>+F110-AZ110</f>
        <v>0</v>
      </c>
      <c r="BC110" s="607">
        <v>0</v>
      </c>
      <c r="BD110" s="606">
        <v>0</v>
      </c>
      <c r="BE110" s="605">
        <f>+BD110/$BD$7</f>
        <v>0</v>
      </c>
      <c r="BF110" s="560">
        <f t="shared" si="139"/>
        <v>0</v>
      </c>
      <c r="BG110" s="604">
        <v>0</v>
      </c>
      <c r="BH110" s="555"/>
    </row>
    <row r="111" spans="1:60" ht="15.75" customHeight="1" x14ac:dyDescent="0.3">
      <c r="A111" s="559"/>
      <c r="B111" s="634"/>
      <c r="C111" s="635"/>
      <c r="D111" s="20"/>
      <c r="E111" s="620"/>
      <c r="F111" s="558"/>
      <c r="G111" s="20"/>
      <c r="H111" s="375"/>
      <c r="I111" s="375"/>
      <c r="J111" s="375"/>
      <c r="K111" s="375"/>
      <c r="L111" s="341"/>
      <c r="M111" s="1"/>
      <c r="N111" s="375"/>
      <c r="O111" s="375"/>
      <c r="P111" s="341"/>
      <c r="Q111" s="375"/>
      <c r="R111" s="1"/>
      <c r="S111" s="1"/>
      <c r="T111" s="1"/>
      <c r="U111" s="1"/>
      <c r="V111" s="1"/>
      <c r="W111" s="1"/>
      <c r="X111" s="617"/>
      <c r="Y111" s="8"/>
      <c r="Z111" s="8"/>
      <c r="AA111" s="8"/>
      <c r="AB111" s="8"/>
      <c r="AC111" s="8"/>
      <c r="AD111" s="8"/>
      <c r="AE111" s="615"/>
      <c r="AF111" s="8"/>
      <c r="AG111" s="2"/>
      <c r="AH111" s="321"/>
      <c r="AI111" s="14"/>
      <c r="AJ111" s="14"/>
      <c r="AK111" s="14"/>
      <c r="AL111" s="614"/>
      <c r="AM111" s="614"/>
      <c r="AN111" s="34"/>
      <c r="AO111" s="13"/>
      <c r="AP111" s="115"/>
      <c r="AQ111" s="309"/>
      <c r="AR111" s="13"/>
      <c r="AS111" s="13"/>
      <c r="AT111" s="13"/>
      <c r="AU111" s="612"/>
      <c r="AV111" s="611"/>
      <c r="AW111" s="610"/>
      <c r="AX111" s="609">
        <f>AW111/$AW$7</f>
        <v>0</v>
      </c>
      <c r="AY111" s="608"/>
      <c r="AZ111" s="606"/>
      <c r="BA111" s="608"/>
      <c r="BB111" s="560"/>
      <c r="BC111" s="607"/>
      <c r="BD111" s="606"/>
      <c r="BE111" s="605"/>
      <c r="BF111" s="560"/>
      <c r="BG111" s="604"/>
      <c r="BH111" s="555"/>
    </row>
    <row r="112" spans="1:60" ht="15.75" hidden="1" customHeight="1" x14ac:dyDescent="0.3">
      <c r="A112" s="559"/>
      <c r="B112" s="634"/>
      <c r="C112" s="635"/>
      <c r="D112" s="20"/>
      <c r="E112" s="620"/>
      <c r="F112" s="558"/>
      <c r="G112" s="20"/>
      <c r="H112" s="375"/>
      <c r="I112" s="375"/>
      <c r="J112" s="375"/>
      <c r="K112" s="375"/>
      <c r="L112" s="341"/>
      <c r="M112" s="1"/>
      <c r="N112" s="375"/>
      <c r="O112" s="375"/>
      <c r="P112" s="341"/>
      <c r="Q112" s="375"/>
      <c r="R112" s="1"/>
      <c r="S112" s="1"/>
      <c r="T112" s="1"/>
      <c r="U112" s="1"/>
      <c r="V112" s="1"/>
      <c r="W112" s="1"/>
      <c r="X112" s="617"/>
      <c r="Y112" s="8"/>
      <c r="Z112" s="8"/>
      <c r="AA112" s="8"/>
      <c r="AB112" s="8"/>
      <c r="AC112" s="8"/>
      <c r="AD112" s="8"/>
      <c r="AE112" s="615"/>
      <c r="AF112" s="8"/>
      <c r="AG112" s="2"/>
      <c r="AH112" s="321"/>
      <c r="AI112" s="14"/>
      <c r="AJ112" s="14"/>
      <c r="AK112" s="14"/>
      <c r="AL112" s="614"/>
      <c r="AM112" s="614"/>
      <c r="AN112" s="34"/>
      <c r="AO112" s="13"/>
      <c r="AP112" s="115"/>
      <c r="AQ112" s="309"/>
      <c r="AR112" s="13"/>
      <c r="AS112" s="13"/>
      <c r="AT112" s="13"/>
      <c r="AU112" s="612"/>
      <c r="AV112" s="611"/>
      <c r="AW112" s="610"/>
      <c r="AX112" s="609"/>
      <c r="AY112" s="608"/>
      <c r="AZ112" s="606"/>
      <c r="BA112" s="608"/>
      <c r="BB112" s="560"/>
      <c r="BC112" s="607"/>
      <c r="BD112" s="606"/>
      <c r="BE112" s="605"/>
      <c r="BF112" s="560"/>
      <c r="BG112" s="604"/>
      <c r="BH112" s="555"/>
    </row>
    <row r="113" spans="1:60" ht="15.75" hidden="1" customHeight="1" x14ac:dyDescent="0.3">
      <c r="A113" s="559"/>
      <c r="B113" s="634"/>
      <c r="C113" s="635"/>
      <c r="D113" s="20"/>
      <c r="E113" s="620"/>
      <c r="F113" s="558">
        <f>+X113+AF113+AM113+AW113</f>
        <v>0</v>
      </c>
      <c r="G113" s="20"/>
      <c r="H113" s="375"/>
      <c r="I113" s="375"/>
      <c r="J113" s="375"/>
      <c r="K113" s="375"/>
      <c r="L113" s="341"/>
      <c r="M113" s="1"/>
      <c r="N113" s="375"/>
      <c r="O113" s="375"/>
      <c r="P113" s="341"/>
      <c r="Q113" s="375"/>
      <c r="R113" s="1"/>
      <c r="S113" s="1"/>
      <c r="T113" s="1"/>
      <c r="U113" s="1"/>
      <c r="V113" s="1"/>
      <c r="W113" s="1"/>
      <c r="X113" s="617">
        <f>G113/1000</f>
        <v>0</v>
      </c>
      <c r="Y113" s="8"/>
      <c r="Z113" s="8"/>
      <c r="AA113" s="8"/>
      <c r="AB113" s="8"/>
      <c r="AC113" s="8"/>
      <c r="AD113" s="8"/>
      <c r="AE113" s="615">
        <f>X113/$X$7*100</f>
        <v>0</v>
      </c>
      <c r="AF113" s="8">
        <f>Y113/1000</f>
        <v>0</v>
      </c>
      <c r="AG113" s="2"/>
      <c r="AH113" s="321"/>
      <c r="AI113" s="14"/>
      <c r="AJ113" s="14"/>
      <c r="AK113" s="14"/>
      <c r="AL113" s="614"/>
      <c r="AM113" s="614">
        <f>AG113/1000</f>
        <v>0</v>
      </c>
      <c r="AN113" s="34"/>
      <c r="AO113" s="13"/>
      <c r="AP113" s="115"/>
      <c r="AQ113" s="309"/>
      <c r="AR113" s="13"/>
      <c r="AS113" s="13"/>
      <c r="AT113" s="13"/>
      <c r="AU113" s="612"/>
      <c r="AV113" s="611">
        <f t="shared" ref="AV113:AV124" si="142">AM113/$AM$7</f>
        <v>0</v>
      </c>
      <c r="AW113" s="610">
        <f>AN113/1000</f>
        <v>0</v>
      </c>
      <c r="AX113" s="609">
        <f t="shared" ref="AX113:AX124" si="143">AW113/$AW$7</f>
        <v>0</v>
      </c>
      <c r="AY113" s="608">
        <f>+F113/$F$7</f>
        <v>0</v>
      </c>
      <c r="AZ113" s="606">
        <f>+((0/7))*12/1000</f>
        <v>0</v>
      </c>
      <c r="BA113" s="608">
        <f>+AZ113/$AZ$7</f>
        <v>0</v>
      </c>
      <c r="BB113" s="560">
        <f>+F113-AZ113</f>
        <v>0</v>
      </c>
      <c r="BC113" s="607" t="e">
        <f>+BB113/AZ113</f>
        <v>#DIV/0!</v>
      </c>
      <c r="BD113" s="606"/>
      <c r="BE113" s="605">
        <f>+BD113/$BD$7</f>
        <v>0</v>
      </c>
      <c r="BF113" s="560">
        <f>AZ113-BD113</f>
        <v>0</v>
      </c>
      <c r="BG113" s="604" t="e">
        <f>+BF113/BD113</f>
        <v>#DIV/0!</v>
      </c>
      <c r="BH113" s="555"/>
    </row>
    <row r="114" spans="1:60" s="555" customFormat="1" ht="15.75" hidden="1" customHeight="1" x14ac:dyDescent="0.3">
      <c r="A114" s="559"/>
      <c r="B114" s="634"/>
      <c r="C114" s="635"/>
      <c r="D114" s="20"/>
      <c r="E114" s="620"/>
      <c r="F114" s="558" t="e">
        <f>+X114+AF114+AM114+AW114</f>
        <v>#VALUE!</v>
      </c>
      <c r="G114" s="20"/>
      <c r="H114" s="375"/>
      <c r="I114" s="375"/>
      <c r="J114" s="375"/>
      <c r="K114" s="375"/>
      <c r="L114" s="341"/>
      <c r="M114" s="1"/>
      <c r="N114" s="375"/>
      <c r="O114" s="375"/>
      <c r="P114" s="341"/>
      <c r="Q114" s="375"/>
      <c r="R114" s="1"/>
      <c r="S114" s="1"/>
      <c r="T114" s="1"/>
      <c r="U114" s="1"/>
      <c r="V114" s="1"/>
      <c r="W114" s="1"/>
      <c r="X114" s="617">
        <f>G114/1000</f>
        <v>0</v>
      </c>
      <c r="Y114" s="560"/>
      <c r="Z114" s="560"/>
      <c r="AA114" s="560"/>
      <c r="AB114" s="560"/>
      <c r="AC114" s="560"/>
      <c r="AD114" s="560"/>
      <c r="AE114" s="615">
        <f>X114/$X$7*100</f>
        <v>0</v>
      </c>
      <c r="AF114" s="8">
        <f>Y114/1000</f>
        <v>0</v>
      </c>
      <c r="AG114" s="11" t="s">
        <v>0</v>
      </c>
      <c r="AH114" s="699" t="s">
        <v>0</v>
      </c>
      <c r="AI114" s="698" t="s">
        <v>0</v>
      </c>
      <c r="AJ114" s="698"/>
      <c r="AK114" s="698"/>
      <c r="AL114" s="614"/>
      <c r="AM114" s="614" t="e">
        <f>AG114/1000</f>
        <v>#VALUE!</v>
      </c>
      <c r="AN114" s="34"/>
      <c r="AO114" s="698"/>
      <c r="AP114" s="706"/>
      <c r="AQ114" s="699"/>
      <c r="AR114" s="698"/>
      <c r="AS114" s="698"/>
      <c r="AT114" s="698"/>
      <c r="AU114" s="612"/>
      <c r="AV114" s="611" t="e">
        <f t="shared" si="142"/>
        <v>#VALUE!</v>
      </c>
      <c r="AW114" s="610">
        <f>AN114/1000</f>
        <v>0</v>
      </c>
      <c r="AX114" s="609">
        <f t="shared" si="143"/>
        <v>0</v>
      </c>
      <c r="AY114" s="608" t="e">
        <f>+F114/$F$7</f>
        <v>#VALUE!</v>
      </c>
      <c r="AZ114" s="606">
        <f>+((0/7))*12/1000</f>
        <v>0</v>
      </c>
      <c r="BA114" s="608">
        <f>+AZ114/$AZ$7</f>
        <v>0</v>
      </c>
      <c r="BB114" s="560" t="e">
        <f>+F114-AZ114</f>
        <v>#VALUE!</v>
      </c>
      <c r="BC114" s="607" t="e">
        <f>+BB114/AZ114</f>
        <v>#VALUE!</v>
      </c>
      <c r="BD114" s="606"/>
      <c r="BE114" s="605">
        <f>+BD114/$BD$7</f>
        <v>0</v>
      </c>
      <c r="BF114" s="560">
        <f>AZ114-BD114</f>
        <v>0</v>
      </c>
      <c r="BG114" s="604" t="e">
        <f>+BF114/BD114</f>
        <v>#DIV/0!</v>
      </c>
    </row>
    <row r="115" spans="1:60" ht="15.75" customHeight="1" x14ac:dyDescent="0.3">
      <c r="A115" s="562" t="s">
        <v>176</v>
      </c>
      <c r="B115" s="1973" t="s">
        <v>177</v>
      </c>
      <c r="C115" s="1974"/>
      <c r="D115" s="21">
        <f>SUM(D116:D124)</f>
        <v>155385613.31</v>
      </c>
      <c r="E115" s="628">
        <f>SUM(G115+Y115+AG115+AN115)</f>
        <v>155385613.31</v>
      </c>
      <c r="F115" s="561">
        <f>F117+F119+F120+F121+F122+F123+F124</f>
        <v>186020</v>
      </c>
      <c r="G115" s="21">
        <f>SUM(G117:G124)</f>
        <v>128491863.31</v>
      </c>
      <c r="H115" s="374">
        <f t="shared" ref="H115:W115" si="144">SUM(H116:H124)</f>
        <v>200000</v>
      </c>
      <c r="I115" s="374">
        <f t="shared" si="144"/>
        <v>300000</v>
      </c>
      <c r="J115" s="374">
        <f t="shared" si="144"/>
        <v>1500000</v>
      </c>
      <c r="K115" s="374">
        <f t="shared" si="144"/>
        <v>0</v>
      </c>
      <c r="L115" s="23">
        <f t="shared" si="144"/>
        <v>0</v>
      </c>
      <c r="M115" s="23">
        <f t="shared" si="144"/>
        <v>102855919.87</v>
      </c>
      <c r="N115" s="374">
        <f t="shared" si="144"/>
        <v>0</v>
      </c>
      <c r="O115" s="374">
        <f t="shared" si="144"/>
        <v>200000</v>
      </c>
      <c r="P115" s="23">
        <f t="shared" si="144"/>
        <v>450000</v>
      </c>
      <c r="Q115" s="374">
        <f t="shared" si="144"/>
        <v>450000</v>
      </c>
      <c r="R115" s="23">
        <f t="shared" si="144"/>
        <v>175000</v>
      </c>
      <c r="S115" s="23">
        <f t="shared" si="144"/>
        <v>19367943.439999998</v>
      </c>
      <c r="T115" s="23">
        <f t="shared" si="144"/>
        <v>750000</v>
      </c>
      <c r="U115" s="23">
        <f t="shared" si="144"/>
        <v>1560000</v>
      </c>
      <c r="V115" s="23">
        <f t="shared" si="144"/>
        <v>1358000</v>
      </c>
      <c r="W115" s="23">
        <f t="shared" si="144"/>
        <v>950000</v>
      </c>
      <c r="X115" s="350">
        <f>+X117+X120+X121+X122+X123+X124</f>
        <v>114326.94</v>
      </c>
      <c r="Y115" s="9">
        <f t="shared" ref="Y115:AD115" si="145">SUM(Y116:Y124)</f>
        <v>5500000</v>
      </c>
      <c r="Z115" s="9">
        <f t="shared" si="145"/>
        <v>300000</v>
      </c>
      <c r="AA115" s="9">
        <f t="shared" si="145"/>
        <v>1600000</v>
      </c>
      <c r="AB115" s="9">
        <f t="shared" si="145"/>
        <v>1200000</v>
      </c>
      <c r="AC115" s="9">
        <f t="shared" si="145"/>
        <v>1200000</v>
      </c>
      <c r="AD115" s="9">
        <f t="shared" si="145"/>
        <v>1200000</v>
      </c>
      <c r="AE115" s="615">
        <f>X115/$X$7*100</f>
        <v>2.2425188615889544</v>
      </c>
      <c r="AF115" s="10">
        <f>+AF116+AF117+AF120+AF121+AF122+AF123+AF124</f>
        <v>160</v>
      </c>
      <c r="AG115" s="2">
        <f>SUM(AG117:AG124)</f>
        <v>17100000</v>
      </c>
      <c r="AH115" s="709">
        <f>SUM(AH116:AH124)</f>
        <v>300000</v>
      </c>
      <c r="AI115" s="708">
        <f>SUM(AI116:AI124)</f>
        <v>575000</v>
      </c>
      <c r="AJ115" s="33">
        <f>SUM(AJ117:AJ124)</f>
        <v>425000</v>
      </c>
      <c r="AK115" s="33">
        <f>SUM(AK117:AK124)</f>
        <v>15800000</v>
      </c>
      <c r="AL115" s="623">
        <f>(AF115/AF7)*100</f>
        <v>1.1051132226761176E-2</v>
      </c>
      <c r="AM115" s="623">
        <f>+AM117+AM120+AM121+AM122+AM123+AM124</f>
        <v>1200</v>
      </c>
      <c r="AN115" s="34">
        <f t="shared" ref="AN115:AU115" si="146">SUM(AN117:AN124)</f>
        <v>4293750</v>
      </c>
      <c r="AO115" s="35">
        <f t="shared" si="146"/>
        <v>2520000</v>
      </c>
      <c r="AP115" s="34">
        <f t="shared" si="146"/>
        <v>1773750</v>
      </c>
      <c r="AQ115" s="305">
        <f t="shared" si="146"/>
        <v>215000</v>
      </c>
      <c r="AR115" s="35">
        <f t="shared" si="146"/>
        <v>107500</v>
      </c>
      <c r="AS115" s="35">
        <f t="shared" si="146"/>
        <v>1075000</v>
      </c>
      <c r="AT115" s="35">
        <f t="shared" si="146"/>
        <v>376250</v>
      </c>
      <c r="AU115" s="622">
        <f t="shared" si="146"/>
        <v>155385613.31</v>
      </c>
      <c r="AV115" s="611">
        <f t="shared" si="142"/>
        <v>1.0460934709871889E-4</v>
      </c>
      <c r="AW115" s="621">
        <f>+AW117+AW120+AW121+AW122+AW123+AW124</f>
        <v>2620</v>
      </c>
      <c r="AX115" s="609">
        <f t="shared" si="143"/>
        <v>5.0663274033033203E-5</v>
      </c>
      <c r="AY115" s="608">
        <f>+F115/F7</f>
        <v>2.8589722998916939E-3</v>
      </c>
      <c r="AZ115" s="561">
        <f>AZ117+AZ119+AZ120+AZ121+AZ122+AZ123+AZ124</f>
        <v>165632.72279999999</v>
      </c>
      <c r="BA115" s="608">
        <f>+AZ115/$AZ$7</f>
        <v>4.5349632242430819E-3</v>
      </c>
      <c r="BB115" s="560">
        <f>+F115-AZ115</f>
        <v>20387.277200000011</v>
      </c>
      <c r="BC115" s="607">
        <f>+BB115/AZ115</f>
        <v>0.12308725507469598</v>
      </c>
      <c r="BD115" s="561">
        <f>BD117+BD119+BD120+BD121+BD122+BD123+BD124</f>
        <v>53247.9</v>
      </c>
      <c r="BE115" s="605">
        <f>+BD115/$BD$7</f>
        <v>1.2264411436796461E-3</v>
      </c>
      <c r="BF115" s="560">
        <f>AZ115-BD115</f>
        <v>112384.82279999999</v>
      </c>
      <c r="BG115" s="604">
        <f>+BF115/BD115</f>
        <v>2.1105963390105522</v>
      </c>
      <c r="BH115" s="555"/>
    </row>
    <row r="116" spans="1:60" ht="15.75" customHeight="1" x14ac:dyDescent="0.3">
      <c r="A116" s="562"/>
      <c r="B116" s="742"/>
      <c r="C116" s="741"/>
      <c r="D116" s="20"/>
      <c r="E116" s="620"/>
      <c r="F116" s="558"/>
      <c r="G116" s="20">
        <v>0</v>
      </c>
      <c r="H116" s="374"/>
      <c r="I116" s="374"/>
      <c r="J116" s="374"/>
      <c r="K116" s="374"/>
      <c r="L116" s="23"/>
      <c r="M116" s="26"/>
      <c r="N116" s="374"/>
      <c r="O116" s="374"/>
      <c r="P116" s="23"/>
      <c r="Q116" s="374"/>
      <c r="R116" s="26"/>
      <c r="S116" s="26"/>
      <c r="T116" s="26"/>
      <c r="U116" s="26"/>
      <c r="V116" s="26"/>
      <c r="W116" s="26"/>
      <c r="X116" s="617"/>
      <c r="Y116" s="10"/>
      <c r="Z116" s="10"/>
      <c r="AA116" s="10"/>
      <c r="AB116" s="10"/>
      <c r="AC116" s="10"/>
      <c r="AD116" s="10"/>
      <c r="AE116" s="615"/>
      <c r="AF116" s="8">
        <f t="shared" ref="AF116:AF121" si="147">Y116/1000</f>
        <v>0</v>
      </c>
      <c r="AG116" s="11" t="s">
        <v>0</v>
      </c>
      <c r="AH116" s="699" t="s">
        <v>0</v>
      </c>
      <c r="AI116" s="698"/>
      <c r="AJ116" s="698" t="s">
        <v>0</v>
      </c>
      <c r="AK116" s="698" t="s">
        <v>0</v>
      </c>
      <c r="AL116" s="614"/>
      <c r="AM116" s="614"/>
      <c r="AN116" s="124"/>
      <c r="AO116" s="698" t="s">
        <v>0</v>
      </c>
      <c r="AP116" s="706" t="s">
        <v>0</v>
      </c>
      <c r="AQ116" s="699" t="s">
        <v>0</v>
      </c>
      <c r="AR116" s="698" t="s">
        <v>0</v>
      </c>
      <c r="AS116" s="698" t="s">
        <v>0</v>
      </c>
      <c r="AT116" s="698" t="s">
        <v>0</v>
      </c>
      <c r="AU116" s="568"/>
      <c r="AV116" s="611">
        <f t="shared" si="142"/>
        <v>0</v>
      </c>
      <c r="AW116" s="610"/>
      <c r="AX116" s="609">
        <f t="shared" si="143"/>
        <v>0</v>
      </c>
      <c r="AY116" s="608"/>
      <c r="AZ116" s="606"/>
      <c r="BA116" s="608"/>
      <c r="BB116" s="560"/>
      <c r="BC116" s="607"/>
      <c r="BD116" s="606"/>
      <c r="BE116" s="605"/>
      <c r="BF116" s="560"/>
      <c r="BG116" s="604"/>
      <c r="BH116" s="555"/>
    </row>
    <row r="117" spans="1:60" ht="15.75" customHeight="1" x14ac:dyDescent="0.3">
      <c r="A117" s="559" t="s">
        <v>178</v>
      </c>
      <c r="B117" s="1967" t="s">
        <v>179</v>
      </c>
      <c r="C117" s="1968"/>
      <c r="D117" s="20">
        <f t="shared" ref="D117:D124" si="148">+G117+Y117+AG117+AN117</f>
        <v>24080000</v>
      </c>
      <c r="E117" s="620">
        <f t="shared" ref="E117:E124" si="149">SUM(G117+Y117+AG117+AN117)</f>
        <v>24080000</v>
      </c>
      <c r="F117" s="558">
        <f>40000000/1000</f>
        <v>40000</v>
      </c>
      <c r="G117" s="20">
        <f>SUM(H117:W117)</f>
        <v>9080000</v>
      </c>
      <c r="H117" s="375"/>
      <c r="I117" s="375"/>
      <c r="J117" s="375"/>
      <c r="K117" s="375"/>
      <c r="L117" s="341"/>
      <c r="M117" s="1"/>
      <c r="N117" s="375">
        <v>0</v>
      </c>
      <c r="O117" s="375">
        <v>0</v>
      </c>
      <c r="P117" s="341"/>
      <c r="Q117" s="375"/>
      <c r="R117" s="1"/>
      <c r="S117" s="1">
        <v>9080000</v>
      </c>
      <c r="T117" s="1"/>
      <c r="U117" s="1"/>
      <c r="V117" s="1"/>
      <c r="W117" s="1"/>
      <c r="X117" s="617">
        <f>+'[3]Egresos -2015 '!$Z$117</f>
        <v>32500</v>
      </c>
      <c r="Y117" s="8">
        <f t="shared" ref="Y117:Y124" si="150">SUM(Z117:AD117)</f>
        <v>0</v>
      </c>
      <c r="Z117" s="8">
        <v>0</v>
      </c>
      <c r="AA117" s="8">
        <v>0</v>
      </c>
      <c r="AB117" s="8"/>
      <c r="AC117" s="8"/>
      <c r="AD117" s="8"/>
      <c r="AE117" s="642">
        <f>X117/$X$7*100</f>
        <v>0.63748634400291837</v>
      </c>
      <c r="AF117" s="8">
        <f t="shared" si="147"/>
        <v>0</v>
      </c>
      <c r="AG117" s="2">
        <f t="shared" ref="AG117:AG124" si="151">SUM(AH117:AK117)</f>
        <v>15000000</v>
      </c>
      <c r="AH117" s="699">
        <v>0</v>
      </c>
      <c r="AI117" s="698">
        <v>0</v>
      </c>
      <c r="AJ117" s="698"/>
      <c r="AK117" s="698">
        <v>15000000</v>
      </c>
      <c r="AL117" s="614">
        <v>0</v>
      </c>
      <c r="AM117" s="614">
        <v>0</v>
      </c>
      <c r="AN117" s="34">
        <f t="shared" ref="AN117:AN124" si="152">SUM(AO117+AP117)</f>
        <v>0</v>
      </c>
      <c r="AO117" s="698"/>
      <c r="AP117" s="706">
        <f t="shared" ref="AP117:AP124" si="153">SUM(AQ117:AT117)</f>
        <v>0</v>
      </c>
      <c r="AQ117" s="699"/>
      <c r="AR117" s="698"/>
      <c r="AS117" s="698"/>
      <c r="AT117" s="698"/>
      <c r="AU117" s="612">
        <f t="shared" ref="AU117:AU124" si="154">SUM(AN117+AG117+Y117+G117)</f>
        <v>24080000</v>
      </c>
      <c r="AV117" s="611">
        <f t="shared" si="142"/>
        <v>0</v>
      </c>
      <c r="AW117" s="610">
        <v>0</v>
      </c>
      <c r="AX117" s="609">
        <f t="shared" si="143"/>
        <v>0</v>
      </c>
      <c r="AY117" s="608">
        <f t="shared" ref="AY117:AY124" si="155">+F117/$F$7</f>
        <v>6.1476664872415739E-4</v>
      </c>
      <c r="AZ117" s="606">
        <f>+(((6035651.72+8920707.28)/6))*12/1000</f>
        <v>29912.718000000001</v>
      </c>
      <c r="BA117" s="608">
        <f t="shared" ref="BA117:BA124" si="156">+AZ117/$AZ$7</f>
        <v>8.189992519229062E-4</v>
      </c>
      <c r="BB117" s="560">
        <f t="shared" ref="BB117:BB124" si="157">+F117-AZ117</f>
        <v>10087.281999999999</v>
      </c>
      <c r="BC117" s="607">
        <v>0</v>
      </c>
      <c r="BD117" s="606">
        <v>2175.7399999999998</v>
      </c>
      <c r="BE117" s="605">
        <f t="shared" ref="BE117:BE124" si="158">+BD117/$BD$7</f>
        <v>5.0113094675086773E-5</v>
      </c>
      <c r="BF117" s="560">
        <f t="shared" ref="BF117:BF124" si="159">AZ117-BD117</f>
        <v>27736.978000000003</v>
      </c>
      <c r="BG117" s="604">
        <f>+BF117/BD117</f>
        <v>12.748296211863552</v>
      </c>
      <c r="BH117" s="555"/>
    </row>
    <row r="118" spans="1:60" ht="15.75" hidden="1" customHeight="1" x14ac:dyDescent="0.3">
      <c r="A118" s="645" t="s">
        <v>180</v>
      </c>
      <c r="B118" s="1967" t="s">
        <v>181</v>
      </c>
      <c r="C118" s="1968"/>
      <c r="D118" s="20">
        <f t="shared" si="148"/>
        <v>0</v>
      </c>
      <c r="E118" s="620">
        <f t="shared" si="149"/>
        <v>0</v>
      </c>
      <c r="F118" s="558">
        <f>+X118+AF118+AM118+AW118</f>
        <v>0</v>
      </c>
      <c r="G118" s="20">
        <f>SUM(H118:W118)</f>
        <v>0</v>
      </c>
      <c r="H118" s="341"/>
      <c r="I118" s="341"/>
      <c r="J118" s="341"/>
      <c r="K118" s="341"/>
      <c r="L118" s="341"/>
      <c r="M118" s="1"/>
      <c r="N118" s="341"/>
      <c r="O118" s="341"/>
      <c r="P118" s="341"/>
      <c r="Q118" s="341"/>
      <c r="R118" s="1"/>
      <c r="S118" s="1"/>
      <c r="T118" s="1"/>
      <c r="U118" s="1"/>
      <c r="V118" s="1"/>
      <c r="W118" s="1"/>
      <c r="X118" s="617">
        <f>G118/1000</f>
        <v>0</v>
      </c>
      <c r="Y118" s="8">
        <f t="shared" si="150"/>
        <v>0</v>
      </c>
      <c r="Z118" s="8"/>
      <c r="AA118" s="8"/>
      <c r="AB118" s="8"/>
      <c r="AC118" s="8"/>
      <c r="AD118" s="8"/>
      <c r="AE118" s="642"/>
      <c r="AF118" s="8">
        <f t="shared" si="147"/>
        <v>0</v>
      </c>
      <c r="AG118" s="2">
        <f t="shared" si="151"/>
        <v>0</v>
      </c>
      <c r="AH118" s="699">
        <v>0</v>
      </c>
      <c r="AI118" s="698">
        <v>0</v>
      </c>
      <c r="AJ118" s="12">
        <v>0</v>
      </c>
      <c r="AK118" s="12">
        <v>0</v>
      </c>
      <c r="AL118" s="614"/>
      <c r="AM118" s="614">
        <f>AG118/1000</f>
        <v>0</v>
      </c>
      <c r="AN118" s="30">
        <f t="shared" si="152"/>
        <v>0</v>
      </c>
      <c r="AO118" s="12"/>
      <c r="AP118" s="613">
        <f t="shared" si="153"/>
        <v>0</v>
      </c>
      <c r="AQ118" s="317"/>
      <c r="AR118" s="12"/>
      <c r="AS118" s="12"/>
      <c r="AT118" s="12"/>
      <c r="AU118" s="612">
        <f t="shared" si="154"/>
        <v>0</v>
      </c>
      <c r="AV118" s="611">
        <f t="shared" si="142"/>
        <v>0</v>
      </c>
      <c r="AW118" s="610">
        <f>AN118/1000</f>
        <v>0</v>
      </c>
      <c r="AX118" s="609">
        <f t="shared" si="143"/>
        <v>0</v>
      </c>
      <c r="AY118" s="608">
        <f t="shared" si="155"/>
        <v>0</v>
      </c>
      <c r="AZ118" s="606">
        <f>+((0/7))*12/1000</f>
        <v>0</v>
      </c>
      <c r="BA118" s="608">
        <f t="shared" si="156"/>
        <v>0</v>
      </c>
      <c r="BB118" s="560">
        <f t="shared" si="157"/>
        <v>0</v>
      </c>
      <c r="BC118" s="607" t="e">
        <f>+BB118/AZ118</f>
        <v>#DIV/0!</v>
      </c>
      <c r="BD118" s="606"/>
      <c r="BE118" s="605">
        <f t="shared" si="158"/>
        <v>0</v>
      </c>
      <c r="BF118" s="560">
        <f t="shared" si="159"/>
        <v>0</v>
      </c>
      <c r="BG118" s="604" t="e">
        <f>+BF118/BD118</f>
        <v>#DIV/0!</v>
      </c>
      <c r="BH118" s="555"/>
    </row>
    <row r="119" spans="1:60" ht="15.75" customHeight="1" x14ac:dyDescent="0.3">
      <c r="A119" s="645" t="s">
        <v>567</v>
      </c>
      <c r="B119" s="1967" t="s">
        <v>568</v>
      </c>
      <c r="C119" s="1968"/>
      <c r="D119" s="20">
        <f t="shared" si="148"/>
        <v>0</v>
      </c>
      <c r="E119" s="620">
        <f t="shared" si="149"/>
        <v>0</v>
      </c>
      <c r="F119" s="558">
        <f>150000/1000</f>
        <v>150</v>
      </c>
      <c r="G119" s="20"/>
      <c r="H119" s="341"/>
      <c r="I119" s="341"/>
      <c r="J119" s="341"/>
      <c r="K119" s="341"/>
      <c r="L119" s="341"/>
      <c r="M119" s="1"/>
      <c r="N119" s="341"/>
      <c r="O119" s="341"/>
      <c r="P119" s="341"/>
      <c r="Q119" s="341"/>
      <c r="R119" s="1">
        <v>25000</v>
      </c>
      <c r="S119" s="1">
        <v>1500000</v>
      </c>
      <c r="T119" s="1"/>
      <c r="U119" s="1"/>
      <c r="V119" s="1"/>
      <c r="W119" s="1">
        <v>100000</v>
      </c>
      <c r="X119" s="617">
        <f>G119/1000</f>
        <v>0</v>
      </c>
      <c r="Y119" s="8">
        <f t="shared" si="150"/>
        <v>0</v>
      </c>
      <c r="Z119" s="8"/>
      <c r="AA119" s="8"/>
      <c r="AB119" s="8"/>
      <c r="AC119" s="8"/>
      <c r="AD119" s="8"/>
      <c r="AE119" s="642"/>
      <c r="AF119" s="8">
        <f t="shared" si="147"/>
        <v>0</v>
      </c>
      <c r="AG119" s="2">
        <f t="shared" si="151"/>
        <v>0</v>
      </c>
      <c r="AH119" s="699"/>
      <c r="AI119" s="698"/>
      <c r="AJ119" s="12"/>
      <c r="AK119" s="12"/>
      <c r="AL119" s="614"/>
      <c r="AM119" s="614">
        <f>AG119/1000</f>
        <v>0</v>
      </c>
      <c r="AN119" s="30">
        <f t="shared" si="152"/>
        <v>0</v>
      </c>
      <c r="AO119" s="12"/>
      <c r="AP119" s="613">
        <f t="shared" si="153"/>
        <v>0</v>
      </c>
      <c r="AQ119" s="317"/>
      <c r="AR119" s="12"/>
      <c r="AS119" s="12"/>
      <c r="AT119" s="12"/>
      <c r="AU119" s="612">
        <f t="shared" si="154"/>
        <v>0</v>
      </c>
      <c r="AV119" s="611">
        <f t="shared" si="142"/>
        <v>0</v>
      </c>
      <c r="AW119" s="610">
        <f>AN119/1000</f>
        <v>0</v>
      </c>
      <c r="AX119" s="609">
        <f t="shared" si="143"/>
        <v>0</v>
      </c>
      <c r="AY119" s="608">
        <f t="shared" si="155"/>
        <v>2.3053749327155901E-6</v>
      </c>
      <c r="AZ119" s="606">
        <f>+((237676/6))*12/1000</f>
        <v>475.35199999999998</v>
      </c>
      <c r="BA119" s="608">
        <f t="shared" si="156"/>
        <v>1.3014963481421423E-5</v>
      </c>
      <c r="BB119" s="560">
        <f t="shared" si="157"/>
        <v>-325.35199999999998</v>
      </c>
      <c r="BC119" s="607">
        <v>0</v>
      </c>
      <c r="BD119" s="606">
        <v>0</v>
      </c>
      <c r="BE119" s="605">
        <f t="shared" si="158"/>
        <v>0</v>
      </c>
      <c r="BF119" s="560">
        <f t="shared" si="159"/>
        <v>475.35199999999998</v>
      </c>
      <c r="BG119" s="604">
        <v>0</v>
      </c>
      <c r="BH119" s="555"/>
    </row>
    <row r="120" spans="1:60" ht="13.5" customHeight="1" x14ac:dyDescent="0.3">
      <c r="A120" s="559" t="s">
        <v>182</v>
      </c>
      <c r="B120" s="1967" t="s">
        <v>183</v>
      </c>
      <c r="C120" s="1968"/>
      <c r="D120" s="20">
        <f t="shared" si="148"/>
        <v>8320000</v>
      </c>
      <c r="E120" s="620">
        <f t="shared" si="149"/>
        <v>8320000</v>
      </c>
      <c r="F120" s="558">
        <f>15000000/1000</f>
        <v>15000</v>
      </c>
      <c r="G120" s="20">
        <f>SUM(H120:W120)</f>
        <v>8320000</v>
      </c>
      <c r="H120" s="375"/>
      <c r="I120" s="375"/>
      <c r="J120" s="375"/>
      <c r="K120" s="375"/>
      <c r="L120" s="341">
        <v>0</v>
      </c>
      <c r="M120" s="1"/>
      <c r="N120" s="375">
        <v>0</v>
      </c>
      <c r="O120" s="375"/>
      <c r="P120" s="341"/>
      <c r="Q120" s="375"/>
      <c r="R120" s="1"/>
      <c r="S120" s="1">
        <v>8320000</v>
      </c>
      <c r="T120" s="1"/>
      <c r="U120" s="1"/>
      <c r="V120" s="1"/>
      <c r="W120" s="1"/>
      <c r="X120" s="617">
        <f>+'[3]Egresos -2015 '!$Z$120</f>
        <v>10000</v>
      </c>
      <c r="Y120" s="8">
        <f t="shared" si="150"/>
        <v>0</v>
      </c>
      <c r="Z120" s="8"/>
      <c r="AA120" s="8"/>
      <c r="AB120" s="8"/>
      <c r="AC120" s="8"/>
      <c r="AD120" s="8"/>
      <c r="AE120" s="642">
        <f>X120/$X$7*100</f>
        <v>0.19614964430859028</v>
      </c>
      <c r="AF120" s="8">
        <f t="shared" si="147"/>
        <v>0</v>
      </c>
      <c r="AG120" s="2">
        <f t="shared" si="151"/>
        <v>0</v>
      </c>
      <c r="AH120" s="699">
        <v>0</v>
      </c>
      <c r="AI120" s="698">
        <v>0</v>
      </c>
      <c r="AJ120" s="16">
        <v>0</v>
      </c>
      <c r="AK120" s="16">
        <v>0</v>
      </c>
      <c r="AL120" s="614"/>
      <c r="AM120" s="614">
        <v>0</v>
      </c>
      <c r="AN120" s="30">
        <f t="shared" si="152"/>
        <v>0</v>
      </c>
      <c r="AO120" s="16"/>
      <c r="AP120" s="613">
        <f t="shared" si="153"/>
        <v>0</v>
      </c>
      <c r="AQ120" s="324"/>
      <c r="AR120" s="16"/>
      <c r="AS120" s="16"/>
      <c r="AT120" s="16"/>
      <c r="AU120" s="612">
        <f t="shared" si="154"/>
        <v>8320000</v>
      </c>
      <c r="AV120" s="611">
        <f t="shared" si="142"/>
        <v>0</v>
      </c>
      <c r="AW120" s="610">
        <v>0</v>
      </c>
      <c r="AX120" s="609">
        <f t="shared" si="143"/>
        <v>0</v>
      </c>
      <c r="AY120" s="608">
        <f t="shared" si="155"/>
        <v>2.3053749327155902E-4</v>
      </c>
      <c r="AZ120" s="606">
        <f>+(((672093.37+16695.03)/6))*12/1000</f>
        <v>1377.5768</v>
      </c>
      <c r="BA120" s="608">
        <f t="shared" si="156"/>
        <v>3.7717547722221397E-5</v>
      </c>
      <c r="BB120" s="560">
        <f t="shared" si="157"/>
        <v>13622.423199999999</v>
      </c>
      <c r="BC120" s="607">
        <f>+BB120/AZ120</f>
        <v>9.8886851172290342</v>
      </c>
      <c r="BD120" s="606">
        <v>914.03</v>
      </c>
      <c r="BE120" s="605">
        <f t="shared" si="158"/>
        <v>2.1052548524120329E-5</v>
      </c>
      <c r="BF120" s="560">
        <f t="shared" si="159"/>
        <v>463.54680000000008</v>
      </c>
      <c r="BG120" s="604">
        <f>+BF120/BD120</f>
        <v>0.50714615494020998</v>
      </c>
      <c r="BH120" s="555"/>
    </row>
    <row r="121" spans="1:60" ht="15.75" customHeight="1" x14ac:dyDescent="0.3">
      <c r="A121" s="645" t="s">
        <v>184</v>
      </c>
      <c r="B121" s="1967" t="s">
        <v>185</v>
      </c>
      <c r="C121" s="1968"/>
      <c r="D121" s="20">
        <f t="shared" si="148"/>
        <v>921985.86</v>
      </c>
      <c r="E121" s="620">
        <f t="shared" si="149"/>
        <v>921985.86</v>
      </c>
      <c r="F121" s="558">
        <f>5400000/1000</f>
        <v>5400</v>
      </c>
      <c r="G121" s="20">
        <f>SUM(H121:W121)</f>
        <v>421985.86</v>
      </c>
      <c r="H121" s="341"/>
      <c r="I121" s="341"/>
      <c r="J121" s="341"/>
      <c r="K121" s="341"/>
      <c r="L121" s="341"/>
      <c r="M121" s="1"/>
      <c r="N121" s="341"/>
      <c r="O121" s="341"/>
      <c r="P121" s="341"/>
      <c r="Q121" s="341">
        <v>50000</v>
      </c>
      <c r="R121" s="1">
        <v>25000</v>
      </c>
      <c r="S121" s="1">
        <v>116985.86</v>
      </c>
      <c r="T121" s="1">
        <v>50000</v>
      </c>
      <c r="U121" s="1"/>
      <c r="V121" s="1">
        <v>130000</v>
      </c>
      <c r="W121" s="1">
        <v>50000</v>
      </c>
      <c r="X121" s="617">
        <f>+'[3]Egresos -2015 '!$Z$121</f>
        <v>5390.97</v>
      </c>
      <c r="Y121" s="8">
        <f t="shared" si="150"/>
        <v>0</v>
      </c>
      <c r="Z121" s="8"/>
      <c r="AA121" s="8"/>
      <c r="AB121" s="8"/>
      <c r="AC121" s="8"/>
      <c r="AD121" s="8"/>
      <c r="AE121" s="642">
        <f>X121/$X$7*100</f>
        <v>0.1057436847978281</v>
      </c>
      <c r="AF121" s="8">
        <f t="shared" si="147"/>
        <v>0</v>
      </c>
      <c r="AG121" s="2">
        <f t="shared" si="151"/>
        <v>0</v>
      </c>
      <c r="AH121" s="699">
        <v>0</v>
      </c>
      <c r="AI121" s="698">
        <v>0</v>
      </c>
      <c r="AJ121" s="698">
        <v>0</v>
      </c>
      <c r="AK121" s="698">
        <v>0</v>
      </c>
      <c r="AL121" s="614"/>
      <c r="AM121" s="614">
        <v>0</v>
      </c>
      <c r="AN121" s="30">
        <f t="shared" si="152"/>
        <v>500000</v>
      </c>
      <c r="AO121" s="698">
        <v>500000</v>
      </c>
      <c r="AP121" s="613">
        <f t="shared" si="153"/>
        <v>0</v>
      </c>
      <c r="AQ121" s="699"/>
      <c r="AR121" s="698"/>
      <c r="AS121" s="698"/>
      <c r="AT121" s="698"/>
      <c r="AU121" s="612">
        <f t="shared" si="154"/>
        <v>921985.86</v>
      </c>
      <c r="AV121" s="611">
        <f t="shared" si="142"/>
        <v>0</v>
      </c>
      <c r="AW121" s="610">
        <v>0</v>
      </c>
      <c r="AX121" s="609">
        <f t="shared" si="143"/>
        <v>0</v>
      </c>
      <c r="AY121" s="608">
        <f t="shared" si="155"/>
        <v>8.2993497577761244E-5</v>
      </c>
      <c r="AZ121" s="606">
        <f>+((113000/6))*12/1000</f>
        <v>226</v>
      </c>
      <c r="BA121" s="608">
        <f t="shared" si="156"/>
        <v>6.1877971414893419E-6</v>
      </c>
      <c r="BB121" s="560">
        <f t="shared" si="157"/>
        <v>5174</v>
      </c>
      <c r="BC121" s="607">
        <f>+BB121/AZ121</f>
        <v>22.893805309734514</v>
      </c>
      <c r="BD121" s="606">
        <v>28.25</v>
      </c>
      <c r="BE121" s="605">
        <f t="shared" si="158"/>
        <v>6.5067283984814427E-7</v>
      </c>
      <c r="BF121" s="560">
        <f t="shared" si="159"/>
        <v>197.75</v>
      </c>
      <c r="BG121" s="604">
        <f>+BF121/BD121</f>
        <v>7</v>
      </c>
      <c r="BH121" s="555"/>
    </row>
    <row r="122" spans="1:60" ht="15.75" customHeight="1" x14ac:dyDescent="0.3">
      <c r="A122" s="559" t="s">
        <v>186</v>
      </c>
      <c r="B122" s="1967" t="s">
        <v>187</v>
      </c>
      <c r="C122" s="1968"/>
      <c r="D122" s="20">
        <f t="shared" si="148"/>
        <v>10175985.859999999</v>
      </c>
      <c r="E122" s="620">
        <f t="shared" si="149"/>
        <v>10175985.859999999</v>
      </c>
      <c r="F122" s="558">
        <f>16170000/1000</f>
        <v>16170</v>
      </c>
      <c r="G122" s="20">
        <f>SUM(H122:W122)</f>
        <v>4650985.8599999994</v>
      </c>
      <c r="H122" s="375">
        <v>100000</v>
      </c>
      <c r="I122" s="375">
        <v>200000</v>
      </c>
      <c r="J122" s="375">
        <v>500000</v>
      </c>
      <c r="K122" s="375"/>
      <c r="L122" s="341"/>
      <c r="M122" s="1">
        <v>1664000</v>
      </c>
      <c r="N122" s="375"/>
      <c r="O122" s="375">
        <v>100000</v>
      </c>
      <c r="P122" s="341">
        <v>200000</v>
      </c>
      <c r="Q122" s="375">
        <v>200000</v>
      </c>
      <c r="R122" s="1">
        <v>50000</v>
      </c>
      <c r="S122" s="1">
        <v>116985.86</v>
      </c>
      <c r="T122" s="1">
        <v>300000</v>
      </c>
      <c r="U122" s="1">
        <v>520000</v>
      </c>
      <c r="V122" s="1">
        <v>600000</v>
      </c>
      <c r="W122" s="1">
        <v>100000</v>
      </c>
      <c r="X122" s="617">
        <f>+'[3]Egresos -2015 '!$Z$122</f>
        <v>11600</v>
      </c>
      <c r="Y122" s="8">
        <f t="shared" si="150"/>
        <v>3100000</v>
      </c>
      <c r="Z122" s="8">
        <v>100000</v>
      </c>
      <c r="AA122" s="8">
        <f>700000+200000</f>
        <v>900000</v>
      </c>
      <c r="AB122" s="8">
        <v>700000</v>
      </c>
      <c r="AC122" s="8">
        <v>700000</v>
      </c>
      <c r="AD122" s="8">
        <v>700000</v>
      </c>
      <c r="AE122" s="642">
        <f>X122/$X$7*100</f>
        <v>0.22753358739796473</v>
      </c>
      <c r="AF122" s="8">
        <f>+'[2]Egresos -2015 '!$AG$122</f>
        <v>80</v>
      </c>
      <c r="AG122" s="2">
        <f t="shared" si="151"/>
        <v>400000</v>
      </c>
      <c r="AH122" s="699">
        <v>100000</v>
      </c>
      <c r="AI122" s="698"/>
      <c r="AJ122" s="1">
        <v>100000</v>
      </c>
      <c r="AK122" s="1">
        <v>200000</v>
      </c>
      <c r="AL122" s="614">
        <f>(AF122/AF7)*100</f>
        <v>5.5255661133805879E-3</v>
      </c>
      <c r="AM122" s="614">
        <v>200</v>
      </c>
      <c r="AN122" s="30">
        <f t="shared" si="152"/>
        <v>2025000</v>
      </c>
      <c r="AO122" s="1">
        <v>1200000</v>
      </c>
      <c r="AP122" s="613">
        <f t="shared" si="153"/>
        <v>825000</v>
      </c>
      <c r="AQ122" s="304">
        <v>100000</v>
      </c>
      <c r="AR122" s="1">
        <v>50000</v>
      </c>
      <c r="AS122" s="1">
        <v>500000</v>
      </c>
      <c r="AT122" s="1">
        <v>175000</v>
      </c>
      <c r="AU122" s="612">
        <f t="shared" si="154"/>
        <v>10175985.859999999</v>
      </c>
      <c r="AV122" s="611">
        <f t="shared" si="142"/>
        <v>1.7434891183119816E-5</v>
      </c>
      <c r="AW122" s="610">
        <f>+'[2]Egresos -2015 '!$AO$122</f>
        <v>2000</v>
      </c>
      <c r="AX122" s="609">
        <f t="shared" si="143"/>
        <v>3.8674254987048243E-5</v>
      </c>
      <c r="AY122" s="608">
        <f t="shared" si="155"/>
        <v>2.4851941774674063E-4</v>
      </c>
      <c r="AZ122" s="606">
        <f>+(((447148+145000)/6))*12/1000</f>
        <v>1184.296</v>
      </c>
      <c r="BA122" s="608">
        <f t="shared" si="156"/>
        <v>3.2425590280872842E-5</v>
      </c>
      <c r="BB122" s="560">
        <f t="shared" si="157"/>
        <v>14985.704</v>
      </c>
      <c r="BC122" s="607">
        <f>+BB122/AZ122</f>
        <v>12.653681174301019</v>
      </c>
      <c r="BD122" s="606">
        <v>332.5</v>
      </c>
      <c r="BE122" s="605">
        <f t="shared" si="158"/>
        <v>7.6583617433454142E-6</v>
      </c>
      <c r="BF122" s="560">
        <f t="shared" si="159"/>
        <v>851.79600000000005</v>
      </c>
      <c r="BG122" s="604">
        <f>+BF122/BD122</f>
        <v>2.5617924812030077</v>
      </c>
      <c r="BH122" s="555"/>
    </row>
    <row r="123" spans="1:60" ht="15.75" customHeight="1" x14ac:dyDescent="0.3">
      <c r="A123" s="559" t="s">
        <v>188</v>
      </c>
      <c r="B123" s="1967" t="s">
        <v>189</v>
      </c>
      <c r="C123" s="1968"/>
      <c r="D123" s="20">
        <f t="shared" si="148"/>
        <v>109291105.73</v>
      </c>
      <c r="E123" s="620">
        <f t="shared" si="149"/>
        <v>109291105.73</v>
      </c>
      <c r="F123" s="558">
        <f>98850000/1000</f>
        <v>98850</v>
      </c>
      <c r="G123" s="20">
        <f>SUM(H123:W123)</f>
        <v>104166105.73</v>
      </c>
      <c r="H123" s="375">
        <v>100000</v>
      </c>
      <c r="I123" s="375">
        <v>100000</v>
      </c>
      <c r="J123" s="375">
        <v>500000</v>
      </c>
      <c r="K123" s="375"/>
      <c r="L123" s="341"/>
      <c r="M123" s="1">
        <f>98151119.87+2500000</f>
        <v>100651119.87</v>
      </c>
      <c r="N123" s="375"/>
      <c r="O123" s="375">
        <v>100000</v>
      </c>
      <c r="P123" s="341">
        <v>250000</v>
      </c>
      <c r="Q123" s="375">
        <v>200000</v>
      </c>
      <c r="R123" s="1">
        <v>50000</v>
      </c>
      <c r="S123" s="1">
        <v>116985.86</v>
      </c>
      <c r="T123" s="1">
        <v>400000</v>
      </c>
      <c r="U123" s="1">
        <v>520000</v>
      </c>
      <c r="V123" s="1">
        <v>578000</v>
      </c>
      <c r="W123" s="1">
        <f>100000+500000</f>
        <v>600000</v>
      </c>
      <c r="X123" s="617">
        <f>+'[3]Egresos -2015 '!$Z$123</f>
        <v>45883</v>
      </c>
      <c r="Y123" s="8">
        <f t="shared" si="150"/>
        <v>2300000</v>
      </c>
      <c r="Z123" s="8">
        <v>100000</v>
      </c>
      <c r="AA123" s="8">
        <f>500000+200000</f>
        <v>700000</v>
      </c>
      <c r="AB123" s="8">
        <v>500000</v>
      </c>
      <c r="AC123" s="8">
        <v>500000</v>
      </c>
      <c r="AD123" s="8">
        <v>500000</v>
      </c>
      <c r="AE123" s="642">
        <f>X123/$X$7*100</f>
        <v>0.89999341298110469</v>
      </c>
      <c r="AF123" s="8">
        <f>+'[2]Egresos -2015 '!$AG$123</f>
        <v>80</v>
      </c>
      <c r="AG123" s="2">
        <f t="shared" si="151"/>
        <v>1300000</v>
      </c>
      <c r="AH123" s="699">
        <v>100000</v>
      </c>
      <c r="AI123" s="698">
        <v>500000</v>
      </c>
      <c r="AJ123" s="1">
        <v>200000</v>
      </c>
      <c r="AK123" s="1">
        <v>500000</v>
      </c>
      <c r="AL123" s="614"/>
      <c r="AM123" s="614">
        <v>500</v>
      </c>
      <c r="AN123" s="30">
        <f t="shared" si="152"/>
        <v>1525000</v>
      </c>
      <c r="AO123" s="1">
        <v>700000</v>
      </c>
      <c r="AP123" s="613">
        <f t="shared" si="153"/>
        <v>825000</v>
      </c>
      <c r="AQ123" s="304">
        <v>100000</v>
      </c>
      <c r="AR123" s="1">
        <v>50000</v>
      </c>
      <c r="AS123" s="1">
        <v>500000</v>
      </c>
      <c r="AT123" s="1">
        <v>175000</v>
      </c>
      <c r="AU123" s="612">
        <f t="shared" si="154"/>
        <v>109291105.73</v>
      </c>
      <c r="AV123" s="611">
        <f t="shared" si="142"/>
        <v>4.3587227957799543E-5</v>
      </c>
      <c r="AW123" s="610">
        <f>+'[2]Egresos -2015 '!$AO$123</f>
        <v>620</v>
      </c>
      <c r="AX123" s="609">
        <f t="shared" si="143"/>
        <v>1.1989019045984956E-5</v>
      </c>
      <c r="AY123" s="608">
        <f t="shared" si="155"/>
        <v>1.5192420806595739E-3</v>
      </c>
      <c r="AZ123" s="606">
        <f>+(((45196188.57+20791969.43)/6))*12/1000</f>
        <v>131976.31599999999</v>
      </c>
      <c r="BA123" s="608">
        <f t="shared" si="156"/>
        <v>3.613463145526965E-3</v>
      </c>
      <c r="BB123" s="560">
        <f t="shared" si="157"/>
        <v>-33126.315999999992</v>
      </c>
      <c r="BC123" s="607">
        <f>+BB123/AZ123</f>
        <v>-0.25100197523319256</v>
      </c>
      <c r="BD123" s="606">
        <v>48489.37</v>
      </c>
      <c r="BE123" s="605">
        <f t="shared" si="158"/>
        <v>1.1168395072689351E-3</v>
      </c>
      <c r="BF123" s="560">
        <f t="shared" si="159"/>
        <v>83486.945999999996</v>
      </c>
      <c r="BG123" s="604">
        <f>+BF123/BD123</f>
        <v>1.7217576965838077</v>
      </c>
      <c r="BH123" s="555"/>
    </row>
    <row r="124" spans="1:60" ht="15.75" customHeight="1" x14ac:dyDescent="0.3">
      <c r="A124" s="559" t="s">
        <v>190</v>
      </c>
      <c r="B124" s="1967" t="s">
        <v>191</v>
      </c>
      <c r="C124" s="1968"/>
      <c r="D124" s="20">
        <f t="shared" si="148"/>
        <v>2596535.8600000003</v>
      </c>
      <c r="E124" s="620">
        <f t="shared" si="149"/>
        <v>2596535.8600000003</v>
      </c>
      <c r="F124" s="558">
        <f>10450000/1000</f>
        <v>10450</v>
      </c>
      <c r="G124" s="20">
        <f>SUM(H124:W124)</f>
        <v>1852785.86</v>
      </c>
      <c r="H124" s="375"/>
      <c r="I124" s="375"/>
      <c r="J124" s="375">
        <v>500000</v>
      </c>
      <c r="K124" s="375"/>
      <c r="L124" s="341"/>
      <c r="M124" s="1">
        <v>540800</v>
      </c>
      <c r="N124" s="375"/>
      <c r="O124" s="375"/>
      <c r="P124" s="341"/>
      <c r="Q124" s="375"/>
      <c r="R124" s="1">
        <v>25000</v>
      </c>
      <c r="S124" s="1">
        <v>116985.86</v>
      </c>
      <c r="T124" s="1"/>
      <c r="U124" s="1">
        <v>520000</v>
      </c>
      <c r="V124" s="1">
        <v>50000</v>
      </c>
      <c r="W124" s="1">
        <v>100000</v>
      </c>
      <c r="X124" s="617">
        <f>+'[3]Egresos -2015 '!$Z$124</f>
        <v>8952.9699999999993</v>
      </c>
      <c r="Y124" s="8">
        <f t="shared" si="150"/>
        <v>100000</v>
      </c>
      <c r="Z124" s="8">
        <v>100000</v>
      </c>
      <c r="AA124" s="8">
        <v>0</v>
      </c>
      <c r="AB124" s="8">
        <v>0</v>
      </c>
      <c r="AC124" s="8">
        <v>0</v>
      </c>
      <c r="AD124" s="8">
        <v>0</v>
      </c>
      <c r="AE124" s="642">
        <f>X124/$X$7*100</f>
        <v>0.17561218810054793</v>
      </c>
      <c r="AF124" s="8">
        <v>0</v>
      </c>
      <c r="AG124" s="2">
        <f t="shared" si="151"/>
        <v>400000</v>
      </c>
      <c r="AH124" s="325">
        <v>100000</v>
      </c>
      <c r="AI124" s="17">
        <v>75000</v>
      </c>
      <c r="AJ124" s="17">
        <v>125000</v>
      </c>
      <c r="AK124" s="17">
        <v>100000</v>
      </c>
      <c r="AL124" s="614">
        <f>(AF124/AF7)*100</f>
        <v>0</v>
      </c>
      <c r="AM124" s="614">
        <v>500</v>
      </c>
      <c r="AN124" s="30">
        <f t="shared" si="152"/>
        <v>243750</v>
      </c>
      <c r="AO124" s="17">
        <v>120000</v>
      </c>
      <c r="AP124" s="613">
        <f t="shared" si="153"/>
        <v>123750</v>
      </c>
      <c r="AQ124" s="325">
        <v>15000</v>
      </c>
      <c r="AR124" s="17">
        <v>7500</v>
      </c>
      <c r="AS124" s="17">
        <v>75000</v>
      </c>
      <c r="AT124" s="17">
        <v>26250</v>
      </c>
      <c r="AU124" s="612">
        <f t="shared" si="154"/>
        <v>2596535.8600000003</v>
      </c>
      <c r="AV124" s="611">
        <f t="shared" si="142"/>
        <v>4.3587227957799543E-5</v>
      </c>
      <c r="AW124" s="610">
        <v>0</v>
      </c>
      <c r="AX124" s="609">
        <f t="shared" si="143"/>
        <v>0</v>
      </c>
      <c r="AY124" s="608">
        <f t="shared" si="155"/>
        <v>1.6060778697918611E-4</v>
      </c>
      <c r="AZ124" s="606">
        <f>+((240232/6))*12/1000</f>
        <v>480.464</v>
      </c>
      <c r="BA124" s="608">
        <f t="shared" si="156"/>
        <v>1.3154928167205908E-5</v>
      </c>
      <c r="BB124" s="560">
        <f t="shared" si="157"/>
        <v>9969.5360000000001</v>
      </c>
      <c r="BC124" s="607">
        <f>+BB124/AZ124</f>
        <v>20.749808518432182</v>
      </c>
      <c r="BD124" s="606">
        <v>1308.01</v>
      </c>
      <c r="BE124" s="605">
        <f t="shared" si="158"/>
        <v>3.0126958628310483E-5</v>
      </c>
      <c r="BF124" s="560">
        <f t="shared" si="159"/>
        <v>-827.54600000000005</v>
      </c>
      <c r="BG124" s="604">
        <f>+BF124/BD124</f>
        <v>-0.63267559116520522</v>
      </c>
      <c r="BH124" s="555"/>
    </row>
    <row r="125" spans="1:60" ht="15.75" customHeight="1" x14ac:dyDescent="0.3">
      <c r="A125" s="686"/>
      <c r="B125" s="732"/>
      <c r="C125" s="731"/>
      <c r="D125" s="20"/>
      <c r="E125" s="620"/>
      <c r="F125" s="558"/>
      <c r="G125" s="20"/>
      <c r="H125" s="690"/>
      <c r="I125" s="690"/>
      <c r="J125" s="690"/>
      <c r="K125" s="690"/>
      <c r="L125" s="341"/>
      <c r="M125" s="1"/>
      <c r="N125" s="690"/>
      <c r="O125" s="690"/>
      <c r="P125" s="341"/>
      <c r="Q125" s="690"/>
      <c r="R125" s="1"/>
      <c r="S125" s="1"/>
      <c r="T125" s="1"/>
      <c r="U125" s="1"/>
      <c r="V125" s="1"/>
      <c r="W125" s="1"/>
      <c r="X125" s="617"/>
      <c r="Y125" s="11"/>
      <c r="Z125" s="11"/>
      <c r="AA125" s="11"/>
      <c r="AB125" s="11"/>
      <c r="AC125" s="11"/>
      <c r="AD125" s="11"/>
      <c r="AE125" s="615"/>
      <c r="AF125" s="8"/>
      <c r="AG125" s="2"/>
      <c r="AH125" s="325"/>
      <c r="AI125" s="17"/>
      <c r="AJ125" s="17"/>
      <c r="AK125" s="17"/>
      <c r="AL125" s="614"/>
      <c r="AM125" s="614"/>
      <c r="AN125" s="124"/>
      <c r="AO125" s="17"/>
      <c r="AP125" s="95"/>
      <c r="AQ125" s="325"/>
      <c r="AR125" s="17"/>
      <c r="AS125" s="17"/>
      <c r="AT125" s="17"/>
      <c r="AU125" s="568"/>
      <c r="AV125" s="611"/>
      <c r="AW125" s="610"/>
      <c r="AX125" s="609"/>
      <c r="AY125" s="608"/>
      <c r="AZ125" s="606"/>
      <c r="BA125" s="608"/>
      <c r="BB125" s="560"/>
      <c r="BC125" s="607"/>
      <c r="BD125" s="606"/>
      <c r="BE125" s="605"/>
      <c r="BF125" s="560"/>
      <c r="BG125" s="604"/>
      <c r="BH125" s="555"/>
    </row>
    <row r="126" spans="1:60" ht="15.75" customHeight="1" x14ac:dyDescent="0.3">
      <c r="A126" s="726" t="s">
        <v>192</v>
      </c>
      <c r="B126" s="1988" t="s">
        <v>193</v>
      </c>
      <c r="C126" s="1989"/>
      <c r="D126" s="234">
        <f>SUM(D127:D128)</f>
        <v>56595000</v>
      </c>
      <c r="E126" s="725">
        <f>SUM(G126+Y126+AG126+AN126)</f>
        <v>56595000</v>
      </c>
      <c r="F126" s="713">
        <f>F127+F128</f>
        <v>7430</v>
      </c>
      <c r="G126" s="234">
        <f>SUM(G127:G128)</f>
        <v>56030000</v>
      </c>
      <c r="H126" s="689"/>
      <c r="I126" s="689"/>
      <c r="J126" s="689"/>
      <c r="K126" s="689"/>
      <c r="L126" s="359"/>
      <c r="M126" s="724">
        <f>+M127+M128</f>
        <v>0</v>
      </c>
      <c r="N126" s="689"/>
      <c r="O126" s="689"/>
      <c r="P126" s="359"/>
      <c r="Q126" s="689"/>
      <c r="R126" s="724">
        <f t="shared" ref="R126:AD126" si="160">+R127+R128</f>
        <v>0</v>
      </c>
      <c r="S126" s="724">
        <f t="shared" si="160"/>
        <v>56000000</v>
      </c>
      <c r="T126" s="724">
        <f t="shared" si="160"/>
        <v>0</v>
      </c>
      <c r="U126" s="724">
        <f t="shared" si="160"/>
        <v>0</v>
      </c>
      <c r="V126" s="724">
        <f t="shared" si="160"/>
        <v>30000</v>
      </c>
      <c r="W126" s="724">
        <f t="shared" si="160"/>
        <v>0</v>
      </c>
      <c r="X126" s="723">
        <f t="shared" si="160"/>
        <v>46550</v>
      </c>
      <c r="Y126" s="724">
        <f t="shared" si="160"/>
        <v>100000</v>
      </c>
      <c r="Z126" s="724">
        <f t="shared" si="160"/>
        <v>100000</v>
      </c>
      <c r="AA126" s="724">
        <f t="shared" si="160"/>
        <v>0</v>
      </c>
      <c r="AB126" s="724">
        <f t="shared" si="160"/>
        <v>0</v>
      </c>
      <c r="AC126" s="724">
        <f t="shared" si="160"/>
        <v>0</v>
      </c>
      <c r="AD126" s="724">
        <f t="shared" si="160"/>
        <v>0</v>
      </c>
      <c r="AE126" s="722">
        <f>X126/$X$7*100</f>
        <v>0.91307659425648779</v>
      </c>
      <c r="AF126" s="721">
        <v>0</v>
      </c>
      <c r="AG126" s="361">
        <f>SUM(AG127:AG128)</f>
        <v>465000</v>
      </c>
      <c r="AH126" s="740">
        <f>SUM(AH127:AH128)</f>
        <v>65000</v>
      </c>
      <c r="AI126" s="739">
        <f>SUM(AI127:AI128)</f>
        <v>0</v>
      </c>
      <c r="AJ126" s="739">
        <f>SUM(AJ127:AJ128)</f>
        <v>0</v>
      </c>
      <c r="AK126" s="739">
        <f>SUM(AK127:AK128)</f>
        <v>400000</v>
      </c>
      <c r="AL126" s="719">
        <f>(AF126/AF7)*100</f>
        <v>0</v>
      </c>
      <c r="AM126" s="719">
        <f>+AM127+AM128</f>
        <v>500</v>
      </c>
      <c r="AN126" s="126">
        <f t="shared" ref="AN126:AU126" si="161">SUM(AN127:AN128)</f>
        <v>0</v>
      </c>
      <c r="AO126" s="736">
        <f t="shared" si="161"/>
        <v>0</v>
      </c>
      <c r="AP126" s="738">
        <f t="shared" si="161"/>
        <v>0</v>
      </c>
      <c r="AQ126" s="737">
        <f t="shared" si="161"/>
        <v>0</v>
      </c>
      <c r="AR126" s="736">
        <f t="shared" si="161"/>
        <v>0</v>
      </c>
      <c r="AS126" s="736">
        <f t="shared" si="161"/>
        <v>0</v>
      </c>
      <c r="AT126" s="736">
        <f t="shared" si="161"/>
        <v>0</v>
      </c>
      <c r="AU126" s="735">
        <f t="shared" si="161"/>
        <v>56595000</v>
      </c>
      <c r="AV126" s="654">
        <f t="shared" ref="AV126:AV133" si="162">AM126/$AM$7</f>
        <v>4.3587227957799543E-5</v>
      </c>
      <c r="AW126" s="653">
        <f t="shared" ref="AW126:AW133" si="163">AN126/1000</f>
        <v>0</v>
      </c>
      <c r="AX126" s="652">
        <f t="shared" ref="AX126:AX133" si="164">AW126/$AW$7</f>
        <v>0</v>
      </c>
      <c r="AY126" s="651">
        <f>+F126/$F$7</f>
        <v>1.1419290500051224E-4</v>
      </c>
      <c r="AZ126" s="713">
        <f>AZ127+AZ128</f>
        <v>17784.948739999996</v>
      </c>
      <c r="BA126" s="651">
        <f>+AZ126/$AZ$7</f>
        <v>4.869453759951613E-4</v>
      </c>
      <c r="BB126" s="647">
        <f>+F126-AZ126</f>
        <v>-10354.948739999996</v>
      </c>
      <c r="BC126" s="650">
        <f>+BB126/AZ126</f>
        <v>-0.58223101406588584</v>
      </c>
      <c r="BD126" s="713">
        <f>BD127+BD128</f>
        <v>18028.96</v>
      </c>
      <c r="BE126" s="648">
        <f>+BD126/$BD$7</f>
        <v>4.1525503018437519E-4</v>
      </c>
      <c r="BF126" s="647">
        <f>AZ126-BD126</f>
        <v>-244.01126000000295</v>
      </c>
      <c r="BG126" s="646">
        <f>+BF126/BD126</f>
        <v>-1.3534405756072617E-2</v>
      </c>
      <c r="BH126" s="555"/>
    </row>
    <row r="127" spans="1:60" ht="21.75" customHeight="1" x14ac:dyDescent="0.3">
      <c r="A127" s="559" t="s">
        <v>194</v>
      </c>
      <c r="B127" s="1967" t="s">
        <v>195</v>
      </c>
      <c r="C127" s="1983"/>
      <c r="D127" s="20">
        <f>+G127+Y127+AG127+AN127</f>
        <v>50000000</v>
      </c>
      <c r="E127" s="620">
        <f>SUM(G127+Y127+AG127+AN127)</f>
        <v>50000000</v>
      </c>
      <c r="F127" s="558">
        <f>0/1000</f>
        <v>0</v>
      </c>
      <c r="G127" s="20">
        <f>SUM(H127:W127)</f>
        <v>50000000</v>
      </c>
      <c r="H127" s="690"/>
      <c r="I127" s="690"/>
      <c r="J127" s="690"/>
      <c r="K127" s="690"/>
      <c r="L127" s="341"/>
      <c r="M127" s="1">
        <v>0</v>
      </c>
      <c r="N127" s="690"/>
      <c r="O127" s="690"/>
      <c r="P127" s="341"/>
      <c r="Q127" s="690"/>
      <c r="R127" s="1"/>
      <c r="S127" s="1">
        <v>50000000</v>
      </c>
      <c r="T127" s="1"/>
      <c r="U127" s="1"/>
      <c r="V127" s="1"/>
      <c r="W127" s="1"/>
      <c r="X127" s="617">
        <f>+'[3]Egresos -2015 '!$Z$127</f>
        <v>40000</v>
      </c>
      <c r="Y127" s="8">
        <f>SUM(Z127:AD127)</f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642">
        <f>X127/$X$7*100</f>
        <v>0.78459857723436111</v>
      </c>
      <c r="AF127" s="8">
        <f>Y127/1000</f>
        <v>0</v>
      </c>
      <c r="AG127" s="2">
        <f>SUM(AH127:AK127)</f>
        <v>0</v>
      </c>
      <c r="AH127" s="317">
        <v>0</v>
      </c>
      <c r="AI127" s="12">
        <v>0</v>
      </c>
      <c r="AJ127" s="733">
        <v>0</v>
      </c>
      <c r="AK127" s="733">
        <v>0</v>
      </c>
      <c r="AL127" s="614"/>
      <c r="AM127" s="614">
        <v>0</v>
      </c>
      <c r="AN127" s="30">
        <f>SUM(AO127+AP127)</f>
        <v>0</v>
      </c>
      <c r="AO127" s="733">
        <v>0</v>
      </c>
      <c r="AP127" s="613">
        <f>SUM(AQ127:AT127)</f>
        <v>0</v>
      </c>
      <c r="AQ127" s="734">
        <v>0</v>
      </c>
      <c r="AR127" s="733">
        <v>0</v>
      </c>
      <c r="AS127" s="733">
        <v>0</v>
      </c>
      <c r="AT127" s="733">
        <v>0</v>
      </c>
      <c r="AU127" s="612">
        <f>SUM(AN127+AG127+Y127+G127)</f>
        <v>50000000</v>
      </c>
      <c r="AV127" s="611">
        <f t="shared" si="162"/>
        <v>0</v>
      </c>
      <c r="AW127" s="610">
        <f t="shared" si="163"/>
        <v>0</v>
      </c>
      <c r="AX127" s="609">
        <f t="shared" si="164"/>
        <v>0</v>
      </c>
      <c r="AY127" s="608">
        <f>+F127/$F$7</f>
        <v>0</v>
      </c>
      <c r="AZ127" s="606">
        <f>+((8890157.37/6))*12/1000</f>
        <v>17780.314739999998</v>
      </c>
      <c r="BA127" s="608">
        <f>+AZ127/$AZ$7</f>
        <v>4.8681849877412744E-4</v>
      </c>
      <c r="BB127" s="560">
        <f>+F127-AZ127</f>
        <v>-17780.314739999998</v>
      </c>
      <c r="BC127" s="607">
        <f>+BB127/AZ127</f>
        <v>-1</v>
      </c>
      <c r="BD127" s="606">
        <v>15209.1</v>
      </c>
      <c r="BE127" s="605">
        <f>+BD127/$BD$7</f>
        <v>3.5030613410741277E-4</v>
      </c>
      <c r="BF127" s="560">
        <f>AZ127-BD127</f>
        <v>2571.2147399999976</v>
      </c>
      <c r="BG127" s="604">
        <f>+BF127/BD127</f>
        <v>0.1690576523265675</v>
      </c>
      <c r="BH127" s="555"/>
    </row>
    <row r="128" spans="1:60" ht="15.75" customHeight="1" x14ac:dyDescent="0.3">
      <c r="A128" s="559" t="s">
        <v>196</v>
      </c>
      <c r="B128" s="1967" t="s">
        <v>197</v>
      </c>
      <c r="C128" s="1983"/>
      <c r="D128" s="20">
        <f>+G128+Y128+AG128+AN128</f>
        <v>6595000</v>
      </c>
      <c r="E128" s="620">
        <f>SUM(G128+Y128+AG128+AN128)</f>
        <v>6595000</v>
      </c>
      <c r="F128" s="558">
        <f>7430000/1000</f>
        <v>7430</v>
      </c>
      <c r="G128" s="20">
        <f>SUM(H128:W128)</f>
        <v>6030000</v>
      </c>
      <c r="H128" s="690"/>
      <c r="I128" s="690"/>
      <c r="J128" s="690"/>
      <c r="K128" s="690"/>
      <c r="L128" s="341"/>
      <c r="M128" s="1">
        <v>0</v>
      </c>
      <c r="N128" s="690"/>
      <c r="O128" s="690"/>
      <c r="P128" s="341"/>
      <c r="Q128" s="690"/>
      <c r="R128" s="1"/>
      <c r="S128" s="1">
        <v>6000000</v>
      </c>
      <c r="T128" s="1"/>
      <c r="U128" s="1"/>
      <c r="V128" s="1">
        <v>30000</v>
      </c>
      <c r="W128" s="1"/>
      <c r="X128" s="617">
        <f>+'[3]Egresos -2015 '!$Z$128</f>
        <v>6550</v>
      </c>
      <c r="Y128" s="8">
        <f>SUM(Z128:AD128)</f>
        <v>100000</v>
      </c>
      <c r="Z128" s="1">
        <v>100000</v>
      </c>
      <c r="AA128" s="1">
        <v>0</v>
      </c>
      <c r="AB128" s="1">
        <v>0</v>
      </c>
      <c r="AC128" s="1">
        <v>0</v>
      </c>
      <c r="AD128" s="1">
        <v>0</v>
      </c>
      <c r="AE128" s="642">
        <f>X128/$X$7*100</f>
        <v>0.12847801702212663</v>
      </c>
      <c r="AF128" s="8">
        <v>0</v>
      </c>
      <c r="AG128" s="2">
        <f>SUM(AH128:AK128)</f>
        <v>465000</v>
      </c>
      <c r="AH128" s="317">
        <v>65000</v>
      </c>
      <c r="AI128" s="12"/>
      <c r="AJ128" s="733"/>
      <c r="AK128" s="733">
        <v>400000</v>
      </c>
      <c r="AL128" s="614">
        <f>(AF128/AF7)*100</f>
        <v>0</v>
      </c>
      <c r="AM128" s="614">
        <f>+'[2]Egresos -2015 '!$AM$128</f>
        <v>500</v>
      </c>
      <c r="AN128" s="30">
        <f>SUM(AO128+AP128)</f>
        <v>0</v>
      </c>
      <c r="AO128" s="733"/>
      <c r="AP128" s="613">
        <f>SUM(AQ128:AT128)</f>
        <v>0</v>
      </c>
      <c r="AQ128" s="734"/>
      <c r="AR128" s="733"/>
      <c r="AS128" s="733"/>
      <c r="AT128" s="733"/>
      <c r="AU128" s="612">
        <f>SUM(AN128+AG128+Y128+G128)</f>
        <v>6595000</v>
      </c>
      <c r="AV128" s="611">
        <f t="shared" si="162"/>
        <v>4.3587227957799543E-5</v>
      </c>
      <c r="AW128" s="610">
        <f t="shared" si="163"/>
        <v>0</v>
      </c>
      <c r="AX128" s="609">
        <f t="shared" si="164"/>
        <v>0</v>
      </c>
      <c r="AY128" s="608">
        <f>+F128/$F$7</f>
        <v>1.1419290500051224E-4</v>
      </c>
      <c r="AZ128" s="606">
        <f>+((2317/6))*12/1000</f>
        <v>4.6340000000000003</v>
      </c>
      <c r="BA128" s="608">
        <f>+AZ128/$AZ$7</f>
        <v>1.2687722103390094E-7</v>
      </c>
      <c r="BB128" s="560">
        <f>+F128-AZ128</f>
        <v>7425.366</v>
      </c>
      <c r="BC128" s="607">
        <f>+BB128/AZ128</f>
        <v>1602.3664220975397</v>
      </c>
      <c r="BD128" s="606">
        <v>2819.86</v>
      </c>
      <c r="BE128" s="605">
        <f>+BD128/$BD$7</f>
        <v>6.4948896076962416E-5</v>
      </c>
      <c r="BF128" s="560">
        <f>AZ128-BD128</f>
        <v>-2815.2260000000001</v>
      </c>
      <c r="BG128" s="604">
        <f>+BF128/BD128</f>
        <v>-0.99835665600419876</v>
      </c>
      <c r="BH128" s="555"/>
    </row>
    <row r="129" spans="1:60" ht="15.75" customHeight="1" x14ac:dyDescent="0.3">
      <c r="A129" s="559"/>
      <c r="B129" s="634"/>
      <c r="C129" s="693"/>
      <c r="D129" s="20"/>
      <c r="E129" s="620"/>
      <c r="F129" s="558"/>
      <c r="G129" s="20">
        <f>SUM(H129:W129)</f>
        <v>0</v>
      </c>
      <c r="H129" s="690"/>
      <c r="I129" s="690"/>
      <c r="J129" s="690"/>
      <c r="K129" s="690"/>
      <c r="L129" s="341"/>
      <c r="M129" s="1"/>
      <c r="N129" s="690"/>
      <c r="O129" s="690"/>
      <c r="P129" s="341"/>
      <c r="Q129" s="690"/>
      <c r="R129" s="1"/>
      <c r="S129" s="1"/>
      <c r="T129" s="1"/>
      <c r="U129" s="1"/>
      <c r="V129" s="1"/>
      <c r="W129" s="1"/>
      <c r="X129" s="617"/>
      <c r="Y129" s="1"/>
      <c r="Z129" s="1"/>
      <c r="AA129" s="1"/>
      <c r="AB129" s="1"/>
      <c r="AC129" s="1"/>
      <c r="AD129" s="1"/>
      <c r="AE129" s="615"/>
      <c r="AF129" s="8">
        <f>Y129/1000</f>
        <v>0</v>
      </c>
      <c r="AG129" s="2" t="s">
        <v>0</v>
      </c>
      <c r="AH129" s="636" t="s">
        <v>0</v>
      </c>
      <c r="AI129" s="9" t="s">
        <v>0</v>
      </c>
      <c r="AJ129" s="9" t="s">
        <v>0</v>
      </c>
      <c r="AK129" s="9" t="s">
        <v>0</v>
      </c>
      <c r="AL129" s="614"/>
      <c r="AM129" s="614"/>
      <c r="AN129" s="34"/>
      <c r="AO129" s="12" t="s">
        <v>0</v>
      </c>
      <c r="AP129" s="118" t="s">
        <v>0</v>
      </c>
      <c r="AQ129" s="317" t="s">
        <v>0</v>
      </c>
      <c r="AR129" s="12" t="s">
        <v>0</v>
      </c>
      <c r="AS129" s="12" t="s">
        <v>0</v>
      </c>
      <c r="AT129" s="12" t="s">
        <v>0</v>
      </c>
      <c r="AU129" s="612"/>
      <c r="AV129" s="611">
        <f t="shared" si="162"/>
        <v>0</v>
      </c>
      <c r="AW129" s="610">
        <f t="shared" si="163"/>
        <v>0</v>
      </c>
      <c r="AX129" s="609">
        <f t="shared" si="164"/>
        <v>0</v>
      </c>
      <c r="AY129" s="608"/>
      <c r="AZ129" s="606"/>
      <c r="BA129" s="608"/>
      <c r="BB129" s="560"/>
      <c r="BC129" s="607"/>
      <c r="BD129" s="606"/>
      <c r="BE129" s="605"/>
      <c r="BF129" s="560"/>
      <c r="BG129" s="604"/>
      <c r="BH129" s="555"/>
    </row>
    <row r="130" spans="1:60" ht="15.75" customHeight="1" x14ac:dyDescent="0.3">
      <c r="A130" s="562" t="s">
        <v>372</v>
      </c>
      <c r="B130" s="1973" t="s">
        <v>373</v>
      </c>
      <c r="C130" s="1979"/>
      <c r="D130" s="21">
        <f>SUM(D131:D133)</f>
        <v>9779434.2400000002</v>
      </c>
      <c r="E130" s="628">
        <f>SUM(E131:E133)</f>
        <v>9779434.2400000002</v>
      </c>
      <c r="F130" s="561">
        <f>F131+F132+F133</f>
        <v>1850</v>
      </c>
      <c r="G130" s="21">
        <f>SUM(G131:G133)</f>
        <v>4779434.24</v>
      </c>
      <c r="H130" s="690"/>
      <c r="I130" s="690"/>
      <c r="J130" s="690"/>
      <c r="K130" s="690"/>
      <c r="L130" s="341"/>
      <c r="M130" s="625">
        <f>+M131+M132+M133</f>
        <v>0</v>
      </c>
      <c r="N130" s="690"/>
      <c r="O130" s="690"/>
      <c r="P130" s="341"/>
      <c r="Q130" s="690"/>
      <c r="R130" s="625">
        <f t="shared" ref="R130:AD130" si="165">+R131+R132+R133</f>
        <v>0</v>
      </c>
      <c r="S130" s="625">
        <f t="shared" si="165"/>
        <v>4679434.2400000002</v>
      </c>
      <c r="T130" s="625">
        <f t="shared" si="165"/>
        <v>0</v>
      </c>
      <c r="U130" s="625">
        <f t="shared" si="165"/>
        <v>0</v>
      </c>
      <c r="V130" s="625">
        <f t="shared" si="165"/>
        <v>0</v>
      </c>
      <c r="W130" s="625">
        <f t="shared" si="165"/>
        <v>100000</v>
      </c>
      <c r="X130" s="350">
        <f t="shared" si="165"/>
        <v>2180</v>
      </c>
      <c r="Y130" s="625">
        <f t="shared" si="165"/>
        <v>0</v>
      </c>
      <c r="Z130" s="625">
        <f t="shared" si="165"/>
        <v>0</v>
      </c>
      <c r="AA130" s="625">
        <f t="shared" si="165"/>
        <v>0</v>
      </c>
      <c r="AB130" s="625">
        <f t="shared" si="165"/>
        <v>0</v>
      </c>
      <c r="AC130" s="625">
        <f t="shared" si="165"/>
        <v>0</v>
      </c>
      <c r="AD130" s="625">
        <f t="shared" si="165"/>
        <v>0</v>
      </c>
      <c r="AE130" s="615">
        <f>X130/$X$7*100</f>
        <v>4.2760622459272681E-2</v>
      </c>
      <c r="AF130" s="10">
        <f>Y130/1000</f>
        <v>0</v>
      </c>
      <c r="AG130" s="2">
        <f>SUM(AG131:AG133)</f>
        <v>5000000</v>
      </c>
      <c r="AH130" s="321">
        <f>SUM(AH131:AH133)</f>
        <v>0</v>
      </c>
      <c r="AI130" s="14">
        <f>SUM(AI131:AI133)</f>
        <v>5000000</v>
      </c>
      <c r="AJ130" s="14">
        <f>SUM(AJ131:AJ133)</f>
        <v>0</v>
      </c>
      <c r="AK130" s="14">
        <f>SUM(AK131:AK133)</f>
        <v>0</v>
      </c>
      <c r="AL130" s="614"/>
      <c r="AM130" s="623">
        <f>+AM131+AM132+AM133</f>
        <v>3200</v>
      </c>
      <c r="AN130" s="34">
        <f t="shared" ref="AN130:AU130" si="166">SUM(AN131:AN133)</f>
        <v>0</v>
      </c>
      <c r="AO130" s="13">
        <f t="shared" si="166"/>
        <v>0</v>
      </c>
      <c r="AP130" s="115">
        <f t="shared" si="166"/>
        <v>0</v>
      </c>
      <c r="AQ130" s="309">
        <f t="shared" si="166"/>
        <v>0</v>
      </c>
      <c r="AR130" s="13">
        <f t="shared" si="166"/>
        <v>0</v>
      </c>
      <c r="AS130" s="13">
        <f t="shared" si="166"/>
        <v>0</v>
      </c>
      <c r="AT130" s="13">
        <f t="shared" si="166"/>
        <v>0</v>
      </c>
      <c r="AU130" s="622">
        <f t="shared" si="166"/>
        <v>9779434.2400000002</v>
      </c>
      <c r="AV130" s="611">
        <f t="shared" si="162"/>
        <v>2.7895825892991705E-4</v>
      </c>
      <c r="AW130" s="610">
        <f t="shared" si="163"/>
        <v>0</v>
      </c>
      <c r="AX130" s="609">
        <f t="shared" si="164"/>
        <v>0</v>
      </c>
      <c r="AY130" s="608">
        <f>+F130/$F$7</f>
        <v>2.843295750349228E-5</v>
      </c>
      <c r="AZ130" s="561">
        <f>AZ131+AZ132+AZ133</f>
        <v>0</v>
      </c>
      <c r="BA130" s="608">
        <f>+AZ130/$AZ$7</f>
        <v>0</v>
      </c>
      <c r="BB130" s="560">
        <f>+F130-AZ130</f>
        <v>1850</v>
      </c>
      <c r="BC130" s="607">
        <v>0</v>
      </c>
      <c r="BD130" s="561">
        <f>BD131+BD132+BD133</f>
        <v>0</v>
      </c>
      <c r="BE130" s="605">
        <f t="shared" ref="BE130:BE136" si="167">+BD130/$BD$7</f>
        <v>0</v>
      </c>
      <c r="BF130" s="560">
        <f>AZ130-BD130</f>
        <v>0</v>
      </c>
      <c r="BG130" s="604">
        <v>0</v>
      </c>
      <c r="BH130" s="555"/>
    </row>
    <row r="131" spans="1:60" ht="15.75" customHeight="1" x14ac:dyDescent="0.3">
      <c r="A131" s="559" t="s">
        <v>198</v>
      </c>
      <c r="B131" s="1967" t="s">
        <v>199</v>
      </c>
      <c r="C131" s="1983"/>
      <c r="D131" s="20">
        <f>+G131+Y131+AG131+AN131</f>
        <v>0</v>
      </c>
      <c r="E131" s="620">
        <f>SUM(G131+Y131+AG131+AN131)</f>
        <v>0</v>
      </c>
      <c r="F131" s="558">
        <f>200000/1000</f>
        <v>200</v>
      </c>
      <c r="G131" s="20">
        <f>SUM(H131:W131)</f>
        <v>0</v>
      </c>
      <c r="H131" s="690"/>
      <c r="I131" s="690"/>
      <c r="J131" s="690"/>
      <c r="K131" s="690"/>
      <c r="L131" s="341"/>
      <c r="M131" s="1">
        <v>0</v>
      </c>
      <c r="N131" s="690"/>
      <c r="O131" s="690"/>
      <c r="P131" s="341"/>
      <c r="Q131" s="690"/>
      <c r="R131" s="1"/>
      <c r="S131" s="1"/>
      <c r="T131" s="1"/>
      <c r="U131" s="1"/>
      <c r="V131" s="1"/>
      <c r="W131" s="1"/>
      <c r="X131" s="617">
        <f>+'[3]Egresos -2015 '!$Z$131</f>
        <v>430</v>
      </c>
      <c r="Y131" s="8">
        <f>SUM(Z131:AD131)</f>
        <v>0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615"/>
      <c r="AF131" s="8">
        <f>Y131/1000</f>
        <v>0</v>
      </c>
      <c r="AG131" s="2">
        <f>SUM(AH131:AK131)</f>
        <v>0</v>
      </c>
      <c r="AH131" s="699">
        <v>0</v>
      </c>
      <c r="AI131" s="698">
        <v>0</v>
      </c>
      <c r="AJ131" s="698">
        <v>0</v>
      </c>
      <c r="AK131" s="698">
        <v>0</v>
      </c>
      <c r="AL131" s="614"/>
      <c r="AM131" s="614">
        <v>0</v>
      </c>
      <c r="AN131" s="30">
        <f>SUM(AO131+AP131)</f>
        <v>0</v>
      </c>
      <c r="AO131" s="698">
        <v>0</v>
      </c>
      <c r="AP131" s="613">
        <f>SUM(AQ131:AT131)</f>
        <v>0</v>
      </c>
      <c r="AQ131" s="699">
        <v>0</v>
      </c>
      <c r="AR131" s="698">
        <v>0</v>
      </c>
      <c r="AS131" s="698">
        <v>0</v>
      </c>
      <c r="AT131" s="698">
        <v>0</v>
      </c>
      <c r="AU131" s="612">
        <f>SUM(AN131+AG131+Y131+G131)</f>
        <v>0</v>
      </c>
      <c r="AV131" s="611">
        <f t="shared" si="162"/>
        <v>0</v>
      </c>
      <c r="AW131" s="610">
        <f t="shared" si="163"/>
        <v>0</v>
      </c>
      <c r="AX131" s="609">
        <f t="shared" si="164"/>
        <v>0</v>
      </c>
      <c r="AY131" s="608">
        <f>+F131/$F$7</f>
        <v>3.0738332436207867E-6</v>
      </c>
      <c r="AZ131" s="606">
        <f>+((0/7))*12/1000</f>
        <v>0</v>
      </c>
      <c r="BA131" s="608">
        <f>+AZ131/$AZ$7</f>
        <v>0</v>
      </c>
      <c r="BB131" s="560">
        <f>+F131-AZ131</f>
        <v>200</v>
      </c>
      <c r="BC131" s="607">
        <v>0</v>
      </c>
      <c r="BD131" s="606">
        <v>0</v>
      </c>
      <c r="BE131" s="605">
        <f t="shared" si="167"/>
        <v>0</v>
      </c>
      <c r="BF131" s="560">
        <f>AZ131-BD131</f>
        <v>0</v>
      </c>
      <c r="BG131" s="604">
        <v>0</v>
      </c>
      <c r="BH131" s="555"/>
    </row>
    <row r="132" spans="1:60" ht="15.75" customHeight="1" x14ac:dyDescent="0.3">
      <c r="A132" s="559" t="s">
        <v>200</v>
      </c>
      <c r="B132" s="1967" t="s">
        <v>201</v>
      </c>
      <c r="C132" s="1983"/>
      <c r="D132" s="20">
        <f>+G132+Y132+AG132+AN132</f>
        <v>3509575.6800000002</v>
      </c>
      <c r="E132" s="620">
        <f>SUM(G132+Y132+AG132+AN132)</f>
        <v>3509575.6800000002</v>
      </c>
      <c r="F132" s="558">
        <f>1400000/1000</f>
        <v>1400</v>
      </c>
      <c r="G132" s="20">
        <f>SUM(H132:W132)</f>
        <v>3509575.6800000002</v>
      </c>
      <c r="H132" s="690"/>
      <c r="I132" s="690"/>
      <c r="J132" s="690"/>
      <c r="K132" s="690"/>
      <c r="L132" s="341"/>
      <c r="M132" s="1">
        <v>0</v>
      </c>
      <c r="N132" s="690"/>
      <c r="O132" s="690"/>
      <c r="P132" s="341"/>
      <c r="Q132" s="690"/>
      <c r="R132" s="1"/>
      <c r="S132" s="1">
        <v>3509575.6800000002</v>
      </c>
      <c r="T132" s="1"/>
      <c r="U132" s="1"/>
      <c r="V132" s="1"/>
      <c r="W132" s="1"/>
      <c r="X132" s="617">
        <f>+'[3]Egresos -2015 '!$Z$132</f>
        <v>1400</v>
      </c>
      <c r="Y132" s="8">
        <f>SUM(Z132:AD132)</f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615">
        <f>X132/$X$7*100</f>
        <v>2.746095020320264E-2</v>
      </c>
      <c r="AF132" s="8">
        <f>Y132/1000</f>
        <v>0</v>
      </c>
      <c r="AG132" s="2">
        <f>SUM(AH132:AK132)</f>
        <v>0</v>
      </c>
      <c r="AH132" s="699">
        <v>0</v>
      </c>
      <c r="AI132" s="698">
        <v>0</v>
      </c>
      <c r="AJ132" s="698">
        <v>0</v>
      </c>
      <c r="AK132" s="698">
        <v>0</v>
      </c>
      <c r="AL132" s="614"/>
      <c r="AM132" s="614">
        <v>0</v>
      </c>
      <c r="AN132" s="30">
        <f>SUM(AO132+AP132)</f>
        <v>0</v>
      </c>
      <c r="AO132" s="698">
        <v>0</v>
      </c>
      <c r="AP132" s="613">
        <f>SUM(AQ132:AT132)</f>
        <v>0</v>
      </c>
      <c r="AQ132" s="699">
        <v>0</v>
      </c>
      <c r="AR132" s="698">
        <v>0</v>
      </c>
      <c r="AS132" s="698">
        <v>0</v>
      </c>
      <c r="AT132" s="698">
        <v>0</v>
      </c>
      <c r="AU132" s="612">
        <f>SUM(AN132+AG132+Y132+G132)</f>
        <v>3509575.6800000002</v>
      </c>
      <c r="AV132" s="611">
        <f t="shared" si="162"/>
        <v>0</v>
      </c>
      <c r="AW132" s="610">
        <f t="shared" si="163"/>
        <v>0</v>
      </c>
      <c r="AX132" s="609">
        <f t="shared" si="164"/>
        <v>0</v>
      </c>
      <c r="AY132" s="608">
        <f>+F132/$F$7</f>
        <v>2.1516832705345509E-5</v>
      </c>
      <c r="AZ132" s="606">
        <f>+((0/7))*12/1000</f>
        <v>0</v>
      </c>
      <c r="BA132" s="608">
        <f>+AZ132/$AZ$7</f>
        <v>0</v>
      </c>
      <c r="BB132" s="560">
        <f>+F132-AZ132</f>
        <v>1400</v>
      </c>
      <c r="BC132" s="607">
        <v>0</v>
      </c>
      <c r="BD132" s="606">
        <v>0</v>
      </c>
      <c r="BE132" s="605">
        <f t="shared" si="167"/>
        <v>0</v>
      </c>
      <c r="BF132" s="560">
        <f>AZ132-BD132</f>
        <v>0</v>
      </c>
      <c r="BG132" s="604">
        <v>0</v>
      </c>
      <c r="BH132" s="555"/>
    </row>
    <row r="133" spans="1:60" ht="15.75" customHeight="1" x14ac:dyDescent="0.3">
      <c r="A133" s="559" t="s">
        <v>202</v>
      </c>
      <c r="B133" s="1967" t="s">
        <v>203</v>
      </c>
      <c r="C133" s="1983"/>
      <c r="D133" s="20">
        <f>+G133+Y133+AG133+AN133</f>
        <v>6269858.5600000005</v>
      </c>
      <c r="E133" s="620">
        <f>SUM(G133+Y133+AG133+AN133)</f>
        <v>6269858.5600000005</v>
      </c>
      <c r="F133" s="558">
        <f>250000/1000</f>
        <v>250</v>
      </c>
      <c r="G133" s="20">
        <f>SUM(H133:W133)</f>
        <v>1269858.56</v>
      </c>
      <c r="H133" s="690"/>
      <c r="I133" s="690"/>
      <c r="J133" s="690"/>
      <c r="K133" s="690"/>
      <c r="L133" s="341"/>
      <c r="M133" s="1">
        <v>0</v>
      </c>
      <c r="N133" s="690"/>
      <c r="O133" s="690"/>
      <c r="P133" s="341"/>
      <c r="Q133" s="690"/>
      <c r="R133" s="1"/>
      <c r="S133" s="1">
        <v>1169858.5600000001</v>
      </c>
      <c r="T133" s="1"/>
      <c r="U133" s="1"/>
      <c r="V133" s="1"/>
      <c r="W133" s="1">
        <v>100000</v>
      </c>
      <c r="X133" s="617">
        <f>+'[3]Egresos -2015 '!$Z$133</f>
        <v>350</v>
      </c>
      <c r="Y133" s="8">
        <f>SUM(Z133:AD133)</f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642">
        <f>X133/$X$7*100</f>
        <v>6.86523755080066E-3</v>
      </c>
      <c r="AF133" s="8">
        <f>Y133/1000</f>
        <v>0</v>
      </c>
      <c r="AG133" s="2">
        <f>SUM(AH133:AK133)</f>
        <v>5000000</v>
      </c>
      <c r="AH133" s="699"/>
      <c r="AI133" s="698">
        <v>5000000</v>
      </c>
      <c r="AJ133" s="698">
        <v>0</v>
      </c>
      <c r="AK133" s="698">
        <v>0</v>
      </c>
      <c r="AL133" s="614"/>
      <c r="AM133" s="614">
        <v>3200</v>
      </c>
      <c r="AN133" s="30">
        <f>SUM(AO133+AP133)</f>
        <v>0</v>
      </c>
      <c r="AO133" s="698">
        <v>0</v>
      </c>
      <c r="AP133" s="613">
        <f>SUM(AQ133:AT133)</f>
        <v>0</v>
      </c>
      <c r="AQ133" s="699">
        <v>0</v>
      </c>
      <c r="AR133" s="698">
        <v>0</v>
      </c>
      <c r="AS133" s="698">
        <v>0</v>
      </c>
      <c r="AT133" s="698"/>
      <c r="AU133" s="612">
        <f>SUM(AN133+AG133+Y133+G133)</f>
        <v>6269858.5600000005</v>
      </c>
      <c r="AV133" s="611">
        <f t="shared" si="162"/>
        <v>2.7895825892991705E-4</v>
      </c>
      <c r="AW133" s="610">
        <f t="shared" si="163"/>
        <v>0</v>
      </c>
      <c r="AX133" s="609">
        <f t="shared" si="164"/>
        <v>0</v>
      </c>
      <c r="AY133" s="608">
        <f>+F133/$F$7</f>
        <v>3.8422915545259839E-6</v>
      </c>
      <c r="AZ133" s="606">
        <f>+((0/7))*12/1000</f>
        <v>0</v>
      </c>
      <c r="BA133" s="608">
        <f>+AZ133/$AZ$7</f>
        <v>0</v>
      </c>
      <c r="BB133" s="560">
        <f>+F133-AZ133</f>
        <v>250</v>
      </c>
      <c r="BC133" s="607">
        <v>0</v>
      </c>
      <c r="BD133" s="606">
        <v>0</v>
      </c>
      <c r="BE133" s="605">
        <f t="shared" si="167"/>
        <v>0</v>
      </c>
      <c r="BF133" s="560">
        <f>AZ133-BD133</f>
        <v>0</v>
      </c>
      <c r="BG133" s="604">
        <v>0</v>
      </c>
      <c r="BH133" s="555"/>
    </row>
    <row r="134" spans="1:60" ht="15.75" customHeight="1" x14ac:dyDescent="0.3">
      <c r="A134" s="559"/>
      <c r="B134" s="634"/>
      <c r="C134" s="693"/>
      <c r="D134" s="20"/>
      <c r="E134" s="620"/>
      <c r="F134" s="558"/>
      <c r="G134" s="20"/>
      <c r="H134" s="690"/>
      <c r="I134" s="690"/>
      <c r="J134" s="690"/>
      <c r="K134" s="690"/>
      <c r="L134" s="341"/>
      <c r="M134" s="1"/>
      <c r="N134" s="690"/>
      <c r="O134" s="690"/>
      <c r="P134" s="341"/>
      <c r="Q134" s="690"/>
      <c r="R134" s="1"/>
      <c r="S134" s="1"/>
      <c r="T134" s="1"/>
      <c r="U134" s="1"/>
      <c r="V134" s="1"/>
      <c r="W134" s="1"/>
      <c r="X134" s="617"/>
      <c r="Y134" s="8"/>
      <c r="Z134" s="8"/>
      <c r="AA134" s="8"/>
      <c r="AB134" s="8"/>
      <c r="AC134" s="8"/>
      <c r="AD134" s="8"/>
      <c r="AE134" s="615"/>
      <c r="AF134" s="8"/>
      <c r="AG134" s="2"/>
      <c r="AH134" s="326"/>
      <c r="AI134" s="10"/>
      <c r="AJ134" s="10"/>
      <c r="AK134" s="10"/>
      <c r="AL134" s="614"/>
      <c r="AM134" s="614"/>
      <c r="AN134" s="34"/>
      <c r="AO134" s="8"/>
      <c r="AP134" s="117"/>
      <c r="AQ134" s="316"/>
      <c r="AR134" s="8"/>
      <c r="AS134" s="8"/>
      <c r="AT134" s="8"/>
      <c r="AU134" s="612"/>
      <c r="AV134" s="611"/>
      <c r="AW134" s="610"/>
      <c r="AX134" s="609"/>
      <c r="AY134" s="608"/>
      <c r="AZ134" s="606"/>
      <c r="BA134" s="608"/>
      <c r="BB134" s="560"/>
      <c r="BC134" s="607"/>
      <c r="BD134" s="606"/>
      <c r="BE134" s="605">
        <f t="shared" si="167"/>
        <v>0</v>
      </c>
      <c r="BF134" s="560"/>
      <c r="BG134" s="604"/>
      <c r="BH134" s="555"/>
    </row>
    <row r="135" spans="1:60" ht="15.75" hidden="1" customHeight="1" x14ac:dyDescent="0.3">
      <c r="A135" s="559"/>
      <c r="B135" s="634"/>
      <c r="C135" s="693"/>
      <c r="D135" s="20"/>
      <c r="E135" s="620"/>
      <c r="F135" s="558"/>
      <c r="G135" s="20"/>
      <c r="H135" s="690"/>
      <c r="I135" s="690"/>
      <c r="J135" s="690"/>
      <c r="K135" s="690"/>
      <c r="L135" s="341"/>
      <c r="M135" s="1"/>
      <c r="N135" s="690"/>
      <c r="O135" s="690"/>
      <c r="P135" s="341"/>
      <c r="Q135" s="690"/>
      <c r="R135" s="1"/>
      <c r="S135" s="1"/>
      <c r="T135" s="1"/>
      <c r="U135" s="1"/>
      <c r="V135" s="1"/>
      <c r="W135" s="1"/>
      <c r="X135" s="617"/>
      <c r="Y135" s="8"/>
      <c r="Z135" s="8"/>
      <c r="AA135" s="8"/>
      <c r="AB135" s="8"/>
      <c r="AC135" s="8"/>
      <c r="AD135" s="8"/>
      <c r="AE135" s="615"/>
      <c r="AF135" s="8"/>
      <c r="AG135" s="2"/>
      <c r="AH135" s="326"/>
      <c r="AI135" s="10"/>
      <c r="AJ135" s="10"/>
      <c r="AK135" s="10"/>
      <c r="AL135" s="614"/>
      <c r="AM135" s="614"/>
      <c r="AN135" s="34"/>
      <c r="AO135" s="8"/>
      <c r="AP135" s="117"/>
      <c r="AQ135" s="316"/>
      <c r="AR135" s="8"/>
      <c r="AS135" s="8"/>
      <c r="AT135" s="8"/>
      <c r="AU135" s="612"/>
      <c r="AV135" s="611"/>
      <c r="AW135" s="610"/>
      <c r="AX135" s="609"/>
      <c r="AY135" s="608"/>
      <c r="AZ135" s="606"/>
      <c r="BA135" s="608"/>
      <c r="BB135" s="560"/>
      <c r="BC135" s="607"/>
      <c r="BD135" s="606"/>
      <c r="BE135" s="605">
        <f t="shared" si="167"/>
        <v>0</v>
      </c>
      <c r="BF135" s="560"/>
      <c r="BG135" s="604"/>
      <c r="BH135" s="555"/>
    </row>
    <row r="136" spans="1:60" ht="15.75" customHeight="1" x14ac:dyDescent="0.3">
      <c r="A136" s="643">
        <v>2</v>
      </c>
      <c r="B136" s="1912" t="s">
        <v>204</v>
      </c>
      <c r="C136" s="1918"/>
      <c r="D136" s="25">
        <f>+D138+D144+D147+D156+D160</f>
        <v>191101270.44</v>
      </c>
      <c r="E136" s="628">
        <f>SUM(E138+E144+E147+E156+E160)</f>
        <v>191101270.44</v>
      </c>
      <c r="F136" s="561">
        <f>F138+F144+F147+F156+F160</f>
        <v>132369.29999999999</v>
      </c>
      <c r="G136" s="25">
        <f t="shared" ref="G136:W136" si="168">G138+G147+G156+G160+G144</f>
        <v>143836230.44</v>
      </c>
      <c r="H136" s="25">
        <f t="shared" si="168"/>
        <v>2723200</v>
      </c>
      <c r="I136" s="25">
        <f t="shared" si="168"/>
        <v>600000</v>
      </c>
      <c r="J136" s="25">
        <f t="shared" si="168"/>
        <v>4180000</v>
      </c>
      <c r="K136" s="25">
        <f t="shared" si="168"/>
        <v>6900000</v>
      </c>
      <c r="L136" s="25">
        <f t="shared" si="168"/>
        <v>20500000</v>
      </c>
      <c r="M136" s="25">
        <f t="shared" si="168"/>
        <v>15454778.979999999</v>
      </c>
      <c r="N136" s="25">
        <f t="shared" si="168"/>
        <v>2000000</v>
      </c>
      <c r="O136" s="25">
        <f t="shared" si="168"/>
        <v>385000</v>
      </c>
      <c r="P136" s="25">
        <f t="shared" si="168"/>
        <v>3800000</v>
      </c>
      <c r="Q136" s="25">
        <f t="shared" si="168"/>
        <v>1150000</v>
      </c>
      <c r="R136" s="25">
        <f t="shared" si="168"/>
        <v>3270000</v>
      </c>
      <c r="S136" s="25">
        <f t="shared" si="168"/>
        <v>56653251.460000001</v>
      </c>
      <c r="T136" s="25">
        <f t="shared" si="168"/>
        <v>3960000</v>
      </c>
      <c r="U136" s="25">
        <f t="shared" si="168"/>
        <v>5928000</v>
      </c>
      <c r="V136" s="25">
        <f t="shared" si="168"/>
        <v>10497000</v>
      </c>
      <c r="W136" s="25">
        <f t="shared" si="168"/>
        <v>5835000</v>
      </c>
      <c r="X136" s="350">
        <f>+X138+X144+X147+X156+X160</f>
        <v>95186</v>
      </c>
      <c r="Y136" s="25">
        <f t="shared" ref="Y136:AD136" si="169">Y138+Y147+Y156+Y160+Y144</f>
        <v>10630000</v>
      </c>
      <c r="Z136" s="25">
        <f t="shared" si="169"/>
        <v>2550000</v>
      </c>
      <c r="AA136" s="25">
        <f t="shared" si="169"/>
        <v>1295000</v>
      </c>
      <c r="AB136" s="25">
        <f t="shared" si="169"/>
        <v>1195000</v>
      </c>
      <c r="AC136" s="25">
        <f t="shared" si="169"/>
        <v>2795000</v>
      </c>
      <c r="AD136" s="25">
        <f t="shared" si="169"/>
        <v>2795000</v>
      </c>
      <c r="AE136" s="615">
        <f>X136/$X$7*100</f>
        <v>1.8670700043157473</v>
      </c>
      <c r="AF136" s="10">
        <f>+AF138+AF144+AF147+AF156+AF160</f>
        <v>11270</v>
      </c>
      <c r="AG136" s="2">
        <f>SUM(AG138+AG144+AG147+AG156+AG160)</f>
        <v>10845000</v>
      </c>
      <c r="AH136" s="308">
        <f>AH138+AH144+AH147+AH156+AH160</f>
        <v>2175000</v>
      </c>
      <c r="AI136" s="33">
        <f>AI138+AI144+AI147+AI156+AI160</f>
        <v>4310000</v>
      </c>
      <c r="AJ136" s="33">
        <f>AJ138+AJ144+AJ147+AJ156+AJ160</f>
        <v>660000</v>
      </c>
      <c r="AK136" s="33">
        <f>AK138+AK144+AK147+AK156+AK160</f>
        <v>3700000</v>
      </c>
      <c r="AL136" s="623">
        <f>(AF136/AF7)*100</f>
        <v>0.7784141262224904</v>
      </c>
      <c r="AM136" s="623">
        <f>+AM138+AM144+AM147+AM156+AM160</f>
        <v>6380</v>
      </c>
      <c r="AN136" s="34">
        <f t="shared" ref="AN136:AU136" si="170">AN138+AN144+AN147+AN156+AN160</f>
        <v>25790040</v>
      </c>
      <c r="AO136" s="35">
        <f t="shared" si="170"/>
        <v>18790040</v>
      </c>
      <c r="AP136" s="34">
        <f t="shared" si="170"/>
        <v>7000000</v>
      </c>
      <c r="AQ136" s="305">
        <f t="shared" si="170"/>
        <v>5112500</v>
      </c>
      <c r="AR136" s="35">
        <f t="shared" si="170"/>
        <v>277500</v>
      </c>
      <c r="AS136" s="35">
        <f t="shared" si="170"/>
        <v>555000</v>
      </c>
      <c r="AT136" s="35">
        <f t="shared" si="170"/>
        <v>1055000</v>
      </c>
      <c r="AU136" s="622">
        <f t="shared" si="170"/>
        <v>191101270.44</v>
      </c>
      <c r="AV136" s="611">
        <f>AM136/$AM$7</f>
        <v>5.5617302874152216E-4</v>
      </c>
      <c r="AW136" s="621">
        <f>+AW138+AW144+AW147+AW156+AW160</f>
        <v>28750</v>
      </c>
      <c r="AX136" s="609">
        <f t="shared" ref="AX136:AX154" si="171">AW136/$AW$7</f>
        <v>5.5594241543881846E-4</v>
      </c>
      <c r="AY136" s="608">
        <f>+F136/$F$7</f>
        <v>2.0344057738740651E-3</v>
      </c>
      <c r="AZ136" s="561">
        <f>AZ138+AZ144+AZ147+AZ156+AZ160</f>
        <v>84947.640080000012</v>
      </c>
      <c r="BA136" s="608">
        <f>+AZ136/$AZ$7</f>
        <v>2.3258352409880069E-3</v>
      </c>
      <c r="BB136" s="560">
        <f>+F136-AZ136</f>
        <v>47421.659919999976</v>
      </c>
      <c r="BC136" s="607">
        <f>+BB136/AZ136</f>
        <v>0.55824576027468575</v>
      </c>
      <c r="BD136" s="561">
        <f>BD138+BD144+BD147+BD156+BD160</f>
        <v>41895.46</v>
      </c>
      <c r="BE136" s="605">
        <f t="shared" si="167"/>
        <v>9.6496417468829498E-4</v>
      </c>
      <c r="BF136" s="560">
        <f>AZ136-BD136</f>
        <v>43052.180080000013</v>
      </c>
      <c r="BG136" s="604">
        <f>+BF136/BD136</f>
        <v>1.0276096760842348</v>
      </c>
      <c r="BH136" s="555"/>
    </row>
    <row r="137" spans="1:60" ht="15.75" customHeight="1" x14ac:dyDescent="0.3">
      <c r="A137" s="686"/>
      <c r="B137" s="732"/>
      <c r="C137" s="731"/>
      <c r="D137" s="20"/>
      <c r="E137" s="620"/>
      <c r="F137" s="558"/>
      <c r="G137" s="20"/>
      <c r="H137" s="690"/>
      <c r="I137" s="690"/>
      <c r="J137" s="690"/>
      <c r="K137" s="690"/>
      <c r="L137" s="341"/>
      <c r="M137" s="1"/>
      <c r="N137" s="690"/>
      <c r="O137" s="690"/>
      <c r="P137" s="341"/>
      <c r="Q137" s="690"/>
      <c r="R137" s="1"/>
      <c r="S137" s="1"/>
      <c r="T137" s="1"/>
      <c r="U137" s="1"/>
      <c r="V137" s="1"/>
      <c r="W137" s="1"/>
      <c r="X137" s="617"/>
      <c r="Y137" s="10"/>
      <c r="Z137" s="10"/>
      <c r="AA137" s="10"/>
      <c r="AB137" s="10"/>
      <c r="AC137" s="10"/>
      <c r="AD137" s="10"/>
      <c r="AE137" s="615"/>
      <c r="AF137" s="8"/>
      <c r="AG137" s="2"/>
      <c r="AH137" s="316"/>
      <c r="AI137" s="8"/>
      <c r="AJ137" s="8"/>
      <c r="AK137" s="8"/>
      <c r="AL137" s="614"/>
      <c r="AM137" s="614"/>
      <c r="AN137" s="34"/>
      <c r="AO137" s="8"/>
      <c r="AP137" s="117"/>
      <c r="AQ137" s="316"/>
      <c r="AR137" s="8"/>
      <c r="AS137" s="8"/>
      <c r="AT137" s="8"/>
      <c r="AU137" s="612"/>
      <c r="AV137" s="611"/>
      <c r="AW137" s="610"/>
      <c r="AX137" s="609">
        <f t="shared" si="171"/>
        <v>0</v>
      </c>
      <c r="AY137" s="608"/>
      <c r="AZ137" s="606"/>
      <c r="BA137" s="608"/>
      <c r="BB137" s="560"/>
      <c r="BC137" s="607"/>
      <c r="BD137" s="606"/>
      <c r="BE137" s="605"/>
      <c r="BF137" s="560"/>
      <c r="BG137" s="604"/>
      <c r="BH137" s="555"/>
    </row>
    <row r="138" spans="1:60" ht="15.75" customHeight="1" x14ac:dyDescent="0.3">
      <c r="A138" s="676" t="s">
        <v>205</v>
      </c>
      <c r="B138" s="1912" t="s">
        <v>206</v>
      </c>
      <c r="C138" s="1918"/>
      <c r="D138" s="21">
        <f>SUM(D139:D142)</f>
        <v>49930731.100000001</v>
      </c>
      <c r="E138" s="628">
        <f>SUM(G138+Y138+AG138+AN138)</f>
        <v>49930731.100000001</v>
      </c>
      <c r="F138" s="561">
        <f>F139+F140+F141+F142</f>
        <v>42540.466</v>
      </c>
      <c r="G138" s="21">
        <f>SUM(H138:W138)</f>
        <v>34930731.100000001</v>
      </c>
      <c r="H138" s="23">
        <f t="shared" ref="H138:W138" si="172">SUM(H139:H142)</f>
        <v>315000</v>
      </c>
      <c r="I138" s="23">
        <f t="shared" si="172"/>
        <v>150000</v>
      </c>
      <c r="J138" s="23">
        <f t="shared" si="172"/>
        <v>830000</v>
      </c>
      <c r="K138" s="23">
        <f t="shared" si="172"/>
        <v>2000000</v>
      </c>
      <c r="L138" s="23">
        <f t="shared" si="172"/>
        <v>3000000</v>
      </c>
      <c r="M138" s="23">
        <f t="shared" si="172"/>
        <v>3082560</v>
      </c>
      <c r="N138" s="23">
        <f t="shared" si="172"/>
        <v>500000</v>
      </c>
      <c r="O138" s="23">
        <f t="shared" si="172"/>
        <v>200000</v>
      </c>
      <c r="P138" s="23">
        <f t="shared" si="172"/>
        <v>1300000</v>
      </c>
      <c r="Q138" s="23">
        <f t="shared" si="172"/>
        <v>250000</v>
      </c>
      <c r="R138" s="23">
        <f t="shared" si="172"/>
        <v>1000000</v>
      </c>
      <c r="S138" s="23">
        <f t="shared" si="172"/>
        <v>17881171.100000001</v>
      </c>
      <c r="T138" s="23">
        <f t="shared" si="172"/>
        <v>1300000</v>
      </c>
      <c r="U138" s="23">
        <f t="shared" si="172"/>
        <v>1560000</v>
      </c>
      <c r="V138" s="23">
        <f t="shared" si="172"/>
        <v>1212000</v>
      </c>
      <c r="W138" s="23">
        <f t="shared" si="172"/>
        <v>350000</v>
      </c>
      <c r="X138" s="350">
        <f>+X139+X140+X141+X142</f>
        <v>18959</v>
      </c>
      <c r="Y138" s="9">
        <f t="shared" ref="Y138:AD138" si="173">SUM(Y139:Y142)</f>
        <v>4600000</v>
      </c>
      <c r="Z138" s="9">
        <f t="shared" si="173"/>
        <v>600000</v>
      </c>
      <c r="AA138" s="9">
        <f t="shared" si="173"/>
        <v>200000</v>
      </c>
      <c r="AB138" s="9">
        <f t="shared" si="173"/>
        <v>200000</v>
      </c>
      <c r="AC138" s="9">
        <f t="shared" si="173"/>
        <v>1800000</v>
      </c>
      <c r="AD138" s="9">
        <f t="shared" si="173"/>
        <v>1800000</v>
      </c>
      <c r="AE138" s="615">
        <f>X138/$X$7*100</f>
        <v>0.37188011064465626</v>
      </c>
      <c r="AF138" s="10">
        <f>+AF139+AF140+AF141+AF142</f>
        <v>5200</v>
      </c>
      <c r="AG138" s="2">
        <f>SUM(AG139:AG142)</f>
        <v>3350000</v>
      </c>
      <c r="AH138" s="308">
        <f>SUM(AH139:AH142)</f>
        <v>750000</v>
      </c>
      <c r="AI138" s="33">
        <f>SUM(AI139:AI142)</f>
        <v>1050000</v>
      </c>
      <c r="AJ138" s="33">
        <f>SUM(AJ139:AJ142)</f>
        <v>250000</v>
      </c>
      <c r="AK138" s="33">
        <f>SUM(AK139:AK142)</f>
        <v>1300000</v>
      </c>
      <c r="AL138" s="614">
        <f>(AF138/AF7)*100</f>
        <v>0.35916179736973824</v>
      </c>
      <c r="AM138" s="623">
        <f>+AM139+AM140+AM141+AM142</f>
        <v>3035</v>
      </c>
      <c r="AN138" s="34">
        <f t="shared" ref="AN138:AU138" si="174">SUM(AN139:AN142)</f>
        <v>7050000</v>
      </c>
      <c r="AO138" s="35">
        <f t="shared" si="174"/>
        <v>4200000</v>
      </c>
      <c r="AP138" s="34">
        <f t="shared" si="174"/>
        <v>2850000</v>
      </c>
      <c r="AQ138" s="305">
        <f t="shared" si="174"/>
        <v>962500</v>
      </c>
      <c r="AR138" s="35">
        <f t="shared" si="174"/>
        <v>277500</v>
      </c>
      <c r="AS138" s="35">
        <f t="shared" si="174"/>
        <v>555000</v>
      </c>
      <c r="AT138" s="35">
        <f t="shared" si="174"/>
        <v>1055000</v>
      </c>
      <c r="AU138" s="622">
        <f t="shared" si="174"/>
        <v>49930731.100000001</v>
      </c>
      <c r="AV138" s="611">
        <f>AM138/$AM$7</f>
        <v>2.6457447370384319E-4</v>
      </c>
      <c r="AW138" s="621">
        <f>+AW139+AW140+AW141+AW142</f>
        <v>8750</v>
      </c>
      <c r="AX138" s="609">
        <f t="shared" si="171"/>
        <v>1.6919986556833606E-4</v>
      </c>
      <c r="AY138" s="608">
        <f>+F138/$F$7</f>
        <v>6.5381149294959902E-4</v>
      </c>
      <c r="AZ138" s="561">
        <f>AZ139+AZ140+AZ141+AZ142</f>
        <v>35899.951699999998</v>
      </c>
      <c r="BA138" s="608">
        <f>+AZ138/$AZ$7</f>
        <v>9.8292751552595328E-4</v>
      </c>
      <c r="BB138" s="560">
        <f>+F138-AZ138</f>
        <v>6640.5143000000025</v>
      </c>
      <c r="BC138" s="607">
        <f>+BB138/AZ138</f>
        <v>0.18497279203860331</v>
      </c>
      <c r="BD138" s="561">
        <f>BD139+BD140+BD141+BD142</f>
        <v>13225.168000000001</v>
      </c>
      <c r="BE138" s="605">
        <f>+BD138/$BD$7</f>
        <v>3.046108892045594E-4</v>
      </c>
      <c r="BF138" s="560">
        <f>AZ138-BD138</f>
        <v>22674.783699999996</v>
      </c>
      <c r="BG138" s="604">
        <f>+BF138/BD138</f>
        <v>1.714517630324242</v>
      </c>
      <c r="BH138" s="555"/>
    </row>
    <row r="139" spans="1:60" ht="15.75" customHeight="1" x14ac:dyDescent="0.3">
      <c r="A139" s="559" t="s">
        <v>207</v>
      </c>
      <c r="B139" s="1967" t="s">
        <v>208</v>
      </c>
      <c r="C139" s="1968"/>
      <c r="D139" s="20">
        <f>+G139+Y139+AG139+AN139</f>
        <v>14531560.77</v>
      </c>
      <c r="E139" s="620">
        <f>SUM(G139+Y139+AG139+AN139)</f>
        <v>14531560.77</v>
      </c>
      <c r="F139" s="558">
        <f>6397500/1000</f>
        <v>6397.5</v>
      </c>
      <c r="G139" s="20">
        <f>SUM(H139:W139)</f>
        <v>14531560.77</v>
      </c>
      <c r="H139" s="375"/>
      <c r="I139" s="375"/>
      <c r="J139" s="375"/>
      <c r="K139" s="375"/>
      <c r="L139" s="341"/>
      <c r="M139" s="1">
        <v>270400</v>
      </c>
      <c r="N139" s="375"/>
      <c r="O139" s="375"/>
      <c r="P139" s="341"/>
      <c r="Q139" s="375"/>
      <c r="R139" s="1"/>
      <c r="S139" s="1">
        <v>14261160.77</v>
      </c>
      <c r="T139" s="1"/>
      <c r="U139" s="1"/>
      <c r="V139" s="1"/>
      <c r="W139" s="1"/>
      <c r="X139" s="617">
        <f>+'[3]Egresos -2015 '!$Z$138</f>
        <v>6120</v>
      </c>
      <c r="Y139" s="8">
        <f>SUM(Z139:AD139)</f>
        <v>0</v>
      </c>
      <c r="Z139" s="8"/>
      <c r="AA139" s="8"/>
      <c r="AB139" s="8"/>
      <c r="AC139" s="8"/>
      <c r="AD139" s="8"/>
      <c r="AE139" s="642">
        <f>X139/$X$7*100</f>
        <v>0.12004358231685724</v>
      </c>
      <c r="AF139" s="8">
        <f>Y139/1000</f>
        <v>0</v>
      </c>
      <c r="AG139" s="2">
        <f>SUM(AH139:AK139)</f>
        <v>0</v>
      </c>
      <c r="AH139" s="636">
        <v>0</v>
      </c>
      <c r="AI139" s="9">
        <v>0</v>
      </c>
      <c r="AJ139" s="9">
        <v>0</v>
      </c>
      <c r="AK139" s="9">
        <v>0</v>
      </c>
      <c r="AL139" s="614"/>
      <c r="AM139" s="614">
        <f>AG139/1000</f>
        <v>0</v>
      </c>
      <c r="AN139" s="30">
        <f>SUM(AO139+AP139)</f>
        <v>0</v>
      </c>
      <c r="AO139" s="12">
        <v>0</v>
      </c>
      <c r="AP139" s="613">
        <f>SUM(AQ139:AT139)</f>
        <v>0</v>
      </c>
      <c r="AQ139" s="317">
        <v>0</v>
      </c>
      <c r="AR139" s="12">
        <v>0</v>
      </c>
      <c r="AS139" s="12">
        <v>0</v>
      </c>
      <c r="AT139" s="12">
        <v>0</v>
      </c>
      <c r="AU139" s="612">
        <f>SUM(AN139+AG139+Y139+G139)</f>
        <v>14531560.77</v>
      </c>
      <c r="AV139" s="611">
        <f>AM139/$AM$7</f>
        <v>0</v>
      </c>
      <c r="AW139" s="610">
        <f>AN139/1000</f>
        <v>0</v>
      </c>
      <c r="AX139" s="609">
        <f t="shared" si="171"/>
        <v>0</v>
      </c>
      <c r="AY139" s="608">
        <f>+F139/$F$7</f>
        <v>9.8324240880319925E-5</v>
      </c>
      <c r="AZ139" s="606">
        <f>+((3564853/6))*12/1000</f>
        <v>7129.7060000000001</v>
      </c>
      <c r="BA139" s="608">
        <f>+AZ139/$AZ$7</f>
        <v>1.952087363117673E-4</v>
      </c>
      <c r="BB139" s="560">
        <f>+F139-AZ139</f>
        <v>-732.20600000000013</v>
      </c>
      <c r="BC139" s="607">
        <f>+BB139/AZ139</f>
        <v>-0.10269792330847866</v>
      </c>
      <c r="BD139" s="606">
        <v>4238.0410000000002</v>
      </c>
      <c r="BE139" s="605">
        <f>+BD139/$BD$7</f>
        <v>9.7613386650013075E-5</v>
      </c>
      <c r="BF139" s="560">
        <f>AZ139-BD139</f>
        <v>2891.665</v>
      </c>
      <c r="BG139" s="604">
        <f>+BF139/BD139</f>
        <v>0.68231170958468779</v>
      </c>
      <c r="BH139" s="555"/>
    </row>
    <row r="140" spans="1:60" ht="15.75" customHeight="1" x14ac:dyDescent="0.3">
      <c r="A140" s="559" t="s">
        <v>209</v>
      </c>
      <c r="B140" s="1967" t="s">
        <v>210</v>
      </c>
      <c r="C140" s="1968"/>
      <c r="D140" s="20">
        <f>+G140+Y140+AG140+AN140</f>
        <v>3998145.86</v>
      </c>
      <c r="E140" s="620">
        <f>SUM(G140+Y140+AG140+AN140)</f>
        <v>3998145.86</v>
      </c>
      <c r="F140" s="558">
        <f>318000/1000</f>
        <v>318</v>
      </c>
      <c r="G140" s="20">
        <f>SUM(H140:W140)</f>
        <v>3848145.86</v>
      </c>
      <c r="H140" s="375">
        <v>15000</v>
      </c>
      <c r="I140" s="375"/>
      <c r="J140" s="375"/>
      <c r="K140" s="375"/>
      <c r="L140" s="341">
        <v>3000000</v>
      </c>
      <c r="M140" s="1">
        <v>108160</v>
      </c>
      <c r="N140" s="375"/>
      <c r="O140" s="375"/>
      <c r="P140" s="341"/>
      <c r="Q140" s="375"/>
      <c r="R140" s="1"/>
      <c r="S140" s="1">
        <v>116985.86</v>
      </c>
      <c r="T140" s="1">
        <v>300000</v>
      </c>
      <c r="U140" s="1">
        <v>208000</v>
      </c>
      <c r="V140" s="1">
        <v>50000</v>
      </c>
      <c r="W140" s="1">
        <v>50000</v>
      </c>
      <c r="X140" s="617">
        <f>+'[3]Egresos -2015 '!$Z$139</f>
        <v>720</v>
      </c>
      <c r="Y140" s="8">
        <f>SUM(Z140:AD140)</f>
        <v>0</v>
      </c>
      <c r="Z140" s="8"/>
      <c r="AA140" s="8"/>
      <c r="AB140" s="8">
        <v>0</v>
      </c>
      <c r="AC140" s="8">
        <v>0</v>
      </c>
      <c r="AD140" s="8">
        <v>0</v>
      </c>
      <c r="AE140" s="642">
        <f>X140/$X$7*100</f>
        <v>1.4122774390218501E-2</v>
      </c>
      <c r="AF140" s="8">
        <f>Y140/1000</f>
        <v>0</v>
      </c>
      <c r="AG140" s="2">
        <f>SUM(AH140:AK140)</f>
        <v>0</v>
      </c>
      <c r="AH140" s="306">
        <v>0</v>
      </c>
      <c r="AI140" s="5">
        <v>0</v>
      </c>
      <c r="AJ140" s="5"/>
      <c r="AK140" s="5"/>
      <c r="AL140" s="614"/>
      <c r="AM140" s="614">
        <f>AG140/1000</f>
        <v>0</v>
      </c>
      <c r="AN140" s="30">
        <f>SUM(AO140+AP140)</f>
        <v>150000</v>
      </c>
      <c r="AO140" s="5">
        <v>150000</v>
      </c>
      <c r="AP140" s="613">
        <f>SUM(AQ140:AT140)</f>
        <v>0</v>
      </c>
      <c r="AQ140" s="306"/>
      <c r="AR140" s="5"/>
      <c r="AS140" s="5"/>
      <c r="AT140" s="5"/>
      <c r="AU140" s="612">
        <f>SUM(AN140+AG140+Y140+G140)</f>
        <v>3998145.86</v>
      </c>
      <c r="AV140" s="611">
        <f>AM140/$AM$7</f>
        <v>0</v>
      </c>
      <c r="AW140" s="610">
        <f>AN140/1000</f>
        <v>150</v>
      </c>
      <c r="AX140" s="609">
        <f t="shared" si="171"/>
        <v>2.9005691240286183E-6</v>
      </c>
      <c r="AY140" s="608">
        <f>+F140/$F$7</f>
        <v>4.8873948573570509E-6</v>
      </c>
      <c r="AZ140" s="606">
        <f>+((15030/6))*12/1000</f>
        <v>30.06</v>
      </c>
      <c r="BA140" s="608">
        <f>+AZ140/$AZ$7</f>
        <v>8.2303177908482132E-7</v>
      </c>
      <c r="BB140" s="560">
        <f>+F140-AZ140</f>
        <v>287.94</v>
      </c>
      <c r="BC140" s="607">
        <v>0</v>
      </c>
      <c r="BD140" s="606">
        <v>47.561</v>
      </c>
      <c r="BE140" s="605">
        <f>+BD140/$BD$7</f>
        <v>1.0954566703015076E-6</v>
      </c>
      <c r="BF140" s="560">
        <f>AZ140-BD140</f>
        <v>-17.501000000000001</v>
      </c>
      <c r="BG140" s="604">
        <v>0</v>
      </c>
      <c r="BH140" s="555"/>
    </row>
    <row r="141" spans="1:60" ht="15.75" customHeight="1" x14ac:dyDescent="0.3">
      <c r="A141" s="559" t="s">
        <v>211</v>
      </c>
      <c r="B141" s="1967" t="s">
        <v>212</v>
      </c>
      <c r="C141" s="1968"/>
      <c r="D141" s="20">
        <f>+G141+Y141+AG141+AN141</f>
        <v>29210374.710000001</v>
      </c>
      <c r="E141" s="620">
        <f>SUM(G141+Y141+AG141+AN141)</f>
        <v>29210374.710000001</v>
      </c>
      <c r="F141" s="558">
        <f>35524966/1000</f>
        <v>35524.966</v>
      </c>
      <c r="G141" s="20">
        <f>SUM(H141:W141)</f>
        <v>15160374.710000001</v>
      </c>
      <c r="H141" s="375">
        <v>300000</v>
      </c>
      <c r="I141" s="375">
        <v>150000</v>
      </c>
      <c r="J141" s="375">
        <v>800000</v>
      </c>
      <c r="K141" s="375">
        <v>2000000</v>
      </c>
      <c r="L141" s="341"/>
      <c r="M141" s="1">
        <v>2704000</v>
      </c>
      <c r="N141" s="375">
        <f>500000</f>
        <v>500000</v>
      </c>
      <c r="O141" s="375">
        <v>200000</v>
      </c>
      <c r="P141" s="341">
        <v>1300000</v>
      </c>
      <c r="Q141" s="375">
        <v>250000</v>
      </c>
      <c r="R141" s="1">
        <v>1000000</v>
      </c>
      <c r="S141" s="1">
        <v>2504374.71</v>
      </c>
      <c r="T141" s="1">
        <v>1000000</v>
      </c>
      <c r="U141" s="1">
        <v>1040000</v>
      </c>
      <c r="V141" s="1">
        <v>1162000</v>
      </c>
      <c r="W141" s="1">
        <v>250000</v>
      </c>
      <c r="X141" s="617">
        <f>+'[3]Egresos -2015 '!$Z$140</f>
        <v>11753</v>
      </c>
      <c r="Y141" s="8">
        <f>SUM(Z141:AD141)</f>
        <v>4500000</v>
      </c>
      <c r="Z141" s="12">
        <v>500000</v>
      </c>
      <c r="AA141" s="12">
        <v>200000</v>
      </c>
      <c r="AB141" s="12">
        <v>200000</v>
      </c>
      <c r="AC141" s="12">
        <v>1800000</v>
      </c>
      <c r="AD141" s="12">
        <v>1800000</v>
      </c>
      <c r="AE141" s="642">
        <f>X141/$X$7*100</f>
        <v>0.23053467695588614</v>
      </c>
      <c r="AF141" s="8">
        <f>+'[2]Egresos -2015 '!$AG$140</f>
        <v>5200</v>
      </c>
      <c r="AG141" s="2">
        <f>SUM(AH141:AK141)</f>
        <v>2800000</v>
      </c>
      <c r="AH141" s="325">
        <v>750000</v>
      </c>
      <c r="AI141" s="17">
        <v>1000000</v>
      </c>
      <c r="AJ141" s="17">
        <v>250000</v>
      </c>
      <c r="AK141" s="17">
        <v>800000</v>
      </c>
      <c r="AL141" s="614">
        <f>(AF141/AF7)*100</f>
        <v>0.35916179736973824</v>
      </c>
      <c r="AM141" s="614">
        <f>+'[2]Egresos -2015 '!$AM$140</f>
        <v>2285</v>
      </c>
      <c r="AN141" s="30">
        <f>SUM(AO141+AP141)</f>
        <v>6750000</v>
      </c>
      <c r="AO141" s="17">
        <v>4000000</v>
      </c>
      <c r="AP141" s="613">
        <f>SUM(AQ141:AT141)</f>
        <v>2750000</v>
      </c>
      <c r="AQ141" s="325">
        <v>937500</v>
      </c>
      <c r="AR141" s="17">
        <v>262500</v>
      </c>
      <c r="AS141" s="17">
        <v>525000</v>
      </c>
      <c r="AT141" s="17">
        <v>1025000</v>
      </c>
      <c r="AU141" s="612">
        <f>SUM(AN141+AG141+Y141+G141)</f>
        <v>29210374.710000001</v>
      </c>
      <c r="AV141" s="611">
        <f>AM141/$AM$7</f>
        <v>1.991936317671439E-4</v>
      </c>
      <c r="AW141" s="610">
        <f>+'[2]Egresos -2015 '!$AO$140</f>
        <v>8500</v>
      </c>
      <c r="AX141" s="609">
        <f t="shared" si="171"/>
        <v>1.6436558369495503E-4</v>
      </c>
      <c r="AY141" s="608">
        <f>+F141/$F$7</f>
        <v>5.4598910734649083E-4</v>
      </c>
      <c r="AZ141" s="606">
        <f>+(((5651080.42+8644438.95)/6))*12/1000</f>
        <v>28591.03874</v>
      </c>
      <c r="BA141" s="608">
        <f>+AZ141/$AZ$7</f>
        <v>7.8281215835213731E-4</v>
      </c>
      <c r="BB141" s="560">
        <f>+F141-AZ141</f>
        <v>6933.9272600000004</v>
      </c>
      <c r="BC141" s="607">
        <f>+BB141/AZ141</f>
        <v>0.2425209983818867</v>
      </c>
      <c r="BD141" s="606">
        <v>8886.4950000000008</v>
      </c>
      <c r="BE141" s="605">
        <f>+BD141/$BD$7</f>
        <v>2.0467967921933931E-4</v>
      </c>
      <c r="BF141" s="560">
        <f>AZ141-BD141</f>
        <v>19704.543740000001</v>
      </c>
      <c r="BG141" s="604">
        <f>+BF141/BD141</f>
        <v>2.2173583330660738</v>
      </c>
      <c r="BH141" s="555"/>
    </row>
    <row r="142" spans="1:60" ht="15.75" customHeight="1" x14ac:dyDescent="0.3">
      <c r="A142" s="559" t="s">
        <v>213</v>
      </c>
      <c r="B142" s="1967" t="s">
        <v>214</v>
      </c>
      <c r="C142" s="1968"/>
      <c r="D142" s="20">
        <f>+G142+Y142+AG142+AN142</f>
        <v>2190649.7599999998</v>
      </c>
      <c r="E142" s="620">
        <f>SUM(G142+Y142+AG142+AN142)</f>
        <v>2190649.7599999998</v>
      </c>
      <c r="F142" s="558">
        <f>300000/1000</f>
        <v>300</v>
      </c>
      <c r="G142" s="20">
        <f>SUM(H142:W142)</f>
        <v>1390649.76</v>
      </c>
      <c r="H142" s="375"/>
      <c r="I142" s="375"/>
      <c r="J142" s="375">
        <v>30000</v>
      </c>
      <c r="K142" s="375">
        <v>0</v>
      </c>
      <c r="L142" s="341">
        <v>0</v>
      </c>
      <c r="M142" s="1"/>
      <c r="N142" s="375"/>
      <c r="O142" s="375"/>
      <c r="P142" s="341"/>
      <c r="Q142" s="375"/>
      <c r="R142" s="1"/>
      <c r="S142" s="1">
        <v>998649.76</v>
      </c>
      <c r="T142" s="1"/>
      <c r="U142" s="1">
        <v>312000</v>
      </c>
      <c r="V142" s="1"/>
      <c r="W142" s="1">
        <v>50000</v>
      </c>
      <c r="X142" s="617">
        <f>+'[3]Egresos -2015 '!$Z$141</f>
        <v>366</v>
      </c>
      <c r="Y142" s="8">
        <f>SUM(Z142:AD142)</f>
        <v>100000</v>
      </c>
      <c r="Z142" s="8">
        <v>100000</v>
      </c>
      <c r="AA142" s="8">
        <v>0</v>
      </c>
      <c r="AB142" s="8">
        <v>0</v>
      </c>
      <c r="AC142" s="8">
        <v>0</v>
      </c>
      <c r="AD142" s="8">
        <v>0</v>
      </c>
      <c r="AE142" s="642">
        <f>X142/$X$7*100</f>
        <v>7.1790769816944041E-3</v>
      </c>
      <c r="AF142" s="8">
        <v>0</v>
      </c>
      <c r="AG142" s="2">
        <f>SUM(AH142:AK142)</f>
        <v>550000</v>
      </c>
      <c r="AH142" s="309"/>
      <c r="AI142" s="13">
        <v>50000</v>
      </c>
      <c r="AJ142" s="13"/>
      <c r="AK142" s="13">
        <v>500000</v>
      </c>
      <c r="AL142" s="614">
        <f>(AF142/AF7)*100</f>
        <v>0</v>
      </c>
      <c r="AM142" s="614">
        <f>+'[2]Egresos -2015 '!$AM$141</f>
        <v>750</v>
      </c>
      <c r="AN142" s="30">
        <f>SUM(AO142+AP142)</f>
        <v>150000</v>
      </c>
      <c r="AO142" s="13">
        <v>50000</v>
      </c>
      <c r="AP142" s="613">
        <f>SUM(AQ142:AT142)</f>
        <v>100000</v>
      </c>
      <c r="AQ142" s="309">
        <v>25000</v>
      </c>
      <c r="AR142" s="13">
        <v>15000</v>
      </c>
      <c r="AS142" s="13">
        <v>30000</v>
      </c>
      <c r="AT142" s="13">
        <v>30000</v>
      </c>
      <c r="AU142" s="612">
        <f>SUM(AN142+AG142+Y142+G142)</f>
        <v>2190649.7599999998</v>
      </c>
      <c r="AV142" s="611">
        <f>AM142/$AM$7</f>
        <v>6.5380841936699314E-5</v>
      </c>
      <c r="AW142" s="610">
        <f>+'[2]Egresos -2015 '!$AO$141</f>
        <v>100</v>
      </c>
      <c r="AX142" s="609">
        <f t="shared" si="171"/>
        <v>1.9337127493524121E-6</v>
      </c>
      <c r="AY142" s="608">
        <f>+F142/$F$7</f>
        <v>4.6107498654311801E-6</v>
      </c>
      <c r="AZ142" s="606">
        <f>+((74573.48/6))*12/1000</f>
        <v>149.14695999999998</v>
      </c>
      <c r="BA142" s="608">
        <f>+AZ142/$AZ$7</f>
        <v>4.0835890829638279E-6</v>
      </c>
      <c r="BB142" s="560">
        <f>+F142-AZ142</f>
        <v>150.85304000000002</v>
      </c>
      <c r="BC142" s="607">
        <f>+BB142/AZ142</f>
        <v>1.0114389190366337</v>
      </c>
      <c r="BD142" s="606">
        <v>53.070999999999998</v>
      </c>
      <c r="BE142" s="605">
        <f>+BD142/$BD$7</f>
        <v>1.2223666649055173E-6</v>
      </c>
      <c r="BF142" s="560">
        <f>AZ142-BD142</f>
        <v>96.075959999999981</v>
      </c>
      <c r="BG142" s="604">
        <f>+BF142/BD142</f>
        <v>1.8103288048086523</v>
      </c>
      <c r="BH142" s="555"/>
    </row>
    <row r="143" spans="1:60" ht="15.75" customHeight="1" x14ac:dyDescent="0.3">
      <c r="A143" s="559"/>
      <c r="B143" s="634"/>
      <c r="C143" s="635"/>
      <c r="D143" s="20"/>
      <c r="E143" s="620"/>
      <c r="F143" s="558"/>
      <c r="G143" s="20"/>
      <c r="H143" s="375"/>
      <c r="I143" s="375"/>
      <c r="J143" s="375"/>
      <c r="K143" s="375"/>
      <c r="L143" s="341"/>
      <c r="M143" s="1"/>
      <c r="N143" s="375"/>
      <c r="O143" s="375"/>
      <c r="P143" s="341"/>
      <c r="Q143" s="375"/>
      <c r="R143" s="1"/>
      <c r="S143" s="1"/>
      <c r="T143" s="1"/>
      <c r="U143" s="1"/>
      <c r="V143" s="1"/>
      <c r="W143" s="1"/>
      <c r="X143" s="617"/>
      <c r="Y143" s="8"/>
      <c r="Z143" s="8"/>
      <c r="AA143" s="8"/>
      <c r="AB143" s="8"/>
      <c r="AC143" s="8"/>
      <c r="AD143" s="8"/>
      <c r="AE143" s="615"/>
      <c r="AF143" s="8"/>
      <c r="AG143" s="11"/>
      <c r="AH143" s="309"/>
      <c r="AI143" s="13"/>
      <c r="AJ143" s="13"/>
      <c r="AK143" s="13"/>
      <c r="AL143" s="614"/>
      <c r="AM143" s="614"/>
      <c r="AN143" s="34"/>
      <c r="AO143" s="13"/>
      <c r="AP143" s="115"/>
      <c r="AQ143" s="309"/>
      <c r="AR143" s="13"/>
      <c r="AS143" s="13"/>
      <c r="AT143" s="13"/>
      <c r="AU143" s="612"/>
      <c r="AV143" s="611"/>
      <c r="AW143" s="610"/>
      <c r="AX143" s="609">
        <f t="shared" si="171"/>
        <v>0</v>
      </c>
      <c r="AY143" s="608"/>
      <c r="AZ143" s="606"/>
      <c r="BA143" s="608"/>
      <c r="BB143" s="560"/>
      <c r="BC143" s="607"/>
      <c r="BD143" s="606"/>
      <c r="BE143" s="605"/>
      <c r="BF143" s="560"/>
      <c r="BG143" s="604"/>
      <c r="BH143" s="555"/>
    </row>
    <row r="144" spans="1:60" ht="15.75" customHeight="1" x14ac:dyDescent="0.3">
      <c r="A144" s="562" t="s">
        <v>215</v>
      </c>
      <c r="B144" s="1973" t="s">
        <v>216</v>
      </c>
      <c r="C144" s="1979"/>
      <c r="D144" s="21">
        <f>+D145</f>
        <v>4540040</v>
      </c>
      <c r="E144" s="628">
        <f>SUM(G144+Y144+AG144+AN144)</f>
        <v>4540040</v>
      </c>
      <c r="F144" s="561">
        <f>F145</f>
        <v>4550</v>
      </c>
      <c r="G144" s="21">
        <f>SUM(H144:W144)</f>
        <v>3150000</v>
      </c>
      <c r="H144" s="374">
        <f t="shared" ref="H144:Q144" si="175">H145</f>
        <v>2000000</v>
      </c>
      <c r="I144" s="374">
        <f t="shared" si="175"/>
        <v>0</v>
      </c>
      <c r="J144" s="374">
        <f t="shared" si="175"/>
        <v>500000</v>
      </c>
      <c r="K144" s="374">
        <f t="shared" si="175"/>
        <v>500000</v>
      </c>
      <c r="L144" s="23">
        <f t="shared" si="175"/>
        <v>0</v>
      </c>
      <c r="M144" s="23">
        <f t="shared" si="175"/>
        <v>0</v>
      </c>
      <c r="N144" s="374">
        <f t="shared" si="175"/>
        <v>150000</v>
      </c>
      <c r="O144" s="374">
        <f t="shared" si="175"/>
        <v>0</v>
      </c>
      <c r="P144" s="23">
        <f t="shared" si="175"/>
        <v>0</v>
      </c>
      <c r="Q144" s="374">
        <f t="shared" si="175"/>
        <v>0</v>
      </c>
      <c r="R144" s="23"/>
      <c r="S144" s="23"/>
      <c r="T144" s="23"/>
      <c r="U144" s="23"/>
      <c r="V144" s="23"/>
      <c r="W144" s="23"/>
      <c r="X144" s="350">
        <f>+X145</f>
        <v>2520</v>
      </c>
      <c r="Y144" s="23">
        <f t="shared" ref="Y144:AD144" si="176">Y145</f>
        <v>500000</v>
      </c>
      <c r="Z144" s="23">
        <f t="shared" si="176"/>
        <v>500000</v>
      </c>
      <c r="AA144" s="23">
        <f t="shared" si="176"/>
        <v>0</v>
      </c>
      <c r="AB144" s="23">
        <f t="shared" si="176"/>
        <v>0</v>
      </c>
      <c r="AC144" s="23">
        <f t="shared" si="176"/>
        <v>0</v>
      </c>
      <c r="AD144" s="23">
        <f t="shared" si="176"/>
        <v>0</v>
      </c>
      <c r="AE144" s="615">
        <f>X144/$X$7*100</f>
        <v>4.9429710365764747E-2</v>
      </c>
      <c r="AF144" s="10">
        <f>+AF145</f>
        <v>400</v>
      </c>
      <c r="AG144" s="2">
        <f>SUM(AG145)</f>
        <v>0</v>
      </c>
      <c r="AH144" s="321">
        <f>+AH145</f>
        <v>0</v>
      </c>
      <c r="AI144" s="14">
        <f>+AI145</f>
        <v>0</v>
      </c>
      <c r="AJ144" s="33">
        <f>SUM(AJ145)</f>
        <v>0</v>
      </c>
      <c r="AK144" s="33">
        <f>SUM(AK145)</f>
        <v>0</v>
      </c>
      <c r="AL144" s="623">
        <f>(AF144/AF7)*100</f>
        <v>2.762783056690294E-2</v>
      </c>
      <c r="AM144" s="623">
        <f>+AM145</f>
        <v>0</v>
      </c>
      <c r="AN144" s="34">
        <f t="shared" ref="AN144:AU144" si="177">SUM(AN145)</f>
        <v>890040</v>
      </c>
      <c r="AO144" s="35">
        <f t="shared" si="177"/>
        <v>890040</v>
      </c>
      <c r="AP144" s="34">
        <f t="shared" si="177"/>
        <v>0</v>
      </c>
      <c r="AQ144" s="305">
        <f t="shared" si="177"/>
        <v>0</v>
      </c>
      <c r="AR144" s="35">
        <f t="shared" si="177"/>
        <v>0</v>
      </c>
      <c r="AS144" s="35">
        <f t="shared" si="177"/>
        <v>0</v>
      </c>
      <c r="AT144" s="35">
        <f t="shared" si="177"/>
        <v>0</v>
      </c>
      <c r="AU144" s="622">
        <f t="shared" si="177"/>
        <v>4540040</v>
      </c>
      <c r="AV144" s="611">
        <f>AM144/$AM$7</f>
        <v>0</v>
      </c>
      <c r="AW144" s="621">
        <f>+AW145</f>
        <v>750</v>
      </c>
      <c r="AX144" s="609">
        <f t="shared" si="171"/>
        <v>1.4502845620143091E-5</v>
      </c>
      <c r="AY144" s="608">
        <f>+F144/$F$7</f>
        <v>6.9929706292372909E-5</v>
      </c>
      <c r="AZ144" s="561">
        <f>AZ145</f>
        <v>1290.1559999999999</v>
      </c>
      <c r="BA144" s="608">
        <f>+AZ144/$AZ$7</f>
        <v>3.5323998269359835E-5</v>
      </c>
      <c r="BB144" s="560">
        <f>+F144-AZ144</f>
        <v>3259.8440000000001</v>
      </c>
      <c r="BC144" s="607">
        <f>+BB144/AZ144</f>
        <v>2.526705297653927</v>
      </c>
      <c r="BD144" s="561">
        <f>BD145</f>
        <v>867.02099999999996</v>
      </c>
      <c r="BE144" s="605">
        <f>+BD144/$BD$7</f>
        <v>1.9969805885946119E-5</v>
      </c>
      <c r="BF144" s="560">
        <f>AZ144-BD144</f>
        <v>423.13499999999999</v>
      </c>
      <c r="BG144" s="604">
        <f>+BF144/BD144</f>
        <v>0.48803316182653017</v>
      </c>
      <c r="BH144" s="555"/>
    </row>
    <row r="145" spans="1:60" ht="15.75" customHeight="1" x14ac:dyDescent="0.3">
      <c r="A145" s="559" t="s">
        <v>217</v>
      </c>
      <c r="B145" s="1967" t="s">
        <v>218</v>
      </c>
      <c r="C145" s="1968"/>
      <c r="D145" s="20">
        <f>+G145+Y145+AG145+AN145</f>
        <v>4540040</v>
      </c>
      <c r="E145" s="620">
        <f>SUM(G145+Y145+AG145+AN145)</f>
        <v>4540040</v>
      </c>
      <c r="F145" s="558">
        <f>4550000/1000</f>
        <v>4550</v>
      </c>
      <c r="G145" s="20">
        <f>SUM(H145:W145)</f>
        <v>3150000</v>
      </c>
      <c r="H145" s="375">
        <v>2000000</v>
      </c>
      <c r="I145" s="375"/>
      <c r="J145" s="375">
        <v>500000</v>
      </c>
      <c r="K145" s="375">
        <v>500000</v>
      </c>
      <c r="L145" s="341"/>
      <c r="M145" s="1"/>
      <c r="N145" s="375">
        <v>150000</v>
      </c>
      <c r="O145" s="375"/>
      <c r="P145" s="341"/>
      <c r="Q145" s="375"/>
      <c r="R145" s="1"/>
      <c r="S145" s="1"/>
      <c r="T145" s="1"/>
      <c r="U145" s="1"/>
      <c r="V145" s="1"/>
      <c r="W145" s="1"/>
      <c r="X145" s="617">
        <f>+'[3]Egresos -2015 '!$Z$144</f>
        <v>2520</v>
      </c>
      <c r="Y145" s="8">
        <f>SUM(Z145:AD145)</f>
        <v>500000</v>
      </c>
      <c r="Z145" s="8">
        <v>500000</v>
      </c>
      <c r="AA145" s="8"/>
      <c r="AB145" s="8"/>
      <c r="AC145" s="8"/>
      <c r="AD145" s="8"/>
      <c r="AE145" s="642">
        <f>X145/$X$7*100</f>
        <v>4.9429710365764747E-2</v>
      </c>
      <c r="AF145" s="8">
        <v>400</v>
      </c>
      <c r="AG145" s="2">
        <f>SUM(AH145:AJ145)</f>
        <v>0</v>
      </c>
      <c r="AH145" s="316"/>
      <c r="AI145" s="8"/>
      <c r="AJ145" s="35">
        <v>0</v>
      </c>
      <c r="AK145" s="35">
        <v>0</v>
      </c>
      <c r="AL145" s="614">
        <f>(AF145/AF7)*100</f>
        <v>2.762783056690294E-2</v>
      </c>
      <c r="AM145" s="614">
        <f>AG145/1000</f>
        <v>0</v>
      </c>
      <c r="AN145" s="30">
        <f>SUM(AO145+AP145)</f>
        <v>890040</v>
      </c>
      <c r="AO145" s="35">
        <v>890040</v>
      </c>
      <c r="AP145" s="613">
        <f>SUM(AQ145:AT145)</f>
        <v>0</v>
      </c>
      <c r="AQ145" s="305">
        <v>0</v>
      </c>
      <c r="AR145" s="35">
        <v>0</v>
      </c>
      <c r="AS145" s="35">
        <v>0</v>
      </c>
      <c r="AT145" s="35">
        <v>0</v>
      </c>
      <c r="AU145" s="612">
        <f>SUM(AN145+AG145+Y145+G145)</f>
        <v>4540040</v>
      </c>
      <c r="AV145" s="611">
        <f>AM145/$AM$7</f>
        <v>0</v>
      </c>
      <c r="AW145" s="610">
        <f>+'[2]Egresos -2015 '!$AO$144</f>
        <v>750</v>
      </c>
      <c r="AX145" s="609">
        <f t="shared" si="171"/>
        <v>1.4502845620143091E-5</v>
      </c>
      <c r="AY145" s="608">
        <f>+F145/$F$7</f>
        <v>6.9929706292372909E-5</v>
      </c>
      <c r="AZ145" s="606">
        <f>+((645078/6))*12/1000</f>
        <v>1290.1559999999999</v>
      </c>
      <c r="BA145" s="608">
        <f>+AZ145/$AZ$7</f>
        <v>3.5323998269359835E-5</v>
      </c>
      <c r="BB145" s="560">
        <f>+F145-AZ145</f>
        <v>3259.8440000000001</v>
      </c>
      <c r="BC145" s="607">
        <f>+BB145/AZ145</f>
        <v>2.526705297653927</v>
      </c>
      <c r="BD145" s="606">
        <f>867.021</f>
        <v>867.02099999999996</v>
      </c>
      <c r="BE145" s="605">
        <f>+BD145/$BD$7</f>
        <v>1.9969805885946119E-5</v>
      </c>
      <c r="BF145" s="560">
        <f>AZ145-BD145</f>
        <v>423.13499999999999</v>
      </c>
      <c r="BG145" s="604">
        <f>+BF145/BD145</f>
        <v>0.48803316182653017</v>
      </c>
      <c r="BH145" s="555"/>
    </row>
    <row r="146" spans="1:60" ht="15.75" customHeight="1" x14ac:dyDescent="0.3">
      <c r="A146" s="559"/>
      <c r="B146" s="634"/>
      <c r="C146" s="635"/>
      <c r="D146" s="20"/>
      <c r="E146" s="620"/>
      <c r="F146" s="558"/>
      <c r="G146" s="20"/>
      <c r="H146" s="375"/>
      <c r="I146" s="375"/>
      <c r="J146" s="375"/>
      <c r="K146" s="375"/>
      <c r="L146" s="341"/>
      <c r="M146" s="1"/>
      <c r="N146" s="375"/>
      <c r="O146" s="375"/>
      <c r="P146" s="341"/>
      <c r="Q146" s="375"/>
      <c r="R146" s="1"/>
      <c r="S146" s="1"/>
      <c r="T146" s="1"/>
      <c r="U146" s="1"/>
      <c r="V146" s="1"/>
      <c r="W146" s="1"/>
      <c r="X146" s="617"/>
      <c r="Y146" s="8"/>
      <c r="Z146" s="8"/>
      <c r="AA146" s="8"/>
      <c r="AB146" s="8"/>
      <c r="AC146" s="8"/>
      <c r="AD146" s="8"/>
      <c r="AE146" s="615"/>
      <c r="AF146" s="8"/>
      <c r="AG146" s="11"/>
      <c r="AH146" s="309"/>
      <c r="AI146" s="13"/>
      <c r="AJ146" s="13"/>
      <c r="AK146" s="13"/>
      <c r="AL146" s="614"/>
      <c r="AM146" s="614"/>
      <c r="AN146" s="34"/>
      <c r="AO146" s="13"/>
      <c r="AP146" s="115"/>
      <c r="AQ146" s="309"/>
      <c r="AR146" s="13"/>
      <c r="AS146" s="13"/>
      <c r="AT146" s="13"/>
      <c r="AU146" s="612"/>
      <c r="AV146" s="611"/>
      <c r="AW146" s="610"/>
      <c r="AX146" s="609">
        <f t="shared" si="171"/>
        <v>0</v>
      </c>
      <c r="AY146" s="608"/>
      <c r="AZ146" s="606"/>
      <c r="BA146" s="608"/>
      <c r="BB146" s="560"/>
      <c r="BC146" s="607"/>
      <c r="BD146" s="606"/>
      <c r="BE146" s="605"/>
      <c r="BF146" s="560"/>
      <c r="BG146" s="604"/>
      <c r="BH146" s="555"/>
    </row>
    <row r="147" spans="1:60" ht="15.75" customHeight="1" x14ac:dyDescent="0.3">
      <c r="A147" s="562" t="s">
        <v>219</v>
      </c>
      <c r="B147" s="1973" t="s">
        <v>220</v>
      </c>
      <c r="C147" s="1974"/>
      <c r="D147" s="21">
        <f>SUM(D148:D154)</f>
        <v>35737640.890000001</v>
      </c>
      <c r="E147" s="628">
        <f t="shared" ref="E147:E154" si="178">SUM(G147+Y147+AG147+AN147)</f>
        <v>35737640.890000001</v>
      </c>
      <c r="F147" s="561">
        <f>F148+F149+F150+F151+F152+F153+F154</f>
        <v>31300</v>
      </c>
      <c r="G147" s="21">
        <f t="shared" ref="G147:G154" si="179">SUM(H147:W147)</f>
        <v>29627640.890000001</v>
      </c>
      <c r="H147" s="374">
        <f t="shared" ref="H147:W147" si="180">SUM(H148:H154)</f>
        <v>75000</v>
      </c>
      <c r="I147" s="374">
        <f t="shared" si="180"/>
        <v>0</v>
      </c>
      <c r="J147" s="374">
        <f t="shared" si="180"/>
        <v>0</v>
      </c>
      <c r="K147" s="374">
        <f t="shared" si="180"/>
        <v>0</v>
      </c>
      <c r="L147" s="23">
        <f t="shared" si="180"/>
        <v>0</v>
      </c>
      <c r="M147" s="23">
        <f t="shared" si="180"/>
        <v>3244800</v>
      </c>
      <c r="N147" s="374">
        <f t="shared" si="180"/>
        <v>0</v>
      </c>
      <c r="O147" s="374">
        <f t="shared" si="180"/>
        <v>0</v>
      </c>
      <c r="P147" s="23">
        <f t="shared" si="180"/>
        <v>0</v>
      </c>
      <c r="Q147" s="374">
        <f t="shared" si="180"/>
        <v>50000</v>
      </c>
      <c r="R147" s="23">
        <f t="shared" si="180"/>
        <v>150000</v>
      </c>
      <c r="S147" s="23">
        <f t="shared" si="180"/>
        <v>22134840.890000001</v>
      </c>
      <c r="T147" s="23">
        <f t="shared" si="180"/>
        <v>550000</v>
      </c>
      <c r="U147" s="23">
        <f t="shared" si="180"/>
        <v>1248000</v>
      </c>
      <c r="V147" s="23">
        <f t="shared" si="180"/>
        <v>1525000</v>
      </c>
      <c r="W147" s="23">
        <f t="shared" si="180"/>
        <v>650000</v>
      </c>
      <c r="X147" s="350">
        <f>+X148+X149+X150+X151+X152+X153+X154</f>
        <v>22915</v>
      </c>
      <c r="Y147" s="23">
        <f t="shared" ref="Y147:AD147" si="181">SUM(Y148:Y154)</f>
        <v>100000</v>
      </c>
      <c r="Z147" s="23">
        <f t="shared" si="181"/>
        <v>100000</v>
      </c>
      <c r="AA147" s="23">
        <f t="shared" si="181"/>
        <v>0</v>
      </c>
      <c r="AB147" s="23">
        <f t="shared" si="181"/>
        <v>0</v>
      </c>
      <c r="AC147" s="23">
        <f t="shared" si="181"/>
        <v>0</v>
      </c>
      <c r="AD147" s="23">
        <f t="shared" si="181"/>
        <v>0</v>
      </c>
      <c r="AE147" s="615">
        <f t="shared" ref="AE147:AE154" si="182">X147/$X$7*100</f>
        <v>0.44947690993313461</v>
      </c>
      <c r="AF147" s="10">
        <f>+AF151</f>
        <v>80</v>
      </c>
      <c r="AG147" s="2">
        <f>SUM(AG148:AG154)</f>
        <v>1510000</v>
      </c>
      <c r="AH147" s="308">
        <f>SUM(AH148:AH154)</f>
        <v>150000</v>
      </c>
      <c r="AI147" s="33">
        <f>SUM(AI148:AI154)</f>
        <v>660000</v>
      </c>
      <c r="AJ147" s="33">
        <f>SUM(AJ148:AJ154)</f>
        <v>0</v>
      </c>
      <c r="AK147" s="33">
        <f>SUM(AK148:AK154)</f>
        <v>700000</v>
      </c>
      <c r="AL147" s="623">
        <f>(AF147/AF7)*100</f>
        <v>5.5255661133805879E-3</v>
      </c>
      <c r="AM147" s="623">
        <f>+AM148+AM149+AM150+AM151+AM152+AM153+AM154</f>
        <v>0</v>
      </c>
      <c r="AN147" s="34">
        <f t="shared" ref="AN147:AU147" si="183">SUM(AN148:AN154)</f>
        <v>4500000</v>
      </c>
      <c r="AO147" s="33">
        <f t="shared" si="183"/>
        <v>4500000</v>
      </c>
      <c r="AP147" s="34">
        <f t="shared" si="183"/>
        <v>0</v>
      </c>
      <c r="AQ147" s="305">
        <f t="shared" si="183"/>
        <v>0</v>
      </c>
      <c r="AR147" s="35">
        <f t="shared" si="183"/>
        <v>0</v>
      </c>
      <c r="AS147" s="35">
        <f t="shared" si="183"/>
        <v>0</v>
      </c>
      <c r="AT147" s="35">
        <f t="shared" si="183"/>
        <v>0</v>
      </c>
      <c r="AU147" s="622">
        <f t="shared" si="183"/>
        <v>35737640.890000001</v>
      </c>
      <c r="AV147" s="611">
        <f t="shared" ref="AV147:AV154" si="184">AM147/$AM$7</f>
        <v>0</v>
      </c>
      <c r="AW147" s="621">
        <f>+AW148+AW149+AW150+AW151+AW152+AW153+AW154</f>
        <v>4000</v>
      </c>
      <c r="AX147" s="609">
        <f t="shared" si="171"/>
        <v>7.7348509974096486E-5</v>
      </c>
      <c r="AY147" s="608">
        <f t="shared" ref="AY147:AY154" si="185">+F147/$F$7</f>
        <v>4.8105490262665318E-4</v>
      </c>
      <c r="AZ147" s="561">
        <f>AZ148+AZ149+AZ150+AZ151+AZ152+AZ153+AZ154</f>
        <v>22424.258020000001</v>
      </c>
      <c r="BA147" s="608">
        <f t="shared" ref="BA147:BA154" si="186">+AZ147/$AZ$7</f>
        <v>6.1396796316891798E-4</v>
      </c>
      <c r="BB147" s="560">
        <f t="shared" ref="BB147:BB154" si="187">+F147-AZ147</f>
        <v>8875.7419799999989</v>
      </c>
      <c r="BC147" s="607">
        <f>+BB147/AZ147</f>
        <v>0.39580984004392927</v>
      </c>
      <c r="BD147" s="561">
        <f>BD148+BD149+BD150+BD151+BD152+BD153+BD154</f>
        <v>9084.3729999999996</v>
      </c>
      <c r="BE147" s="605">
        <f t="shared" ref="BE147:BE154" si="188">+BD147/$BD$7</f>
        <v>2.0923733727963914E-4</v>
      </c>
      <c r="BF147" s="560">
        <f t="shared" ref="BF147:BF154" si="189">AZ147-BD147</f>
        <v>13339.885020000002</v>
      </c>
      <c r="BG147" s="604">
        <f>+BF147/BD147</f>
        <v>1.4684431187490872</v>
      </c>
      <c r="BH147" s="555"/>
    </row>
    <row r="148" spans="1:60" ht="15.75" customHeight="1" x14ac:dyDescent="0.3">
      <c r="A148" s="559" t="s">
        <v>221</v>
      </c>
      <c r="B148" s="1967" t="s">
        <v>222</v>
      </c>
      <c r="C148" s="1968"/>
      <c r="D148" s="20">
        <f t="shared" ref="D148:D154" si="190">+G148+Y148+AG148+AN148</f>
        <v>12631351.539999999</v>
      </c>
      <c r="E148" s="620">
        <f t="shared" si="178"/>
        <v>12631351.539999999</v>
      </c>
      <c r="F148" s="558">
        <f>2430000/1000</f>
        <v>2430</v>
      </c>
      <c r="G148" s="20">
        <f t="shared" si="179"/>
        <v>12631351.539999999</v>
      </c>
      <c r="H148" s="375"/>
      <c r="I148" s="375"/>
      <c r="J148" s="375"/>
      <c r="K148" s="375"/>
      <c r="L148" s="341"/>
      <c r="M148" s="1"/>
      <c r="N148" s="375"/>
      <c r="O148" s="375"/>
      <c r="P148" s="341"/>
      <c r="Q148" s="375"/>
      <c r="R148" s="1">
        <v>25000</v>
      </c>
      <c r="S148" s="1">
        <v>12298351.539999999</v>
      </c>
      <c r="T148" s="1"/>
      <c r="U148" s="1">
        <v>208000</v>
      </c>
      <c r="V148" s="1">
        <v>50000</v>
      </c>
      <c r="W148" s="1">
        <v>50000</v>
      </c>
      <c r="X148" s="617">
        <f>+'[3]Egresos -2015 '!$Z$147</f>
        <v>2250</v>
      </c>
      <c r="Y148" s="8">
        <f t="shared" ref="Y148:Y154" si="191">SUM(Z148:AD148)</f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642">
        <f t="shared" si="182"/>
        <v>4.4133669969432812E-2</v>
      </c>
      <c r="AF148" s="8">
        <f>Y148/1000</f>
        <v>0</v>
      </c>
      <c r="AG148" s="2">
        <f t="shared" ref="AG148:AG154" si="192">SUM(AH148:AK148)</f>
        <v>0</v>
      </c>
      <c r="AH148" s="636">
        <v>0</v>
      </c>
      <c r="AI148" s="9">
        <v>0</v>
      </c>
      <c r="AJ148" s="9">
        <f>SUM(AJ149:AJ150)</f>
        <v>0</v>
      </c>
      <c r="AK148" s="9">
        <f>SUM(AK149:AK150)</f>
        <v>0</v>
      </c>
      <c r="AL148" s="614"/>
      <c r="AM148" s="614">
        <f>AG148/1000</f>
        <v>0</v>
      </c>
      <c r="AN148" s="30">
        <f t="shared" ref="AN148:AN154" si="193">SUM(AO148+AP148)</f>
        <v>0</v>
      </c>
      <c r="AO148" s="12"/>
      <c r="AP148" s="613">
        <f t="shared" ref="AP148:AP154" si="194">SUM(AQ148:AT148)</f>
        <v>0</v>
      </c>
      <c r="AQ148" s="317"/>
      <c r="AR148" s="12"/>
      <c r="AS148" s="12"/>
      <c r="AT148" s="12"/>
      <c r="AU148" s="612">
        <f t="shared" ref="AU148:AU154" si="195">SUM(AN148+AG148+Y148+G148)</f>
        <v>12631351.539999999</v>
      </c>
      <c r="AV148" s="611">
        <f t="shared" si="184"/>
        <v>0</v>
      </c>
      <c r="AW148" s="610">
        <f>AN148/1000</f>
        <v>0</v>
      </c>
      <c r="AX148" s="609">
        <f t="shared" si="171"/>
        <v>0</v>
      </c>
      <c r="AY148" s="608">
        <f t="shared" si="185"/>
        <v>3.734707390999256E-5</v>
      </c>
      <c r="AZ148" s="606">
        <f>+((103699.53/6))*12/1000</f>
        <v>207.39905999999999</v>
      </c>
      <c r="BA148" s="608">
        <f t="shared" si="186"/>
        <v>5.6785102239627278E-6</v>
      </c>
      <c r="BB148" s="560">
        <f t="shared" si="187"/>
        <v>2222.6009399999998</v>
      </c>
      <c r="BC148" s="607">
        <f>+BB148/AZ148</f>
        <v>10.716542977581479</v>
      </c>
      <c r="BD148" s="606">
        <f>250.378</f>
        <v>250.37799999999999</v>
      </c>
      <c r="BE148" s="605">
        <f t="shared" si="188"/>
        <v>5.7668730724070319E-6</v>
      </c>
      <c r="BF148" s="560">
        <f t="shared" si="189"/>
        <v>-42.978939999999994</v>
      </c>
      <c r="BG148" s="604">
        <f>+BF148/BD148</f>
        <v>-0.17165621580170781</v>
      </c>
      <c r="BH148" s="555"/>
    </row>
    <row r="149" spans="1:60" ht="15.75" customHeight="1" x14ac:dyDescent="0.3">
      <c r="A149" s="559" t="s">
        <v>223</v>
      </c>
      <c r="B149" s="1967" t="s">
        <v>224</v>
      </c>
      <c r="C149" s="1968"/>
      <c r="D149" s="20">
        <f t="shared" si="190"/>
        <v>1115000</v>
      </c>
      <c r="E149" s="620">
        <f t="shared" si="178"/>
        <v>1115000</v>
      </c>
      <c r="F149" s="558">
        <f>1000000/1000</f>
        <v>1000</v>
      </c>
      <c r="G149" s="20">
        <f t="shared" si="179"/>
        <v>1115000</v>
      </c>
      <c r="H149" s="375"/>
      <c r="I149" s="375"/>
      <c r="J149" s="375"/>
      <c r="K149" s="375"/>
      <c r="L149" s="341"/>
      <c r="M149" s="1"/>
      <c r="N149" s="375"/>
      <c r="O149" s="375"/>
      <c r="P149" s="341"/>
      <c r="Q149" s="375"/>
      <c r="R149" s="1">
        <v>25000</v>
      </c>
      <c r="S149" s="1">
        <v>1040000</v>
      </c>
      <c r="T149" s="1"/>
      <c r="U149" s="1"/>
      <c r="V149" s="1"/>
      <c r="W149" s="1">
        <v>50000</v>
      </c>
      <c r="X149" s="617">
        <f>+'[3]Egresos -2015 '!$Z$148</f>
        <v>350</v>
      </c>
      <c r="Y149" s="8">
        <f t="shared" si="191"/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642">
        <f t="shared" si="182"/>
        <v>6.86523755080066E-3</v>
      </c>
      <c r="AF149" s="8">
        <f>Y149/1000</f>
        <v>0</v>
      </c>
      <c r="AG149" s="2">
        <f t="shared" si="192"/>
        <v>0</v>
      </c>
      <c r="AH149" s="309">
        <v>0</v>
      </c>
      <c r="AI149" s="13">
        <v>0</v>
      </c>
      <c r="AJ149" s="13">
        <v>0</v>
      </c>
      <c r="AK149" s="13">
        <v>0</v>
      </c>
      <c r="AL149" s="614"/>
      <c r="AM149" s="614">
        <v>0</v>
      </c>
      <c r="AN149" s="30">
        <f t="shared" si="193"/>
        <v>0</v>
      </c>
      <c r="AO149" s="13"/>
      <c r="AP149" s="613">
        <f t="shared" si="194"/>
        <v>0</v>
      </c>
      <c r="AQ149" s="309"/>
      <c r="AR149" s="13"/>
      <c r="AS149" s="13"/>
      <c r="AT149" s="13"/>
      <c r="AU149" s="612">
        <f t="shared" si="195"/>
        <v>1115000</v>
      </c>
      <c r="AV149" s="611">
        <f t="shared" si="184"/>
        <v>0</v>
      </c>
      <c r="AW149" s="610">
        <f>AN149/1000</f>
        <v>0</v>
      </c>
      <c r="AX149" s="609">
        <f t="shared" si="171"/>
        <v>0</v>
      </c>
      <c r="AY149" s="608">
        <f t="shared" si="185"/>
        <v>1.5369166218103935E-5</v>
      </c>
      <c r="AZ149" s="606">
        <f>+((18194/6))*12/1000</f>
        <v>36.387999999999998</v>
      </c>
      <c r="BA149" s="608">
        <f t="shared" si="186"/>
        <v>9.9629009904652294E-7</v>
      </c>
      <c r="BB149" s="560">
        <f t="shared" si="187"/>
        <v>963.61199999999997</v>
      </c>
      <c r="BC149" s="607">
        <v>0</v>
      </c>
      <c r="BD149" s="606">
        <v>34.518999999999998</v>
      </c>
      <c r="BE149" s="605">
        <f t="shared" si="188"/>
        <v>7.9506462862718907E-7</v>
      </c>
      <c r="BF149" s="560">
        <f t="shared" si="189"/>
        <v>1.8689999999999998</v>
      </c>
      <c r="BG149" s="604">
        <v>0</v>
      </c>
      <c r="BH149" s="555"/>
    </row>
    <row r="150" spans="1:60" ht="15.75" customHeight="1" x14ac:dyDescent="0.3">
      <c r="A150" s="559" t="s">
        <v>225</v>
      </c>
      <c r="B150" s="1967" t="s">
        <v>226</v>
      </c>
      <c r="C150" s="1968"/>
      <c r="D150" s="20">
        <f t="shared" si="190"/>
        <v>3173547.1</v>
      </c>
      <c r="E150" s="620">
        <f t="shared" si="178"/>
        <v>3173547.1</v>
      </c>
      <c r="F150" s="558">
        <f>3260000/1000</f>
        <v>3260</v>
      </c>
      <c r="G150" s="20">
        <f t="shared" si="179"/>
        <v>3173547.1</v>
      </c>
      <c r="H150" s="375"/>
      <c r="I150" s="375"/>
      <c r="J150" s="375"/>
      <c r="K150" s="375"/>
      <c r="L150" s="341"/>
      <c r="M150" s="1"/>
      <c r="N150" s="375"/>
      <c r="O150" s="375"/>
      <c r="P150" s="341"/>
      <c r="Q150" s="375"/>
      <c r="R150" s="1">
        <v>25000</v>
      </c>
      <c r="S150" s="1">
        <v>2848547.1</v>
      </c>
      <c r="T150" s="1">
        <v>50000</v>
      </c>
      <c r="U150" s="1"/>
      <c r="V150" s="1">
        <v>50000</v>
      </c>
      <c r="W150" s="1">
        <v>200000</v>
      </c>
      <c r="X150" s="617">
        <f>+'[3]Egresos -2015 '!$Z$149</f>
        <v>2800</v>
      </c>
      <c r="Y150" s="8">
        <f t="shared" si="191"/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642">
        <f t="shared" si="182"/>
        <v>5.492190040640528E-2</v>
      </c>
      <c r="AF150" s="8">
        <f>Y150/1000</f>
        <v>0</v>
      </c>
      <c r="AG150" s="2">
        <f t="shared" si="192"/>
        <v>0</v>
      </c>
      <c r="AH150" s="309">
        <v>0</v>
      </c>
      <c r="AI150" s="13">
        <v>0</v>
      </c>
      <c r="AJ150" s="13">
        <v>0</v>
      </c>
      <c r="AK150" s="13">
        <v>0</v>
      </c>
      <c r="AL150" s="614"/>
      <c r="AM150" s="614">
        <v>0</v>
      </c>
      <c r="AN150" s="30">
        <f t="shared" si="193"/>
        <v>0</v>
      </c>
      <c r="AO150" s="13"/>
      <c r="AP150" s="613">
        <f t="shared" si="194"/>
        <v>0</v>
      </c>
      <c r="AQ150" s="309"/>
      <c r="AR150" s="13"/>
      <c r="AS150" s="13"/>
      <c r="AT150" s="13"/>
      <c r="AU150" s="612">
        <f t="shared" si="195"/>
        <v>3173547.1</v>
      </c>
      <c r="AV150" s="611">
        <f t="shared" si="184"/>
        <v>0</v>
      </c>
      <c r="AW150" s="610">
        <f>AN150/1000</f>
        <v>0</v>
      </c>
      <c r="AX150" s="609">
        <f t="shared" si="171"/>
        <v>0</v>
      </c>
      <c r="AY150" s="608">
        <f t="shared" si="185"/>
        <v>5.0103481871018827E-5</v>
      </c>
      <c r="AZ150" s="606">
        <f>+((5406.98/6))*12/1000</f>
        <v>10.81396</v>
      </c>
      <c r="BA150" s="608">
        <f t="shared" si="186"/>
        <v>2.9608226007159327E-7</v>
      </c>
      <c r="BB150" s="560">
        <f t="shared" si="187"/>
        <v>3249.18604</v>
      </c>
      <c r="BC150" s="607">
        <v>0</v>
      </c>
      <c r="BD150" s="606">
        <v>1310</v>
      </c>
      <c r="BE150" s="605">
        <f t="shared" si="188"/>
        <v>3.0172793635436071E-5</v>
      </c>
      <c r="BF150" s="560">
        <f t="shared" si="189"/>
        <v>-1299.18604</v>
      </c>
      <c r="BG150" s="604">
        <f>+BF150/BD150</f>
        <v>-0.99174506870229007</v>
      </c>
      <c r="BH150" s="555"/>
    </row>
    <row r="151" spans="1:60" ht="15.75" customHeight="1" x14ac:dyDescent="0.3">
      <c r="A151" s="697" t="s">
        <v>227</v>
      </c>
      <c r="B151" s="1967" t="s">
        <v>228</v>
      </c>
      <c r="C151" s="1968"/>
      <c r="D151" s="20">
        <f t="shared" si="190"/>
        <v>13442068.24</v>
      </c>
      <c r="E151" s="620">
        <f t="shared" si="178"/>
        <v>13442068.24</v>
      </c>
      <c r="F151" s="558">
        <f>21425000/1000</f>
        <v>21425</v>
      </c>
      <c r="G151" s="20">
        <f t="shared" si="179"/>
        <v>9042068.2400000002</v>
      </c>
      <c r="H151" s="375">
        <v>25000</v>
      </c>
      <c r="I151" s="375">
        <v>0</v>
      </c>
      <c r="J151" s="375">
        <v>0</v>
      </c>
      <c r="K151" s="375">
        <v>0</v>
      </c>
      <c r="L151" s="341" t="s">
        <v>0</v>
      </c>
      <c r="M151" s="1">
        <v>2704000</v>
      </c>
      <c r="N151" s="375"/>
      <c r="O151" s="375"/>
      <c r="P151" s="341"/>
      <c r="Q151" s="375">
        <v>50000</v>
      </c>
      <c r="R151" s="1">
        <v>25000</v>
      </c>
      <c r="S151" s="1">
        <v>4198068.24</v>
      </c>
      <c r="T151" s="1">
        <v>400000</v>
      </c>
      <c r="U151" s="1">
        <v>1040000</v>
      </c>
      <c r="V151" s="1">
        <v>400000</v>
      </c>
      <c r="W151" s="1">
        <v>200000</v>
      </c>
      <c r="X151" s="617">
        <f>+'[3]Egresos -2015 '!$Z$150</f>
        <v>12940</v>
      </c>
      <c r="Y151" s="8">
        <f t="shared" si="191"/>
        <v>100000</v>
      </c>
      <c r="Z151" s="1">
        <v>100000</v>
      </c>
      <c r="AA151" s="1"/>
      <c r="AB151" s="1"/>
      <c r="AC151" s="1"/>
      <c r="AD151" s="1"/>
      <c r="AE151" s="642">
        <f t="shared" si="182"/>
        <v>0.25381763973531585</v>
      </c>
      <c r="AF151" s="8">
        <v>80</v>
      </c>
      <c r="AG151" s="2">
        <f t="shared" si="192"/>
        <v>800000</v>
      </c>
      <c r="AH151" s="309">
        <v>100000</v>
      </c>
      <c r="AI151" s="13">
        <v>500000</v>
      </c>
      <c r="AJ151" s="13"/>
      <c r="AK151" s="13">
        <v>200000</v>
      </c>
      <c r="AL151" s="614">
        <f>(AF151/AF7)*100</f>
        <v>5.5255661133805879E-3</v>
      </c>
      <c r="AM151" s="614">
        <v>0</v>
      </c>
      <c r="AN151" s="30">
        <f t="shared" si="193"/>
        <v>3500000</v>
      </c>
      <c r="AO151" s="13">
        <v>3500000</v>
      </c>
      <c r="AP151" s="613">
        <f t="shared" si="194"/>
        <v>0</v>
      </c>
      <c r="AQ151" s="309"/>
      <c r="AR151" s="13"/>
      <c r="AS151" s="13"/>
      <c r="AT151" s="13"/>
      <c r="AU151" s="612">
        <f t="shared" si="195"/>
        <v>13442068.24</v>
      </c>
      <c r="AV151" s="611">
        <f t="shared" si="184"/>
        <v>0</v>
      </c>
      <c r="AW151" s="610">
        <f>+'[2]Egresos -2015 '!$AO$150</f>
        <v>3000</v>
      </c>
      <c r="AX151" s="609">
        <f t="shared" si="171"/>
        <v>5.8011382480572365E-5</v>
      </c>
      <c r="AY151" s="608">
        <f t="shared" si="185"/>
        <v>3.2928438622287681E-4</v>
      </c>
      <c r="AZ151" s="606">
        <f>+(((2742690.77+7050074.44)/6))*12/1000</f>
        <v>19585.530420000003</v>
      </c>
      <c r="BA151" s="608">
        <f t="shared" si="186"/>
        <v>5.362446422452591E-4</v>
      </c>
      <c r="BB151" s="560">
        <f t="shared" si="187"/>
        <v>1839.4695799999972</v>
      </c>
      <c r="BC151" s="607">
        <f>+BB151/AZ151</f>
        <v>9.3919824510935918E-2</v>
      </c>
      <c r="BD151" s="606">
        <v>6990.8639999999996</v>
      </c>
      <c r="BE151" s="605">
        <f t="shared" si="188"/>
        <v>1.6101824183618256E-4</v>
      </c>
      <c r="BF151" s="560">
        <f t="shared" si="189"/>
        <v>12594.666420000003</v>
      </c>
      <c r="BG151" s="604">
        <f>+BF151/BD151</f>
        <v>1.801589391525855</v>
      </c>
      <c r="BH151" s="555"/>
    </row>
    <row r="152" spans="1:60" ht="15.75" customHeight="1" x14ac:dyDescent="0.3">
      <c r="A152" s="559" t="s">
        <v>229</v>
      </c>
      <c r="B152" s="1967" t="s">
        <v>230</v>
      </c>
      <c r="C152" s="1968"/>
      <c r="D152" s="20">
        <f t="shared" si="190"/>
        <v>1799800</v>
      </c>
      <c r="E152" s="620">
        <f t="shared" si="178"/>
        <v>1799800</v>
      </c>
      <c r="F152" s="558">
        <f>1000000/1000</f>
        <v>1000</v>
      </c>
      <c r="G152" s="20">
        <f t="shared" si="179"/>
        <v>1799800</v>
      </c>
      <c r="H152" s="375">
        <v>30000</v>
      </c>
      <c r="I152" s="375"/>
      <c r="J152" s="375"/>
      <c r="K152" s="375"/>
      <c r="L152" s="341"/>
      <c r="M152" s="1">
        <v>540800</v>
      </c>
      <c r="N152" s="375"/>
      <c r="O152" s="375"/>
      <c r="P152" s="341"/>
      <c r="Q152" s="375"/>
      <c r="R152" s="1">
        <v>25000</v>
      </c>
      <c r="S152" s="1">
        <v>104000</v>
      </c>
      <c r="T152" s="1">
        <v>50000</v>
      </c>
      <c r="U152" s="1"/>
      <c r="V152" s="1">
        <v>1000000</v>
      </c>
      <c r="W152" s="1">
        <v>50000</v>
      </c>
      <c r="X152" s="617">
        <f>+'[3]Egresos -2015 '!$Z$151</f>
        <v>2400</v>
      </c>
      <c r="Y152" s="8">
        <f t="shared" si="191"/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642">
        <f t="shared" si="182"/>
        <v>4.7075914634061668E-2</v>
      </c>
      <c r="AF152" s="8">
        <f>Y152/1000</f>
        <v>0</v>
      </c>
      <c r="AG152" s="2">
        <f t="shared" si="192"/>
        <v>0</v>
      </c>
      <c r="AH152" s="309"/>
      <c r="AI152" s="13"/>
      <c r="AJ152" s="13"/>
      <c r="AK152" s="13"/>
      <c r="AL152" s="614"/>
      <c r="AM152" s="614">
        <v>0</v>
      </c>
      <c r="AN152" s="30">
        <f t="shared" si="193"/>
        <v>0</v>
      </c>
      <c r="AO152" s="13"/>
      <c r="AP152" s="613">
        <f t="shared" si="194"/>
        <v>0</v>
      </c>
      <c r="AQ152" s="309"/>
      <c r="AR152" s="13"/>
      <c r="AS152" s="13"/>
      <c r="AT152" s="13"/>
      <c r="AU152" s="612">
        <f t="shared" si="195"/>
        <v>1799800</v>
      </c>
      <c r="AV152" s="611">
        <f t="shared" si="184"/>
        <v>0</v>
      </c>
      <c r="AW152" s="610">
        <f>AN152/1000</f>
        <v>0</v>
      </c>
      <c r="AX152" s="609">
        <f t="shared" si="171"/>
        <v>0</v>
      </c>
      <c r="AY152" s="608">
        <f t="shared" si="185"/>
        <v>1.5369166218103935E-5</v>
      </c>
      <c r="AZ152" s="606">
        <f>+((0/6))*12/1000</f>
        <v>0</v>
      </c>
      <c r="BA152" s="608">
        <f t="shared" si="186"/>
        <v>0</v>
      </c>
      <c r="BB152" s="560">
        <f t="shared" si="187"/>
        <v>1000</v>
      </c>
      <c r="BC152" s="607">
        <v>0</v>
      </c>
      <c r="BD152" s="606">
        <v>0</v>
      </c>
      <c r="BE152" s="605">
        <f t="shared" si="188"/>
        <v>0</v>
      </c>
      <c r="BF152" s="560">
        <f t="shared" si="189"/>
        <v>0</v>
      </c>
      <c r="BG152" s="604">
        <v>0</v>
      </c>
      <c r="BH152" s="555"/>
    </row>
    <row r="153" spans="1:60" ht="15.75" customHeight="1" x14ac:dyDescent="0.3">
      <c r="A153" s="559" t="s">
        <v>231</v>
      </c>
      <c r="B153" s="1967" t="s">
        <v>232</v>
      </c>
      <c r="C153" s="1968"/>
      <c r="D153" s="20">
        <f t="shared" si="190"/>
        <v>1045351.25</v>
      </c>
      <c r="E153" s="620">
        <f t="shared" si="178"/>
        <v>1045351.25</v>
      </c>
      <c r="F153" s="558">
        <f>735000/1000</f>
        <v>735</v>
      </c>
      <c r="G153" s="20">
        <f t="shared" si="179"/>
        <v>1045351.25</v>
      </c>
      <c r="H153" s="375"/>
      <c r="I153" s="375"/>
      <c r="J153" s="375"/>
      <c r="K153" s="375"/>
      <c r="L153" s="341"/>
      <c r="M153" s="1"/>
      <c r="N153" s="375"/>
      <c r="O153" s="375"/>
      <c r="P153" s="341"/>
      <c r="Q153" s="375"/>
      <c r="R153" s="1">
        <v>25000</v>
      </c>
      <c r="S153" s="1">
        <v>895351.25</v>
      </c>
      <c r="T153" s="1">
        <v>50000</v>
      </c>
      <c r="U153" s="1"/>
      <c r="V153" s="1">
        <v>25000</v>
      </c>
      <c r="W153" s="1">
        <v>50000</v>
      </c>
      <c r="X153" s="617">
        <f>+'[3]Egresos -2015 '!$Z$152</f>
        <v>700</v>
      </c>
      <c r="Y153" s="8">
        <f t="shared" si="191"/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642">
        <f t="shared" si="182"/>
        <v>1.373047510160132E-2</v>
      </c>
      <c r="AF153" s="8">
        <f>Y153/1000</f>
        <v>0</v>
      </c>
      <c r="AG153" s="2">
        <f t="shared" si="192"/>
        <v>0</v>
      </c>
      <c r="AH153" s="636">
        <v>0</v>
      </c>
      <c r="AI153" s="9">
        <v>0</v>
      </c>
      <c r="AJ153" s="9">
        <v>0</v>
      </c>
      <c r="AK153" s="9">
        <v>0</v>
      </c>
      <c r="AL153" s="614"/>
      <c r="AM153" s="614">
        <v>0</v>
      </c>
      <c r="AN153" s="30">
        <f t="shared" si="193"/>
        <v>0</v>
      </c>
      <c r="AO153" s="12"/>
      <c r="AP153" s="613">
        <f t="shared" si="194"/>
        <v>0</v>
      </c>
      <c r="AQ153" s="317"/>
      <c r="AR153" s="12"/>
      <c r="AS153" s="12"/>
      <c r="AT153" s="12"/>
      <c r="AU153" s="612">
        <f t="shared" si="195"/>
        <v>1045351.25</v>
      </c>
      <c r="AV153" s="611">
        <f t="shared" si="184"/>
        <v>0</v>
      </c>
      <c r="AW153" s="610">
        <f>AN153/1000</f>
        <v>0</v>
      </c>
      <c r="AX153" s="609">
        <f t="shared" si="171"/>
        <v>0</v>
      </c>
      <c r="AY153" s="608">
        <f t="shared" si="185"/>
        <v>1.1296337170306393E-5</v>
      </c>
      <c r="AZ153" s="606">
        <f>+((110989.7/6))*12/1000</f>
        <v>221.9794</v>
      </c>
      <c r="BA153" s="608">
        <f t="shared" si="186"/>
        <v>6.0777145875642442E-6</v>
      </c>
      <c r="BB153" s="560">
        <f t="shared" si="187"/>
        <v>513.02060000000006</v>
      </c>
      <c r="BC153" s="607">
        <f>+BB153/AZ153</f>
        <v>2.3111180587027449</v>
      </c>
      <c r="BD153" s="606">
        <v>320.12799999999999</v>
      </c>
      <c r="BE153" s="605">
        <f t="shared" si="188"/>
        <v>7.3734015884922734E-6</v>
      </c>
      <c r="BF153" s="560">
        <f t="shared" si="189"/>
        <v>-98.148599999999988</v>
      </c>
      <c r="BG153" s="604">
        <f>+BF153/BD153</f>
        <v>-0.30659173830467812</v>
      </c>
      <c r="BH153" s="555"/>
    </row>
    <row r="154" spans="1:60" ht="15.75" customHeight="1" x14ac:dyDescent="0.3">
      <c r="A154" s="559" t="s">
        <v>233</v>
      </c>
      <c r="B154" s="1967" t="s">
        <v>234</v>
      </c>
      <c r="C154" s="1968"/>
      <c r="D154" s="20">
        <f t="shared" si="190"/>
        <v>2530522.7599999998</v>
      </c>
      <c r="E154" s="620">
        <f t="shared" si="178"/>
        <v>2530522.7599999998</v>
      </c>
      <c r="F154" s="558">
        <f>1450000/1000</f>
        <v>1450</v>
      </c>
      <c r="G154" s="20">
        <f t="shared" si="179"/>
        <v>820522.76</v>
      </c>
      <c r="H154" s="375">
        <v>20000</v>
      </c>
      <c r="I154" s="375"/>
      <c r="J154" s="375"/>
      <c r="K154" s="375"/>
      <c r="L154" s="341"/>
      <c r="M154" s="1"/>
      <c r="N154" s="375"/>
      <c r="O154" s="375"/>
      <c r="P154" s="341"/>
      <c r="Q154" s="375"/>
      <c r="R154" s="1"/>
      <c r="S154" s="1">
        <v>750522.76</v>
      </c>
      <c r="T154" s="1"/>
      <c r="U154" s="1"/>
      <c r="V154" s="1"/>
      <c r="W154" s="1">
        <v>50000</v>
      </c>
      <c r="X154" s="617">
        <f>+'[3]Egresos -2015 '!$Z$153</f>
        <v>1475</v>
      </c>
      <c r="Y154" s="8">
        <f t="shared" si="191"/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642">
        <f t="shared" si="182"/>
        <v>2.8932072535517064E-2</v>
      </c>
      <c r="AF154" s="8">
        <f>Y154/1000</f>
        <v>0</v>
      </c>
      <c r="AG154" s="2">
        <f t="shared" si="192"/>
        <v>710000</v>
      </c>
      <c r="AH154" s="699">
        <v>50000</v>
      </c>
      <c r="AI154" s="698">
        <v>160000</v>
      </c>
      <c r="AJ154" s="698"/>
      <c r="AK154" s="698">
        <v>500000</v>
      </c>
      <c r="AL154" s="614"/>
      <c r="AM154" s="614">
        <v>0</v>
      </c>
      <c r="AN154" s="30">
        <f t="shared" si="193"/>
        <v>1000000</v>
      </c>
      <c r="AO154" s="698">
        <v>1000000</v>
      </c>
      <c r="AP154" s="613">
        <f t="shared" si="194"/>
        <v>0</v>
      </c>
      <c r="AQ154" s="699"/>
      <c r="AR154" s="698"/>
      <c r="AS154" s="698"/>
      <c r="AT154" s="698"/>
      <c r="AU154" s="612">
        <f t="shared" si="195"/>
        <v>2530522.7599999998</v>
      </c>
      <c r="AV154" s="611">
        <f t="shared" si="184"/>
        <v>0</v>
      </c>
      <c r="AW154" s="610">
        <f>AN154/1000</f>
        <v>1000</v>
      </c>
      <c r="AX154" s="609">
        <f t="shared" si="171"/>
        <v>1.9337127493524122E-5</v>
      </c>
      <c r="AY154" s="608">
        <f t="shared" si="185"/>
        <v>2.2285291016250707E-5</v>
      </c>
      <c r="AZ154" s="606">
        <f>+((1181073.59/6))*12/1000</f>
        <v>2362.1471800000004</v>
      </c>
      <c r="BA154" s="608">
        <f t="shared" si="186"/>
        <v>6.4674723753013776E-5</v>
      </c>
      <c r="BB154" s="560">
        <f t="shared" si="187"/>
        <v>-912.14718000000039</v>
      </c>
      <c r="BC154" s="607">
        <f>+BB154/AZ154</f>
        <v>-0.38615171303593376</v>
      </c>
      <c r="BD154" s="606">
        <v>178.48400000000001</v>
      </c>
      <c r="BE154" s="605">
        <f t="shared" si="188"/>
        <v>4.1109625184940242E-6</v>
      </c>
      <c r="BF154" s="560">
        <f t="shared" si="189"/>
        <v>2183.6631800000005</v>
      </c>
      <c r="BG154" s="604">
        <f>+BF154/BD154</f>
        <v>12.234503821070799</v>
      </c>
      <c r="BH154" s="555"/>
    </row>
    <row r="155" spans="1:60" ht="15.75" customHeight="1" x14ac:dyDescent="0.3">
      <c r="A155" s="559"/>
      <c r="B155" s="634"/>
      <c r="C155" s="635"/>
      <c r="D155" s="20"/>
      <c r="E155" s="620"/>
      <c r="F155" s="558"/>
      <c r="G155" s="20"/>
      <c r="H155" s="375"/>
      <c r="I155" s="375"/>
      <c r="J155" s="375"/>
      <c r="K155" s="375"/>
      <c r="L155" s="341"/>
      <c r="M155" s="1"/>
      <c r="N155" s="375"/>
      <c r="O155" s="375"/>
      <c r="P155" s="341"/>
      <c r="Q155" s="375"/>
      <c r="R155" s="1"/>
      <c r="S155" s="1"/>
      <c r="T155" s="1"/>
      <c r="U155" s="1"/>
      <c r="V155" s="1"/>
      <c r="W155" s="1"/>
      <c r="X155" s="617"/>
      <c r="Y155" s="1"/>
      <c r="Z155" s="1"/>
      <c r="AA155" s="1"/>
      <c r="AB155" s="1"/>
      <c r="AC155" s="1"/>
      <c r="AD155" s="1"/>
      <c r="AE155" s="642"/>
      <c r="AF155" s="8"/>
      <c r="AG155" s="2"/>
      <c r="AH155" s="730"/>
      <c r="AI155" s="5"/>
      <c r="AJ155" s="698"/>
      <c r="AK155" s="698"/>
      <c r="AL155" s="614"/>
      <c r="AM155" s="614"/>
      <c r="AN155" s="34"/>
      <c r="AO155" s="698"/>
      <c r="AP155" s="706"/>
      <c r="AQ155" s="699"/>
      <c r="AR155" s="698"/>
      <c r="AS155" s="698"/>
      <c r="AT155" s="698"/>
      <c r="AU155" s="612"/>
      <c r="AV155" s="611"/>
      <c r="AW155" s="610"/>
      <c r="AX155" s="609"/>
      <c r="AY155" s="608"/>
      <c r="AZ155" s="561"/>
      <c r="BA155" s="608"/>
      <c r="BB155" s="560"/>
      <c r="BC155" s="607"/>
      <c r="BD155" s="606"/>
      <c r="BE155" s="605"/>
      <c r="BF155" s="560"/>
      <c r="BG155" s="604"/>
      <c r="BH155" s="555"/>
    </row>
    <row r="156" spans="1:60" ht="15.75" customHeight="1" x14ac:dyDescent="0.3">
      <c r="A156" s="562" t="s">
        <v>235</v>
      </c>
      <c r="B156" s="1973" t="s">
        <v>236</v>
      </c>
      <c r="C156" s="1974"/>
      <c r="D156" s="21">
        <f>SUM(D157:D158)</f>
        <v>9523624.9900000002</v>
      </c>
      <c r="E156" s="628">
        <f>SUM(G156+Y156+AG156+AN156)</f>
        <v>9523624.9900000002</v>
      </c>
      <c r="F156" s="561">
        <f>F157+F158</f>
        <v>5895</v>
      </c>
      <c r="G156" s="21">
        <f>SUM(H156:W156)</f>
        <v>7873624.9900000002</v>
      </c>
      <c r="H156" s="374">
        <f t="shared" ref="H156:W156" si="196">SUM(H157:H158)</f>
        <v>0</v>
      </c>
      <c r="I156" s="374">
        <f t="shared" si="196"/>
        <v>100000</v>
      </c>
      <c r="J156" s="374">
        <f t="shared" si="196"/>
        <v>50000</v>
      </c>
      <c r="K156" s="374">
        <f t="shared" si="196"/>
        <v>0</v>
      </c>
      <c r="L156" s="23">
        <f t="shared" si="196"/>
        <v>0</v>
      </c>
      <c r="M156" s="23">
        <f t="shared" si="196"/>
        <v>241280</v>
      </c>
      <c r="N156" s="374">
        <f t="shared" si="196"/>
        <v>0</v>
      </c>
      <c r="O156" s="374">
        <f t="shared" si="196"/>
        <v>0</v>
      </c>
      <c r="P156" s="23">
        <f t="shared" si="196"/>
        <v>0</v>
      </c>
      <c r="Q156" s="374">
        <f t="shared" si="196"/>
        <v>50000</v>
      </c>
      <c r="R156" s="23">
        <f t="shared" si="196"/>
        <v>50000</v>
      </c>
      <c r="S156" s="23">
        <f t="shared" si="196"/>
        <v>6232344.9900000002</v>
      </c>
      <c r="T156" s="23">
        <f t="shared" si="196"/>
        <v>250000</v>
      </c>
      <c r="U156" s="23">
        <f t="shared" si="196"/>
        <v>0</v>
      </c>
      <c r="V156" s="23">
        <f t="shared" si="196"/>
        <v>300000</v>
      </c>
      <c r="W156" s="23">
        <f t="shared" si="196"/>
        <v>600000</v>
      </c>
      <c r="X156" s="350">
        <f>+X157+X158</f>
        <v>6190</v>
      </c>
      <c r="Y156" s="23">
        <f t="shared" ref="Y156:AD156" si="197">SUM(Y157:Y158)</f>
        <v>300000</v>
      </c>
      <c r="Z156" s="23">
        <f t="shared" si="197"/>
        <v>200000</v>
      </c>
      <c r="AA156" s="23">
        <f t="shared" si="197"/>
        <v>100000</v>
      </c>
      <c r="AB156" s="23">
        <f t="shared" si="197"/>
        <v>0</v>
      </c>
      <c r="AC156" s="23">
        <f t="shared" si="197"/>
        <v>0</v>
      </c>
      <c r="AD156" s="23">
        <f t="shared" si="197"/>
        <v>0</v>
      </c>
      <c r="AE156" s="615">
        <f>X156/$X$7*100</f>
        <v>0.12141662982701738</v>
      </c>
      <c r="AF156" s="10">
        <f>+AF157+AF158</f>
        <v>240</v>
      </c>
      <c r="AG156" s="2">
        <f>SUM(AG157:AG158)</f>
        <v>200000</v>
      </c>
      <c r="AH156" s="709">
        <f>SUM(AH157:AH158)</f>
        <v>0</v>
      </c>
      <c r="AI156" s="708">
        <f>SUM(AI157:AI158)</f>
        <v>0</v>
      </c>
      <c r="AJ156" s="33">
        <f>SUM(AJ157:AJ158)</f>
        <v>0</v>
      </c>
      <c r="AK156" s="33">
        <f>SUM(AK157:AK158)</f>
        <v>200000</v>
      </c>
      <c r="AL156" s="623">
        <f>(AF156/AF7)*100</f>
        <v>1.6576698340141763E-2</v>
      </c>
      <c r="AM156" s="623">
        <v>0</v>
      </c>
      <c r="AN156" s="34">
        <f t="shared" ref="AN156:AU156" si="198">SUM(AN157:AN158)</f>
        <v>1150000</v>
      </c>
      <c r="AO156" s="35">
        <f t="shared" si="198"/>
        <v>1150000</v>
      </c>
      <c r="AP156" s="34">
        <f t="shared" si="198"/>
        <v>0</v>
      </c>
      <c r="AQ156" s="305">
        <f t="shared" si="198"/>
        <v>0</v>
      </c>
      <c r="AR156" s="35">
        <f t="shared" si="198"/>
        <v>0</v>
      </c>
      <c r="AS156" s="35">
        <f t="shared" si="198"/>
        <v>0</v>
      </c>
      <c r="AT156" s="35">
        <f t="shared" si="198"/>
        <v>0</v>
      </c>
      <c r="AU156" s="622">
        <f t="shared" si="198"/>
        <v>9523624.9900000002</v>
      </c>
      <c r="AV156" s="611">
        <f>AM156/$AM$7</f>
        <v>0</v>
      </c>
      <c r="AW156" s="621">
        <v>0</v>
      </c>
      <c r="AX156" s="609">
        <f>AW156/$AW$7</f>
        <v>0</v>
      </c>
      <c r="AY156" s="608">
        <f>+F156/$F$7</f>
        <v>9.0601234855722701E-5</v>
      </c>
      <c r="AZ156" s="561">
        <f>AZ157+AZ158</f>
        <v>1391.1727000000001</v>
      </c>
      <c r="BA156" s="608">
        <f>+AZ156/$AZ$7</f>
        <v>3.8089798479548716E-5</v>
      </c>
      <c r="BB156" s="560">
        <f>+F156-AZ156</f>
        <v>4503.8272999999999</v>
      </c>
      <c r="BC156" s="607">
        <f>+BB156/AZ156</f>
        <v>3.2374322037803069</v>
      </c>
      <c r="BD156" s="561">
        <f>BD157+BD158</f>
        <v>4188.192</v>
      </c>
      <c r="BE156" s="605">
        <f>+BD156/$BD$7</f>
        <v>9.6465231237850583E-5</v>
      </c>
      <c r="BF156" s="560">
        <f>AZ156-BD156</f>
        <v>-2797.0192999999999</v>
      </c>
      <c r="BG156" s="604">
        <f>+BF156/BD156</f>
        <v>-0.6678345453121538</v>
      </c>
      <c r="BH156" s="555"/>
    </row>
    <row r="157" spans="1:60" ht="15.75" customHeight="1" x14ac:dyDescent="0.3">
      <c r="A157" s="559" t="s">
        <v>237</v>
      </c>
      <c r="B157" s="1967" t="s">
        <v>238</v>
      </c>
      <c r="C157" s="1968"/>
      <c r="D157" s="20">
        <f>+G157+Y157+AG157+AN157</f>
        <v>1883917.45</v>
      </c>
      <c r="E157" s="620">
        <f>SUM(G157+Y157+AG157+AN157)</f>
        <v>1883917.45</v>
      </c>
      <c r="F157" s="558">
        <f>1725000/1000</f>
        <v>1725</v>
      </c>
      <c r="G157" s="20">
        <f>SUM(H157:W157)</f>
        <v>1433917.45</v>
      </c>
      <c r="H157" s="375"/>
      <c r="I157" s="375"/>
      <c r="J157" s="375"/>
      <c r="K157" s="375"/>
      <c r="L157" s="341"/>
      <c r="M157" s="1">
        <v>116480</v>
      </c>
      <c r="N157" s="375"/>
      <c r="O157" s="375"/>
      <c r="P157" s="341"/>
      <c r="Q157" s="375"/>
      <c r="R157" s="1"/>
      <c r="S157" s="1">
        <v>1067437.45</v>
      </c>
      <c r="T157" s="1"/>
      <c r="U157" s="1"/>
      <c r="V157" s="1"/>
      <c r="W157" s="1">
        <v>250000</v>
      </c>
      <c r="X157" s="617">
        <f>+'[3]Egresos -2015 '!$Z$156</f>
        <v>2250</v>
      </c>
      <c r="Y157" s="8">
        <f>SUM(Z157:AD157)</f>
        <v>200000</v>
      </c>
      <c r="Z157" s="1">
        <v>100000</v>
      </c>
      <c r="AA157" s="1">
        <v>100000</v>
      </c>
      <c r="AB157" s="1"/>
      <c r="AC157" s="1"/>
      <c r="AD157" s="1"/>
      <c r="AE157" s="642">
        <f>X157/$X$7*100</f>
        <v>4.4133669969432812E-2</v>
      </c>
      <c r="AF157" s="8">
        <v>240</v>
      </c>
      <c r="AG157" s="11">
        <f>SUM(AH157:AK157)</f>
        <v>100000</v>
      </c>
      <c r="AH157" s="699"/>
      <c r="AI157" s="698"/>
      <c r="AJ157" s="698"/>
      <c r="AK157" s="698">
        <v>100000</v>
      </c>
      <c r="AL157" s="614">
        <f>(AF157/AF7)*100</f>
        <v>1.6576698340141763E-2</v>
      </c>
      <c r="AM157" s="614">
        <v>0</v>
      </c>
      <c r="AN157" s="30">
        <f>SUM(AO157+AP157)</f>
        <v>150000</v>
      </c>
      <c r="AO157" s="698">
        <v>150000</v>
      </c>
      <c r="AP157" s="613">
        <f>SUM(AQ157:AT157)</f>
        <v>0</v>
      </c>
      <c r="AQ157" s="699"/>
      <c r="AR157" s="698"/>
      <c r="AS157" s="698"/>
      <c r="AT157" s="698"/>
      <c r="AU157" s="612">
        <f>SUM(AN157+AG157+Y157+G157)</f>
        <v>1883917.45</v>
      </c>
      <c r="AV157" s="611">
        <f>AM157/$AM$7</f>
        <v>0</v>
      </c>
      <c r="AW157" s="610">
        <v>0</v>
      </c>
      <c r="AX157" s="609">
        <f>AW157/$AW$7</f>
        <v>0</v>
      </c>
      <c r="AY157" s="608">
        <f>+F157/$F$7</f>
        <v>2.6511811726229287E-5</v>
      </c>
      <c r="AZ157" s="606">
        <f>+((406392.21/6))*12/1000</f>
        <v>812.78442000000007</v>
      </c>
      <c r="BA157" s="608">
        <f>+AZ157/$AZ$7</f>
        <v>2.2253739427978199E-5</v>
      </c>
      <c r="BB157" s="560">
        <f>+F157-AZ157</f>
        <v>912.21557999999993</v>
      </c>
      <c r="BC157" s="607">
        <f>+BB157/AZ157</f>
        <v>1.1223339886362484</v>
      </c>
      <c r="BD157" s="606">
        <v>148.715</v>
      </c>
      <c r="BE157" s="605">
        <f>+BD157/$BD$7</f>
        <v>3.4253030576289127E-6</v>
      </c>
      <c r="BF157" s="560">
        <f>AZ157-BD157</f>
        <v>664.06942000000004</v>
      </c>
      <c r="BG157" s="604">
        <f>+BF157/BD157</f>
        <v>4.465382913626736</v>
      </c>
      <c r="BH157" s="555"/>
    </row>
    <row r="158" spans="1:60" ht="15.75" customHeight="1" x14ac:dyDescent="0.3">
      <c r="A158" s="559" t="s">
        <v>239</v>
      </c>
      <c r="B158" s="1967" t="s">
        <v>240</v>
      </c>
      <c r="C158" s="1968"/>
      <c r="D158" s="20">
        <f>+G158+Y158+AG158+AN158</f>
        <v>7639707.54</v>
      </c>
      <c r="E158" s="620">
        <f>SUM(G158+Y158+AG158+AN158)</f>
        <v>7639707.54</v>
      </c>
      <c r="F158" s="558">
        <f>4170000/1000</f>
        <v>4170</v>
      </c>
      <c r="G158" s="20">
        <f>SUM(H158:W158)</f>
        <v>6439707.54</v>
      </c>
      <c r="H158" s="375">
        <v>0</v>
      </c>
      <c r="I158" s="375">
        <v>100000</v>
      </c>
      <c r="J158" s="375">
        <v>50000</v>
      </c>
      <c r="K158" s="375">
        <v>0</v>
      </c>
      <c r="L158" s="341" t="s">
        <v>0</v>
      </c>
      <c r="M158" s="1">
        <v>124800</v>
      </c>
      <c r="N158" s="375"/>
      <c r="O158" s="375"/>
      <c r="P158" s="341"/>
      <c r="Q158" s="375">
        <v>50000</v>
      </c>
      <c r="R158" s="1">
        <v>50000</v>
      </c>
      <c r="S158" s="1">
        <v>5164907.54</v>
      </c>
      <c r="T158" s="1">
        <v>250000</v>
      </c>
      <c r="U158" s="1"/>
      <c r="V158" s="1">
        <v>300000</v>
      </c>
      <c r="W158" s="1">
        <v>350000</v>
      </c>
      <c r="X158" s="617">
        <f>+'[3]Egresos -2015 '!$Z$157</f>
        <v>3940</v>
      </c>
      <c r="Y158" s="8">
        <f>SUM(Z158:AD158)</f>
        <v>100000</v>
      </c>
      <c r="Z158" s="1">
        <v>100000</v>
      </c>
      <c r="AA158" s="1">
        <v>0</v>
      </c>
      <c r="AB158" s="1"/>
      <c r="AC158" s="1"/>
      <c r="AD158" s="1"/>
      <c r="AE158" s="642">
        <f>X158/$X$7*100</f>
        <v>7.7282959857584557E-2</v>
      </c>
      <c r="AF158" s="8">
        <v>0</v>
      </c>
      <c r="AG158" s="11">
        <f>SUM(AH158:AK158)</f>
        <v>100000</v>
      </c>
      <c r="AH158" s="699"/>
      <c r="AI158" s="698"/>
      <c r="AJ158" s="698"/>
      <c r="AK158" s="698">
        <v>100000</v>
      </c>
      <c r="AL158" s="614">
        <f>(AF158/AF7)*100</f>
        <v>0</v>
      </c>
      <c r="AM158" s="614">
        <v>0</v>
      </c>
      <c r="AN158" s="30">
        <f>SUM(AO158+AP158)</f>
        <v>1000000</v>
      </c>
      <c r="AO158" s="698">
        <v>1000000</v>
      </c>
      <c r="AP158" s="613">
        <f>SUM(AQ158:AT158)</f>
        <v>0</v>
      </c>
      <c r="AQ158" s="699"/>
      <c r="AR158" s="698"/>
      <c r="AS158" s="698"/>
      <c r="AT158" s="698"/>
      <c r="AU158" s="612">
        <f>SUM(AN158+AG158+Y158+G158)</f>
        <v>7639707.54</v>
      </c>
      <c r="AV158" s="611">
        <f>AM158/$AM$7</f>
        <v>0</v>
      </c>
      <c r="AW158" s="610">
        <v>0</v>
      </c>
      <c r="AX158" s="609">
        <f>AW158/$AW$7</f>
        <v>0</v>
      </c>
      <c r="AY158" s="608">
        <f>+F158/$F$7</f>
        <v>6.4089423129493414E-5</v>
      </c>
      <c r="AZ158" s="606">
        <f>+(((258490.59+30703.55)/6))*12/1000</f>
        <v>578.38828000000001</v>
      </c>
      <c r="BA158" s="608">
        <f>+AZ158/$AZ$7</f>
        <v>1.5836059051570517E-5</v>
      </c>
      <c r="BB158" s="560">
        <f>+F158-AZ158</f>
        <v>3591.6117199999999</v>
      </c>
      <c r="BC158" s="607">
        <f>+BB158/AZ158</f>
        <v>6.2096896569204336</v>
      </c>
      <c r="BD158" s="606">
        <v>4039.4769999999999</v>
      </c>
      <c r="BE158" s="605">
        <f>+BD158/$BD$7</f>
        <v>9.3039928180221676E-5</v>
      </c>
      <c r="BF158" s="560">
        <f>AZ158-BD158</f>
        <v>-3461.0887199999997</v>
      </c>
      <c r="BG158" s="604">
        <f>+BF158/BD158</f>
        <v>-0.85681604821614277</v>
      </c>
      <c r="BH158" s="555"/>
    </row>
    <row r="159" spans="1:60" ht="15.75" customHeight="1" x14ac:dyDescent="0.3">
      <c r="A159" s="559"/>
      <c r="B159" s="634"/>
      <c r="C159" s="635"/>
      <c r="D159" s="20"/>
      <c r="E159" s="620"/>
      <c r="F159" s="558"/>
      <c r="G159" s="20"/>
      <c r="H159" s="375"/>
      <c r="I159" s="375"/>
      <c r="J159" s="375"/>
      <c r="K159" s="375"/>
      <c r="L159" s="341"/>
      <c r="M159" s="1"/>
      <c r="N159" s="375"/>
      <c r="O159" s="375"/>
      <c r="P159" s="341"/>
      <c r="Q159" s="375"/>
      <c r="R159" s="1"/>
      <c r="S159" s="1"/>
      <c r="T159" s="1"/>
      <c r="U159" s="1"/>
      <c r="V159" s="1"/>
      <c r="W159" s="1"/>
      <c r="X159" s="617"/>
      <c r="Y159" s="1"/>
      <c r="Z159" s="1"/>
      <c r="AA159" s="1"/>
      <c r="AB159" s="1"/>
      <c r="AC159" s="1"/>
      <c r="AD159" s="1"/>
      <c r="AE159" s="615"/>
      <c r="AF159" s="8"/>
      <c r="AG159" s="11"/>
      <c r="AH159" s="699"/>
      <c r="AI159" s="698"/>
      <c r="AJ159" s="698"/>
      <c r="AK159" s="698"/>
      <c r="AL159" s="614"/>
      <c r="AM159" s="614"/>
      <c r="AN159" s="34"/>
      <c r="AO159" s="698"/>
      <c r="AP159" s="706"/>
      <c r="AQ159" s="699"/>
      <c r="AR159" s="698"/>
      <c r="AS159" s="698"/>
      <c r="AT159" s="698"/>
      <c r="AU159" s="612"/>
      <c r="AV159" s="611"/>
      <c r="AW159" s="610"/>
      <c r="AX159" s="609"/>
      <c r="AY159" s="608"/>
      <c r="AZ159" s="606"/>
      <c r="BA159" s="608"/>
      <c r="BB159" s="560"/>
      <c r="BC159" s="607"/>
      <c r="BD159" s="606"/>
      <c r="BE159" s="605"/>
      <c r="BF159" s="560"/>
      <c r="BG159" s="604"/>
      <c r="BH159" s="555"/>
    </row>
    <row r="160" spans="1:60" ht="15.75" customHeight="1" x14ac:dyDescent="0.3">
      <c r="A160" s="562" t="s">
        <v>241</v>
      </c>
      <c r="B160" s="1973" t="s">
        <v>242</v>
      </c>
      <c r="C160" s="1979"/>
      <c r="D160" s="21">
        <f>SUM(D161:D168)</f>
        <v>91369233.460000008</v>
      </c>
      <c r="E160" s="628">
        <f t="shared" ref="E160:E168" si="199">SUM(G160+Y160+AG160+AN160)</f>
        <v>91369233.459999993</v>
      </c>
      <c r="F160" s="561">
        <f>F161+F162+F163+F164+F165+F166+F167+F168</f>
        <v>48083.833999999995</v>
      </c>
      <c r="G160" s="21">
        <f t="shared" ref="G160:G168" si="200">SUM(H160:W160)</f>
        <v>68254233.459999993</v>
      </c>
      <c r="H160" s="374">
        <f t="shared" ref="H160:W160" si="201">SUM(H161:H168)</f>
        <v>333200</v>
      </c>
      <c r="I160" s="374">
        <f t="shared" si="201"/>
        <v>350000</v>
      </c>
      <c r="J160" s="374">
        <f t="shared" si="201"/>
        <v>2800000</v>
      </c>
      <c r="K160" s="374">
        <f t="shared" si="201"/>
        <v>4400000</v>
      </c>
      <c r="L160" s="23">
        <f t="shared" si="201"/>
        <v>17500000</v>
      </c>
      <c r="M160" s="23">
        <f t="shared" si="201"/>
        <v>8886138.9799999986</v>
      </c>
      <c r="N160" s="374">
        <f t="shared" si="201"/>
        <v>1350000</v>
      </c>
      <c r="O160" s="374">
        <f t="shared" si="201"/>
        <v>185000</v>
      </c>
      <c r="P160" s="23">
        <f t="shared" si="201"/>
        <v>2500000</v>
      </c>
      <c r="Q160" s="374">
        <f t="shared" si="201"/>
        <v>800000</v>
      </c>
      <c r="R160" s="23">
        <f t="shared" si="201"/>
        <v>2070000</v>
      </c>
      <c r="S160" s="23">
        <f t="shared" si="201"/>
        <v>10404894.479999999</v>
      </c>
      <c r="T160" s="23">
        <f t="shared" si="201"/>
        <v>1860000</v>
      </c>
      <c r="U160" s="23">
        <f t="shared" si="201"/>
        <v>3120000</v>
      </c>
      <c r="V160" s="23">
        <f t="shared" si="201"/>
        <v>7460000</v>
      </c>
      <c r="W160" s="23">
        <f t="shared" si="201"/>
        <v>4235000</v>
      </c>
      <c r="X160" s="350">
        <f>+X161+X162+X163+X164+X165+X166+X167+X168</f>
        <v>44602</v>
      </c>
      <c r="Y160" s="23">
        <f t="shared" ref="Y160:AD160" si="202">SUM(Y161:Y168)</f>
        <v>5130000</v>
      </c>
      <c r="Z160" s="23">
        <f t="shared" si="202"/>
        <v>1150000</v>
      </c>
      <c r="AA160" s="23">
        <f t="shared" si="202"/>
        <v>995000</v>
      </c>
      <c r="AB160" s="23">
        <f t="shared" si="202"/>
        <v>995000</v>
      </c>
      <c r="AC160" s="23">
        <f t="shared" si="202"/>
        <v>995000</v>
      </c>
      <c r="AD160" s="23">
        <f t="shared" si="202"/>
        <v>995000</v>
      </c>
      <c r="AE160" s="615">
        <f t="shared" ref="AE160:AE168" si="203">X160/$X$7*100</f>
        <v>0.87486664354517429</v>
      </c>
      <c r="AF160" s="10">
        <f>+AF161+AF162+AF163+AF164+AF165+AF166+AF167+AF168</f>
        <v>5350</v>
      </c>
      <c r="AG160" s="2">
        <f>SUM(AG161:AG168)</f>
        <v>5785000</v>
      </c>
      <c r="AH160" s="308">
        <f>SUM(AH161:AH168)</f>
        <v>1275000</v>
      </c>
      <c r="AI160" s="33">
        <f>SUM(AI161:AI168)</f>
        <v>2600000</v>
      </c>
      <c r="AJ160" s="33">
        <f>SUM(AJ161:AJ168)</f>
        <v>410000</v>
      </c>
      <c r="AK160" s="33">
        <f>SUM(AK161:AK168)</f>
        <v>1500000</v>
      </c>
      <c r="AL160" s="623">
        <f>(AF160/AF7)*100</f>
        <v>0.36952223383232685</v>
      </c>
      <c r="AM160" s="623">
        <f>+AM161+AM162+AM163+AM164+AM165+AM166+AM167+AM168</f>
        <v>3345</v>
      </c>
      <c r="AN160" s="34">
        <f t="shared" ref="AN160:AU160" si="204">SUM(AN161:AN168)</f>
        <v>12200000</v>
      </c>
      <c r="AO160" s="35">
        <f t="shared" si="204"/>
        <v>8050000</v>
      </c>
      <c r="AP160" s="34">
        <f t="shared" si="204"/>
        <v>4150000</v>
      </c>
      <c r="AQ160" s="305">
        <f t="shared" si="204"/>
        <v>4150000</v>
      </c>
      <c r="AR160" s="35">
        <f t="shared" si="204"/>
        <v>0</v>
      </c>
      <c r="AS160" s="35">
        <f t="shared" si="204"/>
        <v>0</v>
      </c>
      <c r="AT160" s="35">
        <f t="shared" si="204"/>
        <v>0</v>
      </c>
      <c r="AU160" s="622">
        <f t="shared" si="204"/>
        <v>91369233.460000008</v>
      </c>
      <c r="AV160" s="611">
        <f t="shared" ref="AV160:AV168" si="205">AM160/$AM$7</f>
        <v>2.9159855503767891E-4</v>
      </c>
      <c r="AW160" s="621">
        <f>+AW161+AW162+AW163+AW164+AW165+AW166+AW167+AW168</f>
        <v>15250</v>
      </c>
      <c r="AX160" s="609">
        <f t="shared" ref="AX160:AX168" si="206">AW160/$AW$7</f>
        <v>2.9489119427624286E-4</v>
      </c>
      <c r="AY160" s="608">
        <f t="shared" ref="AY160:AY168" si="207">+F160/$F$7</f>
        <v>7.3900843714971734E-4</v>
      </c>
      <c r="AZ160" s="561">
        <f>AZ161+AZ162+AZ163+AZ164+AZ165+AZ166+AZ167+AZ168</f>
        <v>23942.10166</v>
      </c>
      <c r="BA160" s="608">
        <f t="shared" ref="BA160:BA168" si="208">+AZ160/$AZ$7</f>
        <v>6.5552596554422672E-4</v>
      </c>
      <c r="BB160" s="560">
        <f t="shared" ref="BB160:BB168" si="209">+F160-AZ160</f>
        <v>24141.732339999995</v>
      </c>
      <c r="BC160" s="607">
        <f>+BB160/AZ160</f>
        <v>1.0083380599930172</v>
      </c>
      <c r="BD160" s="561">
        <f>BD161+BD162+BD163+BD164+BD165+BD166+BD167+BD168</f>
        <v>14530.706</v>
      </c>
      <c r="BE160" s="605">
        <f t="shared" ref="BE160:BE168" si="210">+BD160/$BD$7</f>
        <v>3.3468091108029981E-4</v>
      </c>
      <c r="BF160" s="560">
        <f t="shared" ref="BF160:BF168" si="211">AZ160-BD160</f>
        <v>9411.3956600000001</v>
      </c>
      <c r="BG160" s="604">
        <f>+BF160/BD160</f>
        <v>0.64769018518439503</v>
      </c>
      <c r="BH160" s="555"/>
    </row>
    <row r="161" spans="1:60" ht="15.75" customHeight="1" x14ac:dyDescent="0.3">
      <c r="A161" s="559" t="s">
        <v>243</v>
      </c>
      <c r="B161" s="1967" t="s">
        <v>244</v>
      </c>
      <c r="C161" s="1968"/>
      <c r="D161" s="20">
        <f t="shared" ref="D161:D168" si="212">+G161+Y161+AG161+AN161</f>
        <v>23297668.579999998</v>
      </c>
      <c r="E161" s="620">
        <f t="shared" si="199"/>
        <v>23297668.579999998</v>
      </c>
      <c r="F161" s="558">
        <f>10097687/1000</f>
        <v>10097.687</v>
      </c>
      <c r="G161" s="20">
        <f t="shared" si="200"/>
        <v>15347668.58</v>
      </c>
      <c r="H161" s="375">
        <v>85000</v>
      </c>
      <c r="I161" s="375">
        <v>150000</v>
      </c>
      <c r="J161" s="375">
        <v>350000</v>
      </c>
      <c r="K161" s="375">
        <v>200000</v>
      </c>
      <c r="L161" s="341">
        <v>4000000</v>
      </c>
      <c r="M161" s="1">
        <v>3962695.78</v>
      </c>
      <c r="N161" s="375">
        <f>250000</f>
        <v>250000</v>
      </c>
      <c r="O161" s="375">
        <v>85000</v>
      </c>
      <c r="P161" s="341">
        <v>1500000</v>
      </c>
      <c r="Q161" s="375">
        <v>300000</v>
      </c>
      <c r="R161" s="1">
        <v>500000</v>
      </c>
      <c r="S161" s="1">
        <v>224972.79999999999</v>
      </c>
      <c r="T161" s="1">
        <v>500000</v>
      </c>
      <c r="U161" s="1">
        <v>1040000</v>
      </c>
      <c r="V161" s="1">
        <v>2100000</v>
      </c>
      <c r="W161" s="1">
        <v>100000</v>
      </c>
      <c r="X161" s="617">
        <f>+'[3]Egresos -2015 '!$Z$160</f>
        <v>12609</v>
      </c>
      <c r="Y161" s="8">
        <f t="shared" ref="Y161:Y168" si="213">SUM(Z161:AD161)</f>
        <v>2330000</v>
      </c>
      <c r="Z161" s="1">
        <v>250000</v>
      </c>
      <c r="AA161" s="1">
        <v>520000</v>
      </c>
      <c r="AB161" s="1">
        <v>520000</v>
      </c>
      <c r="AC161" s="1">
        <v>520000</v>
      </c>
      <c r="AD161" s="1">
        <v>520000</v>
      </c>
      <c r="AE161" s="642">
        <f t="shared" si="203"/>
        <v>0.24732508650870147</v>
      </c>
      <c r="AF161" s="8">
        <f>+'[2]Egresos -2015 '!$AG$160</f>
        <v>3190</v>
      </c>
      <c r="AG161" s="2">
        <f t="shared" ref="AG161:AG168" si="214">SUM(AH161:AK161)</f>
        <v>2120000</v>
      </c>
      <c r="AH161" s="699">
        <v>500000</v>
      </c>
      <c r="AI161" s="698">
        <v>1000000</v>
      </c>
      <c r="AJ161" s="698">
        <v>120000</v>
      </c>
      <c r="AK161" s="698">
        <v>500000</v>
      </c>
      <c r="AL161" s="614">
        <f>(AF161/AF7)*100</f>
        <v>0.22033194877105095</v>
      </c>
      <c r="AM161" s="614">
        <f>+'[2]Egresos -2015 '!$AM$160</f>
        <v>1370</v>
      </c>
      <c r="AN161" s="30">
        <f t="shared" ref="AN161:AN168" si="215">SUM(AO161+AP161)</f>
        <v>3500000</v>
      </c>
      <c r="AO161" s="698">
        <v>2000000</v>
      </c>
      <c r="AP161" s="613">
        <f t="shared" ref="AP161:AP168" si="216">SUM(AQ161:AT161)</f>
        <v>1500000</v>
      </c>
      <c r="AQ161" s="699">
        <v>1500000</v>
      </c>
      <c r="AR161" s="698"/>
      <c r="AS161" s="698"/>
      <c r="AT161" s="698"/>
      <c r="AU161" s="612">
        <f t="shared" ref="AU161:AU168" si="217">SUM(AN161+AG161+Y161+G161)</f>
        <v>23297668.579999998</v>
      </c>
      <c r="AV161" s="611">
        <f t="shared" si="205"/>
        <v>1.1942900460437074E-4</v>
      </c>
      <c r="AW161" s="610">
        <f>+'[2]Egresos -2015 '!$AO$160</f>
        <v>4600</v>
      </c>
      <c r="AX161" s="609">
        <f t="shared" si="206"/>
        <v>8.8950786470210958E-5</v>
      </c>
      <c r="AY161" s="608">
        <f t="shared" si="207"/>
        <v>1.5519302992138726E-4</v>
      </c>
      <c r="AZ161" s="606">
        <f>+(((1142654.21+1974700.51)/6))*12/1000</f>
        <v>6234.7094399999996</v>
      </c>
      <c r="BA161" s="608">
        <f t="shared" si="208"/>
        <v>1.7070405863207352E-4</v>
      </c>
      <c r="BB161" s="560">
        <f t="shared" si="209"/>
        <v>3862.9775600000003</v>
      </c>
      <c r="BC161" s="607">
        <f>+BB161/AZ161</f>
        <v>0.61959223556053966</v>
      </c>
      <c r="BD161" s="606">
        <v>2526.9259999999999</v>
      </c>
      <c r="BE161" s="605">
        <f t="shared" si="210"/>
        <v>5.8201844832074755E-5</v>
      </c>
      <c r="BF161" s="560">
        <f t="shared" si="211"/>
        <v>3707.7834399999997</v>
      </c>
      <c r="BG161" s="604">
        <f>+BF161/BD161</f>
        <v>1.4673098618637823</v>
      </c>
      <c r="BH161" s="555"/>
    </row>
    <row r="162" spans="1:60" ht="15.75" customHeight="1" x14ac:dyDescent="0.3">
      <c r="A162" s="559" t="s">
        <v>469</v>
      </c>
      <c r="B162" s="634" t="s">
        <v>470</v>
      </c>
      <c r="C162" s="635"/>
      <c r="D162" s="20">
        <f t="shared" si="212"/>
        <v>100000</v>
      </c>
      <c r="E162" s="620">
        <f t="shared" si="199"/>
        <v>100000</v>
      </c>
      <c r="F162" s="558">
        <f>150000/1000</f>
        <v>150</v>
      </c>
      <c r="G162" s="20">
        <f t="shared" si="200"/>
        <v>100000</v>
      </c>
      <c r="H162" s="375"/>
      <c r="I162" s="375"/>
      <c r="J162" s="375"/>
      <c r="K162" s="375"/>
      <c r="L162" s="341"/>
      <c r="M162" s="1"/>
      <c r="N162" s="375"/>
      <c r="O162" s="375"/>
      <c r="P162" s="341"/>
      <c r="Q162" s="375"/>
      <c r="R162" s="1"/>
      <c r="S162" s="1"/>
      <c r="T162" s="1">
        <v>100000</v>
      </c>
      <c r="U162" s="1"/>
      <c r="V162" s="1"/>
      <c r="W162" s="1"/>
      <c r="X162" s="617">
        <f>+'[3]Egresos -2015 '!$Z$161</f>
        <v>800</v>
      </c>
      <c r="Y162" s="8">
        <f t="shared" si="213"/>
        <v>0</v>
      </c>
      <c r="Z162" s="1"/>
      <c r="AA162" s="1"/>
      <c r="AB162" s="1"/>
      <c r="AC162" s="1"/>
      <c r="AD162" s="1"/>
      <c r="AE162" s="642">
        <f t="shared" si="203"/>
        <v>1.5691971544687221E-2</v>
      </c>
      <c r="AF162" s="8">
        <v>0</v>
      </c>
      <c r="AG162" s="2">
        <f t="shared" si="214"/>
        <v>0</v>
      </c>
      <c r="AH162" s="309"/>
      <c r="AI162" s="13"/>
      <c r="AJ162" s="13"/>
      <c r="AK162" s="13"/>
      <c r="AL162" s="614"/>
      <c r="AM162" s="614">
        <v>0</v>
      </c>
      <c r="AN162" s="30">
        <f t="shared" si="215"/>
        <v>0</v>
      </c>
      <c r="AO162" s="13"/>
      <c r="AP162" s="613">
        <f t="shared" si="216"/>
        <v>0</v>
      </c>
      <c r="AQ162" s="309"/>
      <c r="AR162" s="13"/>
      <c r="AS162" s="13"/>
      <c r="AT162" s="13"/>
      <c r="AU162" s="612">
        <f t="shared" si="217"/>
        <v>100000</v>
      </c>
      <c r="AV162" s="611">
        <f t="shared" si="205"/>
        <v>0</v>
      </c>
      <c r="AW162" s="610">
        <v>0</v>
      </c>
      <c r="AX162" s="609">
        <f t="shared" si="206"/>
        <v>0</v>
      </c>
      <c r="AY162" s="608">
        <f t="shared" si="207"/>
        <v>2.3053749327155901E-6</v>
      </c>
      <c r="AZ162" s="606">
        <f>+((0/6))*12/1000</f>
        <v>0</v>
      </c>
      <c r="BA162" s="608">
        <f t="shared" si="208"/>
        <v>0</v>
      </c>
      <c r="BB162" s="560">
        <f t="shared" si="209"/>
        <v>150</v>
      </c>
      <c r="BC162" s="607">
        <v>0</v>
      </c>
      <c r="BD162" s="606">
        <v>572.09199999999998</v>
      </c>
      <c r="BE162" s="605">
        <f t="shared" si="210"/>
        <v>1.3176804470598392E-5</v>
      </c>
      <c r="BF162" s="560">
        <f t="shared" si="211"/>
        <v>-572.09199999999998</v>
      </c>
      <c r="BG162" s="604">
        <v>0</v>
      </c>
      <c r="BH162" s="555"/>
    </row>
    <row r="163" spans="1:60" ht="15.75" customHeight="1" x14ac:dyDescent="0.3">
      <c r="A163" s="559" t="s">
        <v>245</v>
      </c>
      <c r="B163" s="1967" t="s">
        <v>246</v>
      </c>
      <c r="C163" s="1968"/>
      <c r="D163" s="20">
        <f t="shared" si="212"/>
        <v>37959456</v>
      </c>
      <c r="E163" s="620">
        <f t="shared" si="199"/>
        <v>37959456</v>
      </c>
      <c r="F163" s="558">
        <f>17145047/1000</f>
        <v>17145.046999999999</v>
      </c>
      <c r="G163" s="20">
        <f t="shared" si="200"/>
        <v>25659456</v>
      </c>
      <c r="H163" s="375">
        <v>150000</v>
      </c>
      <c r="I163" s="375">
        <v>200000</v>
      </c>
      <c r="J163" s="375">
        <v>2450000</v>
      </c>
      <c r="K163" s="375">
        <v>1500000</v>
      </c>
      <c r="L163" s="341"/>
      <c r="M163" s="1">
        <v>4499456</v>
      </c>
      <c r="N163" s="375">
        <f>1000000</f>
        <v>1000000</v>
      </c>
      <c r="O163" s="375">
        <v>100000</v>
      </c>
      <c r="P163" s="341">
        <v>1000000</v>
      </c>
      <c r="Q163" s="375">
        <v>500000</v>
      </c>
      <c r="R163" s="1">
        <v>1000000</v>
      </c>
      <c r="S163" s="1">
        <v>4000000</v>
      </c>
      <c r="T163" s="1">
        <v>500000</v>
      </c>
      <c r="U163" s="1">
        <v>260000</v>
      </c>
      <c r="V163" s="1">
        <v>4500000</v>
      </c>
      <c r="W163" s="1">
        <v>4000000</v>
      </c>
      <c r="X163" s="617">
        <f>+'[3]Egresos -2015 '!$Z$162</f>
        <v>17828</v>
      </c>
      <c r="Y163" s="8">
        <f t="shared" si="213"/>
        <v>2000000</v>
      </c>
      <c r="Z163" s="1">
        <v>500000</v>
      </c>
      <c r="AA163" s="1">
        <v>375000</v>
      </c>
      <c r="AB163" s="1">
        <v>375000</v>
      </c>
      <c r="AC163" s="1">
        <v>375000</v>
      </c>
      <c r="AD163" s="1">
        <v>375000</v>
      </c>
      <c r="AE163" s="642">
        <f t="shared" si="203"/>
        <v>0.34969558587335475</v>
      </c>
      <c r="AF163" s="8">
        <f>+'[2]Egresos -2015 '!$AG$162</f>
        <v>2020</v>
      </c>
      <c r="AG163" s="2">
        <f t="shared" si="214"/>
        <v>2550000</v>
      </c>
      <c r="AH163" s="318">
        <v>250000</v>
      </c>
      <c r="AI163" s="7">
        <v>1500000</v>
      </c>
      <c r="AJ163" s="7">
        <v>200000</v>
      </c>
      <c r="AK163" s="7">
        <v>600000</v>
      </c>
      <c r="AL163" s="614">
        <f>(AF163/AF7)*100</f>
        <v>0.13952054436285985</v>
      </c>
      <c r="AM163" s="614">
        <f>+'[2]Egresos -2015 '!$AM$162</f>
        <v>1200</v>
      </c>
      <c r="AN163" s="30">
        <f t="shared" si="215"/>
        <v>7750000</v>
      </c>
      <c r="AO163" s="7">
        <v>5500000</v>
      </c>
      <c r="AP163" s="613">
        <f t="shared" si="216"/>
        <v>2250000</v>
      </c>
      <c r="AQ163" s="318">
        <v>2250000</v>
      </c>
      <c r="AR163" s="7"/>
      <c r="AS163" s="7"/>
      <c r="AT163" s="7"/>
      <c r="AU163" s="612">
        <f t="shared" si="217"/>
        <v>37959456</v>
      </c>
      <c r="AV163" s="611">
        <f t="shared" si="205"/>
        <v>1.0460934709871889E-4</v>
      </c>
      <c r="AW163" s="610">
        <f>+'[2]Egresos -2015 '!$AO$162</f>
        <v>9900</v>
      </c>
      <c r="AX163" s="609">
        <f t="shared" si="206"/>
        <v>1.914375621858888E-4</v>
      </c>
      <c r="AY163" s="608">
        <f t="shared" si="207"/>
        <v>2.635050771602042E-4</v>
      </c>
      <c r="AZ163" s="606">
        <f>+(((3467703.42+2799912.95)/6))*12/1000</f>
        <v>12535.232739999999</v>
      </c>
      <c r="BA163" s="608">
        <f t="shared" si="208"/>
        <v>3.432100766215735E-4</v>
      </c>
      <c r="BB163" s="560">
        <f t="shared" si="209"/>
        <v>4609.8142599999992</v>
      </c>
      <c r="BC163" s="607">
        <f>+BB163/AZ163</f>
        <v>0.36774859754219447</v>
      </c>
      <c r="BD163" s="606">
        <v>5271.8850000000002</v>
      </c>
      <c r="BE163" s="605">
        <f t="shared" si="210"/>
        <v>1.2142557112576404E-4</v>
      </c>
      <c r="BF163" s="560">
        <f t="shared" si="211"/>
        <v>7263.3477399999992</v>
      </c>
      <c r="BG163" s="604">
        <f>+BF163/BD163</f>
        <v>1.377751551864276</v>
      </c>
      <c r="BH163" s="555"/>
    </row>
    <row r="164" spans="1:60" ht="15.75" customHeight="1" x14ac:dyDescent="0.3">
      <c r="A164" s="729" t="s">
        <v>247</v>
      </c>
      <c r="B164" s="1967" t="s">
        <v>248</v>
      </c>
      <c r="C164" s="1987"/>
      <c r="D164" s="20">
        <f t="shared" si="212"/>
        <v>6629944.5300000003</v>
      </c>
      <c r="E164" s="620">
        <f t="shared" si="199"/>
        <v>6629944.5300000003</v>
      </c>
      <c r="F164" s="558">
        <f>10170000/1000</f>
        <v>10170</v>
      </c>
      <c r="G164" s="20">
        <f t="shared" si="200"/>
        <v>6469944.5300000003</v>
      </c>
      <c r="H164" s="375">
        <v>83200</v>
      </c>
      <c r="I164" s="375"/>
      <c r="J164" s="375"/>
      <c r="K164" s="375">
        <v>1000000</v>
      </c>
      <c r="L164" s="341">
        <v>2000000</v>
      </c>
      <c r="M164" s="1">
        <v>270400</v>
      </c>
      <c r="N164" s="375"/>
      <c r="O164" s="375"/>
      <c r="P164" s="341"/>
      <c r="Q164" s="375"/>
      <c r="R164" s="1">
        <v>500000</v>
      </c>
      <c r="S164" s="1">
        <v>1451344.53</v>
      </c>
      <c r="T164" s="1">
        <v>25000</v>
      </c>
      <c r="U164" s="1">
        <v>1040000</v>
      </c>
      <c r="V164" s="1">
        <v>50000</v>
      </c>
      <c r="W164" s="1">
        <v>50000</v>
      </c>
      <c r="X164" s="617">
        <f>+'[3]Egresos -2015 '!$Z$163</f>
        <v>2495</v>
      </c>
      <c r="Y164" s="8">
        <f t="shared" si="213"/>
        <v>0</v>
      </c>
      <c r="Z164" s="1"/>
      <c r="AA164" s="1"/>
      <c r="AB164" s="1"/>
      <c r="AC164" s="1"/>
      <c r="AD164" s="1"/>
      <c r="AE164" s="642">
        <f t="shared" si="203"/>
        <v>4.8939336254993276E-2</v>
      </c>
      <c r="AF164" s="8">
        <v>0</v>
      </c>
      <c r="AG164" s="2">
        <f t="shared" si="214"/>
        <v>160000</v>
      </c>
      <c r="AH164" s="309"/>
      <c r="AI164" s="13"/>
      <c r="AJ164" s="13">
        <v>60000</v>
      </c>
      <c r="AK164" s="13">
        <v>100000</v>
      </c>
      <c r="AL164" s="614"/>
      <c r="AM164" s="614">
        <v>0</v>
      </c>
      <c r="AN164" s="30">
        <f t="shared" si="215"/>
        <v>0</v>
      </c>
      <c r="AO164" s="13"/>
      <c r="AP164" s="613">
        <f t="shared" si="216"/>
        <v>0</v>
      </c>
      <c r="AQ164" s="309"/>
      <c r="AR164" s="13"/>
      <c r="AS164" s="13"/>
      <c r="AT164" s="13"/>
      <c r="AU164" s="612">
        <f t="shared" si="217"/>
        <v>6629944.5300000003</v>
      </c>
      <c r="AV164" s="611">
        <f t="shared" si="205"/>
        <v>0</v>
      </c>
      <c r="AW164" s="610">
        <v>0</v>
      </c>
      <c r="AX164" s="609">
        <f t="shared" si="206"/>
        <v>0</v>
      </c>
      <c r="AY164" s="608">
        <f t="shared" si="207"/>
        <v>1.5630442043811701E-4</v>
      </c>
      <c r="AZ164" s="606">
        <f>+((137938.03/6))*12/1000</f>
        <v>275.87606</v>
      </c>
      <c r="BA164" s="608">
        <f t="shared" si="208"/>
        <v>7.5533853782006287E-6</v>
      </c>
      <c r="BB164" s="560">
        <f t="shared" si="209"/>
        <v>9894.1239399999995</v>
      </c>
      <c r="BC164" s="607">
        <f>+BB164/AZ164</f>
        <v>35.864380330790574</v>
      </c>
      <c r="BD164" s="606">
        <v>2455.0500000000002</v>
      </c>
      <c r="BE164" s="605">
        <f t="shared" si="210"/>
        <v>5.6546348866165899E-5</v>
      </c>
      <c r="BF164" s="560">
        <f t="shared" si="211"/>
        <v>-2179.1739400000001</v>
      </c>
      <c r="BG164" s="604">
        <f>+BF164/BD164</f>
        <v>-0.8876291480825238</v>
      </c>
      <c r="BH164" s="555"/>
    </row>
    <row r="165" spans="1:60" ht="15.75" customHeight="1" x14ac:dyDescent="0.3">
      <c r="A165" s="729" t="s">
        <v>249</v>
      </c>
      <c r="B165" s="1967" t="s">
        <v>250</v>
      </c>
      <c r="C165" s="1987"/>
      <c r="D165" s="20">
        <f t="shared" si="212"/>
        <v>3658587.2</v>
      </c>
      <c r="E165" s="620">
        <f t="shared" si="199"/>
        <v>3658587.2</v>
      </c>
      <c r="F165" s="558">
        <f>3582600/1000</f>
        <v>3582.6</v>
      </c>
      <c r="G165" s="20">
        <f t="shared" si="200"/>
        <v>3553587.2000000002</v>
      </c>
      <c r="H165" s="375">
        <v>15000</v>
      </c>
      <c r="I165" s="375"/>
      <c r="J165" s="375"/>
      <c r="K165" s="375">
        <v>200000</v>
      </c>
      <c r="L165" s="341"/>
      <c r="M165" s="1">
        <v>153587.20000000001</v>
      </c>
      <c r="N165" s="375">
        <f>100000</f>
        <v>100000</v>
      </c>
      <c r="O165" s="375"/>
      <c r="P165" s="341"/>
      <c r="Q165" s="375"/>
      <c r="R165" s="1">
        <v>50000</v>
      </c>
      <c r="S165" s="1">
        <v>2600000</v>
      </c>
      <c r="T165" s="1">
        <v>25000</v>
      </c>
      <c r="U165" s="1">
        <v>260000</v>
      </c>
      <c r="V165" s="1">
        <v>100000</v>
      </c>
      <c r="W165" s="1">
        <v>50000</v>
      </c>
      <c r="X165" s="617">
        <f>+'[3]Egresos -2015 '!$Z$164</f>
        <v>3850</v>
      </c>
      <c r="Y165" s="8">
        <f t="shared" si="213"/>
        <v>50000</v>
      </c>
      <c r="Z165" s="1">
        <v>50000</v>
      </c>
      <c r="AA165" s="1"/>
      <c r="AB165" s="1"/>
      <c r="AC165" s="1"/>
      <c r="AD165" s="1"/>
      <c r="AE165" s="642">
        <f t="shared" si="203"/>
        <v>7.5517613058807262E-2</v>
      </c>
      <c r="AF165" s="8">
        <f>+'[2]Egresos -2015 '!$AG$164</f>
        <v>40</v>
      </c>
      <c r="AG165" s="2">
        <f t="shared" si="214"/>
        <v>55000</v>
      </c>
      <c r="AH165" s="317">
        <v>25000</v>
      </c>
      <c r="AI165" s="12"/>
      <c r="AJ165" s="12">
        <v>30000</v>
      </c>
      <c r="AK165" s="12"/>
      <c r="AL165" s="614">
        <f>(AF165/AF7)*100</f>
        <v>2.7627830566902939E-3</v>
      </c>
      <c r="AM165" s="614">
        <f>+'[2]Egresos -2015 '!$AM$164</f>
        <v>125</v>
      </c>
      <c r="AN165" s="30">
        <f t="shared" si="215"/>
        <v>0</v>
      </c>
      <c r="AO165" s="12"/>
      <c r="AP165" s="613">
        <f t="shared" si="216"/>
        <v>0</v>
      </c>
      <c r="AQ165" s="317"/>
      <c r="AR165" s="12"/>
      <c r="AS165" s="12"/>
      <c r="AT165" s="12"/>
      <c r="AU165" s="612">
        <f t="shared" si="217"/>
        <v>3658587.2</v>
      </c>
      <c r="AV165" s="611">
        <f t="shared" si="205"/>
        <v>1.0896806989449886E-5</v>
      </c>
      <c r="AW165" s="610">
        <v>0</v>
      </c>
      <c r="AX165" s="609">
        <f t="shared" si="206"/>
        <v>0</v>
      </c>
      <c r="AY165" s="608">
        <f t="shared" si="207"/>
        <v>5.5061574892979155E-5</v>
      </c>
      <c r="AZ165" s="606">
        <f>+(((1529668.94+6791.3)/6))*12/1000</f>
        <v>3072.9204799999998</v>
      </c>
      <c r="BA165" s="608">
        <f t="shared" si="208"/>
        <v>8.4135436115787858E-5</v>
      </c>
      <c r="BB165" s="560">
        <f t="shared" si="209"/>
        <v>509.67952000000014</v>
      </c>
      <c r="BC165" s="607">
        <f>+BB165/AZ165</f>
        <v>0.16586160407248812</v>
      </c>
      <c r="BD165" s="606">
        <v>525.69000000000005</v>
      </c>
      <c r="BE165" s="605">
        <f t="shared" si="210"/>
        <v>1.2108042661230832E-5</v>
      </c>
      <c r="BF165" s="560">
        <f t="shared" si="211"/>
        <v>2547.2304799999997</v>
      </c>
      <c r="BG165" s="604">
        <f>+BF165/BD165</f>
        <v>4.8454992105613561</v>
      </c>
      <c r="BH165" s="555"/>
    </row>
    <row r="166" spans="1:60" ht="15.75" customHeight="1" x14ac:dyDescent="0.3">
      <c r="A166" s="729" t="s">
        <v>251</v>
      </c>
      <c r="B166" s="1967" t="s">
        <v>252</v>
      </c>
      <c r="C166" s="1987"/>
      <c r="D166" s="20">
        <f t="shared" si="212"/>
        <v>13833244.109999999</v>
      </c>
      <c r="E166" s="620">
        <f t="shared" si="199"/>
        <v>13833244.109999999</v>
      </c>
      <c r="F166" s="558">
        <f>3500000/1000</f>
        <v>3500</v>
      </c>
      <c r="G166" s="20">
        <f t="shared" si="200"/>
        <v>13833244.109999999</v>
      </c>
      <c r="H166" s="375"/>
      <c r="I166" s="375"/>
      <c r="J166" s="375"/>
      <c r="K166" s="375"/>
      <c r="L166" s="341">
        <v>11500000</v>
      </c>
      <c r="M166" s="1"/>
      <c r="N166" s="375"/>
      <c r="O166" s="375"/>
      <c r="P166" s="341"/>
      <c r="Q166" s="375"/>
      <c r="R166" s="1"/>
      <c r="S166" s="1">
        <v>1833244.11</v>
      </c>
      <c r="T166" s="1"/>
      <c r="U166" s="1"/>
      <c r="V166" s="1">
        <v>500000</v>
      </c>
      <c r="W166" s="1"/>
      <c r="X166" s="617">
        <f>+'[3]Egresos -2015 '!$Z$165</f>
        <v>5850</v>
      </c>
      <c r="Y166" s="8">
        <f t="shared" si="213"/>
        <v>0</v>
      </c>
      <c r="Z166" s="1"/>
      <c r="AA166" s="1"/>
      <c r="AB166" s="1"/>
      <c r="AC166" s="1"/>
      <c r="AD166" s="1"/>
      <c r="AE166" s="642">
        <f t="shared" si="203"/>
        <v>0.1147475419205253</v>
      </c>
      <c r="AF166" s="8">
        <v>0</v>
      </c>
      <c r="AG166" s="2">
        <f t="shared" si="214"/>
        <v>0</v>
      </c>
      <c r="AH166" s="309"/>
      <c r="AI166" s="13"/>
      <c r="AJ166" s="13"/>
      <c r="AK166" s="13"/>
      <c r="AL166" s="614"/>
      <c r="AM166" s="614">
        <v>0</v>
      </c>
      <c r="AN166" s="30">
        <f t="shared" si="215"/>
        <v>0</v>
      </c>
      <c r="AO166" s="13"/>
      <c r="AP166" s="613">
        <f t="shared" si="216"/>
        <v>0</v>
      </c>
      <c r="AQ166" s="309"/>
      <c r="AR166" s="13"/>
      <c r="AS166" s="13"/>
      <c r="AT166" s="13"/>
      <c r="AU166" s="612">
        <f t="shared" si="217"/>
        <v>13833244.109999999</v>
      </c>
      <c r="AV166" s="611">
        <f t="shared" si="205"/>
        <v>0</v>
      </c>
      <c r="AW166" s="610">
        <v>0</v>
      </c>
      <c r="AX166" s="609">
        <f t="shared" si="206"/>
        <v>0</v>
      </c>
      <c r="AY166" s="608">
        <f t="shared" si="207"/>
        <v>5.3792081763363769E-5</v>
      </c>
      <c r="AZ166" s="606">
        <f>+(((513391.46+80000)/6))*12/1000</f>
        <v>1186.7829199999999</v>
      </c>
      <c r="BA166" s="608">
        <f t="shared" si="208"/>
        <v>3.2493681238691918E-5</v>
      </c>
      <c r="BB166" s="560">
        <f t="shared" si="209"/>
        <v>2313.2170800000004</v>
      </c>
      <c r="BC166" s="607">
        <v>0</v>
      </c>
      <c r="BD166" s="606">
        <v>2518.41</v>
      </c>
      <c r="BE166" s="605">
        <f t="shared" si="210"/>
        <v>5.8005698640777518E-5</v>
      </c>
      <c r="BF166" s="560">
        <f t="shared" si="211"/>
        <v>-1331.62708</v>
      </c>
      <c r="BG166" s="604">
        <f>+BF166/BD166</f>
        <v>-0.52875706497353492</v>
      </c>
      <c r="BH166" s="555"/>
    </row>
    <row r="167" spans="1:60" ht="15.75" customHeight="1" x14ac:dyDescent="0.3">
      <c r="A167" s="729" t="s">
        <v>253</v>
      </c>
      <c r="B167" s="1981" t="s">
        <v>254</v>
      </c>
      <c r="C167" s="1990"/>
      <c r="D167" s="20">
        <f t="shared" si="212"/>
        <v>1662497.28</v>
      </c>
      <c r="E167" s="620">
        <f t="shared" si="199"/>
        <v>1662497.28</v>
      </c>
      <c r="F167" s="558">
        <f>363500/1000</f>
        <v>363.5</v>
      </c>
      <c r="G167" s="20">
        <f t="shared" si="200"/>
        <v>1562497.28</v>
      </c>
      <c r="H167" s="375">
        <v>0</v>
      </c>
      <c r="I167" s="375"/>
      <c r="J167" s="375"/>
      <c r="K167" s="375">
        <v>1500000</v>
      </c>
      <c r="L167" s="341"/>
      <c r="M167" s="1"/>
      <c r="N167" s="375"/>
      <c r="O167" s="375"/>
      <c r="P167" s="341"/>
      <c r="Q167" s="375"/>
      <c r="R167" s="1">
        <v>10000</v>
      </c>
      <c r="S167" s="1">
        <v>22497.279999999999</v>
      </c>
      <c r="T167" s="1">
        <v>10000</v>
      </c>
      <c r="U167" s="1"/>
      <c r="V167" s="1">
        <v>10000</v>
      </c>
      <c r="W167" s="1">
        <v>10000</v>
      </c>
      <c r="X167" s="617">
        <f>+'[3]Egresos -2015 '!$Z$166</f>
        <v>120</v>
      </c>
      <c r="Y167" s="8">
        <f t="shared" si="213"/>
        <v>100000</v>
      </c>
      <c r="Z167" s="1">
        <v>100000</v>
      </c>
      <c r="AA167" s="1"/>
      <c r="AB167" s="1"/>
      <c r="AC167" s="1"/>
      <c r="AD167" s="1"/>
      <c r="AE167" s="642">
        <f t="shared" si="203"/>
        <v>2.3537957317030832E-3</v>
      </c>
      <c r="AF167" s="8">
        <f>+'[2]Egresos -2015 '!$AG$166</f>
        <v>100</v>
      </c>
      <c r="AG167" s="2">
        <f t="shared" si="214"/>
        <v>0</v>
      </c>
      <c r="AH167" s="28"/>
      <c r="AI167" s="28"/>
      <c r="AJ167" s="28"/>
      <c r="AK167" s="28"/>
      <c r="AL167" s="614">
        <f>(AF167/AF7)*100</f>
        <v>6.9069576417257351E-3</v>
      </c>
      <c r="AM167" s="614">
        <v>0</v>
      </c>
      <c r="AN167" s="30">
        <f t="shared" si="215"/>
        <v>0</v>
      </c>
      <c r="AO167" s="28"/>
      <c r="AP167" s="613">
        <f t="shared" si="216"/>
        <v>0</v>
      </c>
      <c r="AQ167" s="28"/>
      <c r="AR167" s="28"/>
      <c r="AS167" s="28"/>
      <c r="AT167" s="28"/>
      <c r="AU167" s="612">
        <f t="shared" si="217"/>
        <v>1662497.28</v>
      </c>
      <c r="AV167" s="611">
        <f t="shared" si="205"/>
        <v>0</v>
      </c>
      <c r="AW167" s="610">
        <v>0</v>
      </c>
      <c r="AX167" s="609">
        <f t="shared" si="206"/>
        <v>0</v>
      </c>
      <c r="AY167" s="608">
        <f t="shared" si="207"/>
        <v>5.5866919202807801E-6</v>
      </c>
      <c r="AZ167" s="606">
        <f>+((0/6))*12/1000</f>
        <v>0</v>
      </c>
      <c r="BA167" s="608">
        <f t="shared" si="208"/>
        <v>0</v>
      </c>
      <c r="BB167" s="560">
        <f t="shared" si="209"/>
        <v>363.5</v>
      </c>
      <c r="BC167" s="607">
        <v>0</v>
      </c>
      <c r="BD167" s="606">
        <v>14.8</v>
      </c>
      <c r="BE167" s="605">
        <f t="shared" si="210"/>
        <v>3.4088347007973577E-7</v>
      </c>
      <c r="BF167" s="560">
        <f t="shared" si="211"/>
        <v>-14.8</v>
      </c>
      <c r="BG167" s="604">
        <v>0</v>
      </c>
      <c r="BH167" s="555"/>
    </row>
    <row r="168" spans="1:60" ht="15.75" customHeight="1" x14ac:dyDescent="0.3">
      <c r="A168" s="729" t="s">
        <v>255</v>
      </c>
      <c r="B168" s="1967" t="s">
        <v>256</v>
      </c>
      <c r="C168" s="1987"/>
      <c r="D168" s="20">
        <f t="shared" si="212"/>
        <v>4227835.76</v>
      </c>
      <c r="E168" s="620">
        <f t="shared" si="199"/>
        <v>4227835.76</v>
      </c>
      <c r="F168" s="558">
        <f>3075000/1000</f>
        <v>3075</v>
      </c>
      <c r="G168" s="20">
        <f t="shared" si="200"/>
        <v>1727835.76</v>
      </c>
      <c r="H168" s="375"/>
      <c r="I168" s="375">
        <v>0</v>
      </c>
      <c r="J168" s="375">
        <v>0</v>
      </c>
      <c r="K168" s="375">
        <v>0</v>
      </c>
      <c r="L168" s="341">
        <v>0</v>
      </c>
      <c r="M168" s="1">
        <v>0</v>
      </c>
      <c r="N168" s="375"/>
      <c r="O168" s="375">
        <v>0</v>
      </c>
      <c r="P168" s="341">
        <v>0</v>
      </c>
      <c r="Q168" s="375">
        <v>0</v>
      </c>
      <c r="R168" s="1">
        <v>10000</v>
      </c>
      <c r="S168" s="1">
        <v>272835.76</v>
      </c>
      <c r="T168" s="1">
        <v>700000</v>
      </c>
      <c r="U168" s="1">
        <v>520000</v>
      </c>
      <c r="V168" s="1">
        <v>200000</v>
      </c>
      <c r="W168" s="1">
        <v>25000</v>
      </c>
      <c r="X168" s="617">
        <f>+'[3]Egresos -2015 '!$Z$167</f>
        <v>1050</v>
      </c>
      <c r="Y168" s="8">
        <f t="shared" si="213"/>
        <v>650000</v>
      </c>
      <c r="Z168" s="1">
        <v>250000</v>
      </c>
      <c r="AA168" s="1">
        <v>100000</v>
      </c>
      <c r="AB168" s="1">
        <v>100000</v>
      </c>
      <c r="AC168" s="1">
        <v>100000</v>
      </c>
      <c r="AD168" s="1">
        <v>100000</v>
      </c>
      <c r="AE168" s="642">
        <f t="shared" si="203"/>
        <v>2.0595712652401978E-2</v>
      </c>
      <c r="AF168" s="8">
        <v>0</v>
      </c>
      <c r="AG168" s="2">
        <f t="shared" si="214"/>
        <v>900000</v>
      </c>
      <c r="AH168" s="309">
        <v>500000</v>
      </c>
      <c r="AI168" s="13">
        <v>100000</v>
      </c>
      <c r="AJ168" s="13"/>
      <c r="AK168" s="13">
        <v>300000</v>
      </c>
      <c r="AL168" s="614">
        <f>(AF168/AF7)*100</f>
        <v>0</v>
      </c>
      <c r="AM168" s="614">
        <f>+'[2]Egresos -2015 '!$AM$167</f>
        <v>650</v>
      </c>
      <c r="AN168" s="30">
        <f t="shared" si="215"/>
        <v>950000</v>
      </c>
      <c r="AO168" s="13">
        <v>550000</v>
      </c>
      <c r="AP168" s="613">
        <f t="shared" si="216"/>
        <v>400000</v>
      </c>
      <c r="AQ168" s="309">
        <v>400000</v>
      </c>
      <c r="AR168" s="13"/>
      <c r="AS168" s="13"/>
      <c r="AT168" s="13"/>
      <c r="AU168" s="612">
        <f t="shared" si="217"/>
        <v>4227835.76</v>
      </c>
      <c r="AV168" s="611">
        <f t="shared" si="205"/>
        <v>5.6663396345139403E-5</v>
      </c>
      <c r="AW168" s="610">
        <f>+'[2]Egresos -2015 '!$AO$167</f>
        <v>750</v>
      </c>
      <c r="AX168" s="609">
        <f t="shared" si="206"/>
        <v>1.4502845620143091E-5</v>
      </c>
      <c r="AY168" s="608">
        <f t="shared" si="207"/>
        <v>4.7260186120669601E-5</v>
      </c>
      <c r="AZ168" s="606">
        <f>+((318290.01/6))*12/1000</f>
        <v>636.58001999999999</v>
      </c>
      <c r="BA168" s="608">
        <f t="shared" si="208"/>
        <v>1.742932755789924E-5</v>
      </c>
      <c r="BB168" s="560">
        <f t="shared" si="209"/>
        <v>2438.4199800000001</v>
      </c>
      <c r="BC168" s="607">
        <f>+BB168/AZ168</f>
        <v>3.8305003352131601</v>
      </c>
      <c r="BD168" s="606">
        <v>645.85299999999995</v>
      </c>
      <c r="BE168" s="605">
        <f t="shared" si="210"/>
        <v>1.487571701360862E-5</v>
      </c>
      <c r="BF168" s="560">
        <f t="shared" si="211"/>
        <v>-9.2729799999999614</v>
      </c>
      <c r="BG168" s="604">
        <f>+BF168/BD168</f>
        <v>-1.4357725364750124E-2</v>
      </c>
      <c r="BH168" s="555"/>
    </row>
    <row r="169" spans="1:60" ht="15.75" customHeight="1" x14ac:dyDescent="0.3">
      <c r="A169" s="729"/>
      <c r="B169" s="634"/>
      <c r="C169" s="694"/>
      <c r="D169" s="20"/>
      <c r="E169" s="620"/>
      <c r="F169" s="558"/>
      <c r="G169" s="20"/>
      <c r="H169" s="375"/>
      <c r="I169" s="375"/>
      <c r="J169" s="375"/>
      <c r="K169" s="375"/>
      <c r="L169" s="341"/>
      <c r="M169" s="1"/>
      <c r="N169" s="375"/>
      <c r="O169" s="375"/>
      <c r="P169" s="341"/>
      <c r="Q169" s="375"/>
      <c r="R169" s="1"/>
      <c r="S169" s="1"/>
      <c r="T169" s="1"/>
      <c r="U169" s="1"/>
      <c r="V169" s="1"/>
      <c r="W169" s="1"/>
      <c r="X169" s="617"/>
      <c r="Y169" s="1"/>
      <c r="Z169" s="1"/>
      <c r="AA169" s="1"/>
      <c r="AB169" s="1"/>
      <c r="AC169" s="1"/>
      <c r="AD169" s="1"/>
      <c r="AE169" s="615"/>
      <c r="AF169" s="8"/>
      <c r="AG169" s="11"/>
      <c r="AH169" s="309"/>
      <c r="AI169" s="13"/>
      <c r="AJ169" s="13"/>
      <c r="AK169" s="13"/>
      <c r="AL169" s="614"/>
      <c r="AM169" s="614"/>
      <c r="AN169" s="34"/>
      <c r="AO169" s="323"/>
      <c r="AP169" s="716"/>
      <c r="AQ169" s="322"/>
      <c r="AR169" s="323"/>
      <c r="AS169" s="323"/>
      <c r="AT169" s="323"/>
      <c r="AU169" s="612"/>
      <c r="AV169" s="611"/>
      <c r="AW169" s="610"/>
      <c r="AX169" s="609"/>
      <c r="AY169" s="608"/>
      <c r="AZ169" s="606"/>
      <c r="BA169" s="608"/>
      <c r="BB169" s="560"/>
      <c r="BC169" s="607"/>
      <c r="BD169" s="606"/>
      <c r="BE169" s="605"/>
      <c r="BF169" s="560"/>
      <c r="BG169" s="604"/>
      <c r="BH169" s="555"/>
    </row>
    <row r="170" spans="1:60" ht="15.75" hidden="1" customHeight="1" x14ac:dyDescent="0.3">
      <c r="A170" s="697"/>
      <c r="B170" s="634"/>
      <c r="C170" s="635"/>
      <c r="D170" s="20"/>
      <c r="E170" s="620"/>
      <c r="F170" s="558"/>
      <c r="G170" s="20"/>
      <c r="H170" s="373"/>
      <c r="I170" s="373"/>
      <c r="J170" s="373"/>
      <c r="K170" s="373"/>
      <c r="L170" s="346"/>
      <c r="M170" s="1"/>
      <c r="N170" s="373"/>
      <c r="O170" s="373"/>
      <c r="P170" s="346"/>
      <c r="Q170" s="373"/>
      <c r="R170" s="1"/>
      <c r="S170" s="1"/>
      <c r="T170" s="1"/>
      <c r="U170" s="1"/>
      <c r="V170" s="1"/>
      <c r="W170" s="1"/>
      <c r="X170" s="617"/>
      <c r="Y170" s="1"/>
      <c r="Z170" s="1"/>
      <c r="AA170" s="1"/>
      <c r="AB170" s="1"/>
      <c r="AC170" s="1"/>
      <c r="AD170" s="1"/>
      <c r="AE170" s="615"/>
      <c r="AF170" s="8"/>
      <c r="AG170" s="2"/>
      <c r="AH170" s="309"/>
      <c r="AI170" s="13"/>
      <c r="AJ170" s="13"/>
      <c r="AK170" s="13"/>
      <c r="AL170" s="614"/>
      <c r="AM170" s="614"/>
      <c r="AN170" s="34"/>
      <c r="AO170" s="13"/>
      <c r="AP170" s="115"/>
      <c r="AQ170" s="309"/>
      <c r="AR170" s="13"/>
      <c r="AS170" s="13"/>
      <c r="AT170" s="13"/>
      <c r="AU170" s="612"/>
      <c r="AV170" s="611"/>
      <c r="AW170" s="610"/>
      <c r="AX170" s="609"/>
      <c r="AY170" s="608"/>
      <c r="AZ170" s="606"/>
      <c r="BA170" s="608"/>
      <c r="BB170" s="560"/>
      <c r="BC170" s="607"/>
      <c r="BD170" s="606"/>
      <c r="BE170" s="605"/>
      <c r="BF170" s="560"/>
      <c r="BG170" s="604"/>
      <c r="BH170" s="555"/>
    </row>
    <row r="171" spans="1:60" ht="15.75" customHeight="1" x14ac:dyDescent="0.3">
      <c r="A171" s="728">
        <v>3</v>
      </c>
      <c r="B171" s="1909" t="s">
        <v>257</v>
      </c>
      <c r="C171" s="1968"/>
      <c r="D171" s="25">
        <f>D173</f>
        <v>631361000</v>
      </c>
      <c r="E171" s="628">
        <f>SUM(G171+Y171+AG171+AN171)</f>
        <v>631361000</v>
      </c>
      <c r="F171" s="561">
        <f>F173</f>
        <v>719495.68000000005</v>
      </c>
      <c r="G171" s="25">
        <f>+G173+G182</f>
        <v>0</v>
      </c>
      <c r="H171" s="25">
        <f t="shared" ref="H171:U171" si="218">H173</f>
        <v>0</v>
      </c>
      <c r="I171" s="25">
        <f t="shared" si="218"/>
        <v>0</v>
      </c>
      <c r="J171" s="25">
        <f t="shared" si="218"/>
        <v>0</v>
      </c>
      <c r="K171" s="25">
        <f t="shared" si="218"/>
        <v>0</v>
      </c>
      <c r="L171" s="25">
        <f t="shared" si="218"/>
        <v>0</v>
      </c>
      <c r="M171" s="25">
        <f t="shared" si="218"/>
        <v>0</v>
      </c>
      <c r="N171" s="25">
        <f t="shared" si="218"/>
        <v>0</v>
      </c>
      <c r="O171" s="25">
        <f t="shared" si="218"/>
        <v>0</v>
      </c>
      <c r="P171" s="25">
        <f t="shared" si="218"/>
        <v>0</v>
      </c>
      <c r="Q171" s="25">
        <f t="shared" si="218"/>
        <v>0</v>
      </c>
      <c r="R171" s="25">
        <f t="shared" si="218"/>
        <v>0</v>
      </c>
      <c r="S171" s="25">
        <f t="shared" si="218"/>
        <v>0</v>
      </c>
      <c r="T171" s="25">
        <f t="shared" si="218"/>
        <v>0</v>
      </c>
      <c r="U171" s="25">
        <f t="shared" si="218"/>
        <v>0</v>
      </c>
      <c r="V171" s="25">
        <f>V173+V182</f>
        <v>0</v>
      </c>
      <c r="W171" s="25">
        <f>W173</f>
        <v>0</v>
      </c>
      <c r="X171" s="350">
        <f>G171/1000</f>
        <v>0</v>
      </c>
      <c r="Y171" s="25">
        <f t="shared" ref="Y171:AD171" si="219">Y173</f>
        <v>0</v>
      </c>
      <c r="Z171" s="25">
        <f t="shared" si="219"/>
        <v>0</v>
      </c>
      <c r="AA171" s="25">
        <f t="shared" si="219"/>
        <v>0</v>
      </c>
      <c r="AB171" s="25">
        <f t="shared" si="219"/>
        <v>0</v>
      </c>
      <c r="AC171" s="25">
        <f t="shared" si="219"/>
        <v>0</v>
      </c>
      <c r="AD171" s="25">
        <f t="shared" si="219"/>
        <v>0</v>
      </c>
      <c r="AE171" s="615"/>
      <c r="AF171" s="10">
        <f>Y171/1000</f>
        <v>0</v>
      </c>
      <c r="AG171" s="2">
        <f>SUM(AG173)</f>
        <v>0</v>
      </c>
      <c r="AH171" s="308">
        <f>AH173+AH182</f>
        <v>0</v>
      </c>
      <c r="AI171" s="33">
        <f>AI173+AI182</f>
        <v>0</v>
      </c>
      <c r="AJ171" s="33">
        <f>AJ173+AJ182</f>
        <v>0</v>
      </c>
      <c r="AK171" s="33">
        <f>AK173+AK182</f>
        <v>0</v>
      </c>
      <c r="AL171" s="614"/>
      <c r="AM171" s="623">
        <f>AG171/1000</f>
        <v>0</v>
      </c>
      <c r="AN171" s="34">
        <f>AN173+AN182</f>
        <v>631361000</v>
      </c>
      <c r="AO171" s="35">
        <f>AO173+AO182</f>
        <v>631361000</v>
      </c>
      <c r="AP171" s="34">
        <f>SUM(AP173)</f>
        <v>0</v>
      </c>
      <c r="AQ171" s="305">
        <f>AQ173+AQ182</f>
        <v>0</v>
      </c>
      <c r="AR171" s="35">
        <f>AR173+AR182</f>
        <v>0</v>
      </c>
      <c r="AS171" s="35">
        <f>AS173+AS182</f>
        <v>0</v>
      </c>
      <c r="AT171" s="35">
        <f>AT173+AT182</f>
        <v>0</v>
      </c>
      <c r="AU171" s="622">
        <f>AU173+AU182</f>
        <v>631361000</v>
      </c>
      <c r="AV171" s="611">
        <f>AM171/$AM$7</f>
        <v>0</v>
      </c>
      <c r="AW171" s="621">
        <f>+AW173</f>
        <v>1664893.68</v>
      </c>
      <c r="AX171" s="609">
        <f t="shared" ref="AX171:AX183" si="220">AW171/$AW$7</f>
        <v>3.2194261353322554E-2</v>
      </c>
      <c r="AY171" s="608">
        <f>+F171/$F$7</f>
        <v>1.105804869912772E-2</v>
      </c>
      <c r="AZ171" s="561">
        <f>AZ173+AZ182</f>
        <v>313855.2868</v>
      </c>
      <c r="BA171" s="608">
        <f>+AZ171/$AZ$7</f>
        <v>8.5932426836387507E-3</v>
      </c>
      <c r="BB171" s="560">
        <f>+F171-AZ171</f>
        <v>405640.39320000005</v>
      </c>
      <c r="BC171" s="607">
        <f>+BB171/AZ171</f>
        <v>1.2924440347518786</v>
      </c>
      <c r="BD171" s="561">
        <f>BD173+BD182</f>
        <v>774538.03300000005</v>
      </c>
      <c r="BE171" s="605">
        <f>+BD171/$BD$7</f>
        <v>1.7839676513363035E-2</v>
      </c>
      <c r="BF171" s="560">
        <f>AZ171-BD171</f>
        <v>-460682.74620000005</v>
      </c>
      <c r="BG171" s="604">
        <f>+BF171/BD171</f>
        <v>-0.59478389255547381</v>
      </c>
      <c r="BH171" s="555"/>
    </row>
    <row r="172" spans="1:60" ht="15.75" customHeight="1" x14ac:dyDescent="0.3">
      <c r="A172" s="697"/>
      <c r="B172" s="634"/>
      <c r="C172" s="635"/>
      <c r="D172" s="20"/>
      <c r="E172" s="620"/>
      <c r="F172" s="558"/>
      <c r="G172" s="21"/>
      <c r="H172" s="373"/>
      <c r="I172" s="373"/>
      <c r="J172" s="373"/>
      <c r="K172" s="373"/>
      <c r="L172" s="346"/>
      <c r="M172" s="1"/>
      <c r="N172" s="373"/>
      <c r="O172" s="373"/>
      <c r="P172" s="346"/>
      <c r="Q172" s="373"/>
      <c r="R172" s="1"/>
      <c r="S172" s="1"/>
      <c r="T172" s="1"/>
      <c r="U172" s="1"/>
      <c r="V172" s="1"/>
      <c r="W172" s="1"/>
      <c r="X172" s="617"/>
      <c r="Y172" s="1"/>
      <c r="Z172" s="1"/>
      <c r="AA172" s="1"/>
      <c r="AB172" s="1"/>
      <c r="AC172" s="1"/>
      <c r="AD172" s="1"/>
      <c r="AE172" s="615"/>
      <c r="AF172" s="8"/>
      <c r="AG172" s="2"/>
      <c r="AH172" s="309"/>
      <c r="AI172" s="13"/>
      <c r="AJ172" s="13"/>
      <c r="AK172" s="13"/>
      <c r="AL172" s="614"/>
      <c r="AM172" s="614"/>
      <c r="AN172" s="34"/>
      <c r="AO172" s="13"/>
      <c r="AP172" s="115"/>
      <c r="AQ172" s="309"/>
      <c r="AR172" s="13"/>
      <c r="AS172" s="13"/>
      <c r="AT172" s="13"/>
      <c r="AU172" s="612"/>
      <c r="AV172" s="611"/>
      <c r="AW172" s="610"/>
      <c r="AX172" s="609">
        <f t="shared" si="220"/>
        <v>0</v>
      </c>
      <c r="AY172" s="608"/>
      <c r="AZ172" s="606"/>
      <c r="BA172" s="608"/>
      <c r="BB172" s="560"/>
      <c r="BC172" s="607"/>
      <c r="BD172" s="606"/>
      <c r="BE172" s="605"/>
      <c r="BF172" s="560"/>
      <c r="BG172" s="604"/>
      <c r="BH172" s="555"/>
    </row>
    <row r="173" spans="1:60" ht="15.75" customHeight="1" x14ac:dyDescent="0.3">
      <c r="A173" s="562" t="s">
        <v>258</v>
      </c>
      <c r="B173" s="1973" t="s">
        <v>259</v>
      </c>
      <c r="C173" s="1974"/>
      <c r="D173" s="21">
        <f>SUM(D174:D180)</f>
        <v>631361000</v>
      </c>
      <c r="E173" s="628">
        <f t="shared" ref="E173:E183" si="221">SUM(G173+Y173+AG173+AN173)</f>
        <v>631361000</v>
      </c>
      <c r="F173" s="561">
        <f>F179</f>
        <v>719495.68000000005</v>
      </c>
      <c r="G173" s="21">
        <f t="shared" ref="G173:G180" si="222">SUM(H173:W173)</f>
        <v>0</v>
      </c>
      <c r="H173" s="374">
        <f t="shared" ref="H173:W173" si="223">SUM(H174:H180)</f>
        <v>0</v>
      </c>
      <c r="I173" s="374">
        <f t="shared" si="223"/>
        <v>0</v>
      </c>
      <c r="J173" s="374">
        <f t="shared" si="223"/>
        <v>0</v>
      </c>
      <c r="K173" s="374">
        <f t="shared" si="223"/>
        <v>0</v>
      </c>
      <c r="L173" s="23">
        <f t="shared" si="223"/>
        <v>0</v>
      </c>
      <c r="M173" s="23">
        <f t="shared" si="223"/>
        <v>0</v>
      </c>
      <c r="N173" s="374">
        <f t="shared" si="223"/>
        <v>0</v>
      </c>
      <c r="O173" s="374">
        <f t="shared" si="223"/>
        <v>0</v>
      </c>
      <c r="P173" s="23">
        <f t="shared" si="223"/>
        <v>0</v>
      </c>
      <c r="Q173" s="374">
        <f t="shared" si="223"/>
        <v>0</v>
      </c>
      <c r="R173" s="23">
        <f t="shared" si="223"/>
        <v>0</v>
      </c>
      <c r="S173" s="23">
        <f t="shared" si="223"/>
        <v>0</v>
      </c>
      <c r="T173" s="23">
        <f t="shared" si="223"/>
        <v>0</v>
      </c>
      <c r="U173" s="23">
        <f t="shared" si="223"/>
        <v>0</v>
      </c>
      <c r="V173" s="23">
        <f t="shared" si="223"/>
        <v>0</v>
      </c>
      <c r="W173" s="23">
        <f t="shared" si="223"/>
        <v>0</v>
      </c>
      <c r="X173" s="350">
        <f t="shared" ref="X173:X183" si="224">G173/1000</f>
        <v>0</v>
      </c>
      <c r="Y173" s="23">
        <f t="shared" ref="Y173:AD173" si="225">SUM(Y174:Y180)</f>
        <v>0</v>
      </c>
      <c r="Z173" s="23">
        <f t="shared" si="225"/>
        <v>0</v>
      </c>
      <c r="AA173" s="23">
        <f t="shared" si="225"/>
        <v>0</v>
      </c>
      <c r="AB173" s="23">
        <f t="shared" si="225"/>
        <v>0</v>
      </c>
      <c r="AC173" s="23">
        <f t="shared" si="225"/>
        <v>0</v>
      </c>
      <c r="AD173" s="23">
        <f t="shared" si="225"/>
        <v>0</v>
      </c>
      <c r="AE173" s="615"/>
      <c r="AF173" s="10">
        <f t="shared" ref="AF173:AF183" si="226">Y173/1000</f>
        <v>0</v>
      </c>
      <c r="AG173" s="2">
        <f>SUM(AG179)</f>
        <v>0</v>
      </c>
      <c r="AH173" s="308">
        <f>SUM(AH174:AH180)</f>
        <v>0</v>
      </c>
      <c r="AI173" s="33">
        <f>SUM(AI174:AI180)</f>
        <v>0</v>
      </c>
      <c r="AJ173" s="33">
        <f>SUM(AJ174:AJ180)</f>
        <v>0</v>
      </c>
      <c r="AK173" s="33">
        <f>SUM(AK174:AK180)</f>
        <v>0</v>
      </c>
      <c r="AL173" s="614"/>
      <c r="AM173" s="623">
        <f t="shared" ref="AM173:AM183" si="227">AG173/1000</f>
        <v>0</v>
      </c>
      <c r="AN173" s="34">
        <f>SUM(AN174:AN180)</f>
        <v>631361000</v>
      </c>
      <c r="AO173" s="35">
        <f>SUM(AO179)</f>
        <v>631361000</v>
      </c>
      <c r="AP173" s="34">
        <f>SUM(AP179)</f>
        <v>0</v>
      </c>
      <c r="AQ173" s="305">
        <f>SUM(AQ174:AQ180)</f>
        <v>0</v>
      </c>
      <c r="AR173" s="35">
        <f>SUM(AR174:AR180)</f>
        <v>0</v>
      </c>
      <c r="AS173" s="35">
        <f>SUM(AS174:AS180)</f>
        <v>0</v>
      </c>
      <c r="AT173" s="35">
        <f>SUM(AT179)</f>
        <v>0</v>
      </c>
      <c r="AU173" s="622">
        <f>SUM(AU174:AU180)</f>
        <v>631361000</v>
      </c>
      <c r="AV173" s="611">
        <f t="shared" ref="AV173:AV183" si="228">AM173/$AM$7</f>
        <v>0</v>
      </c>
      <c r="AW173" s="621">
        <f>+AW179</f>
        <v>1664893.68</v>
      </c>
      <c r="AX173" s="609">
        <f t="shared" si="220"/>
        <v>3.2194261353322554E-2</v>
      </c>
      <c r="AY173" s="608">
        <f t="shared" ref="AY173:AY180" si="229">+F173/$F$7</f>
        <v>1.105804869912772E-2</v>
      </c>
      <c r="AZ173" s="561">
        <f>AZ178+AZ179</f>
        <v>313855.2868</v>
      </c>
      <c r="BA173" s="608">
        <f t="shared" ref="BA173:BA180" si="230">+AZ173/$AZ$7</f>
        <v>8.5932426836387507E-3</v>
      </c>
      <c r="BB173" s="560">
        <f t="shared" ref="BB173:BB180" si="231">+F173-AZ173</f>
        <v>405640.39320000005</v>
      </c>
      <c r="BC173" s="607">
        <f t="shared" ref="BC173:BC179" si="232">+BB173/AZ173</f>
        <v>1.2924440347518786</v>
      </c>
      <c r="BD173" s="558">
        <f>BD179</f>
        <v>773839.90800000005</v>
      </c>
      <c r="BE173" s="605">
        <f t="shared" ref="BE173:BE180" si="233">+BD173/$BD$7</f>
        <v>1.7823596832785372E-2</v>
      </c>
      <c r="BF173" s="560">
        <f t="shared" ref="BF173:BF180" si="234">AZ173-BD173</f>
        <v>-459984.62120000005</v>
      </c>
      <c r="BG173" s="604">
        <f>+BF173/BD173</f>
        <v>-0.59441832405469586</v>
      </c>
      <c r="BH173" s="555"/>
    </row>
    <row r="174" spans="1:60" ht="15.75" hidden="1" customHeight="1" x14ac:dyDescent="0.3">
      <c r="A174" s="559" t="s">
        <v>260</v>
      </c>
      <c r="B174" s="1967" t="s">
        <v>261</v>
      </c>
      <c r="C174" s="1968"/>
      <c r="D174" s="20">
        <f t="shared" ref="D174:D180" si="235">+G174+Y174+AG174+AN174</f>
        <v>0</v>
      </c>
      <c r="E174" s="620">
        <f t="shared" si="221"/>
        <v>0</v>
      </c>
      <c r="F174" s="558">
        <f>+X174+AF174+AM174+AW174</f>
        <v>0</v>
      </c>
      <c r="G174" s="21">
        <f t="shared" si="222"/>
        <v>0</v>
      </c>
      <c r="H174" s="375"/>
      <c r="I174" s="375"/>
      <c r="J174" s="375"/>
      <c r="K174" s="375"/>
      <c r="L174" s="341"/>
      <c r="M174" s="1"/>
      <c r="N174" s="375"/>
      <c r="O174" s="375"/>
      <c r="P174" s="341"/>
      <c r="Q174" s="375"/>
      <c r="R174" s="1"/>
      <c r="S174" s="1"/>
      <c r="T174" s="1"/>
      <c r="U174" s="1"/>
      <c r="V174" s="1">
        <v>0</v>
      </c>
      <c r="W174" s="1"/>
      <c r="X174" s="617">
        <f t="shared" si="224"/>
        <v>0</v>
      </c>
      <c r="Y174" s="1"/>
      <c r="Z174" s="1"/>
      <c r="AA174" s="1"/>
      <c r="AB174" s="1"/>
      <c r="AC174" s="1"/>
      <c r="AD174" s="1"/>
      <c r="AE174" s="615">
        <f>X174/$X$7*100</f>
        <v>0</v>
      </c>
      <c r="AF174" s="8">
        <f t="shared" si="226"/>
        <v>0</v>
      </c>
      <c r="AG174" s="2">
        <f>SUM(AH174:AJ174)</f>
        <v>0</v>
      </c>
      <c r="AH174" s="309"/>
      <c r="AI174" s="13"/>
      <c r="AJ174" s="35">
        <v>0</v>
      </c>
      <c r="AK174" s="35">
        <v>0</v>
      </c>
      <c r="AL174" s="614"/>
      <c r="AM174" s="614">
        <f t="shared" si="227"/>
        <v>0</v>
      </c>
      <c r="AN174" s="34">
        <v>0</v>
      </c>
      <c r="AO174" s="35">
        <v>0</v>
      </c>
      <c r="AP174" s="34">
        <v>0</v>
      </c>
      <c r="AQ174" s="305">
        <v>0</v>
      </c>
      <c r="AR174" s="35">
        <v>0</v>
      </c>
      <c r="AS174" s="35">
        <v>0</v>
      </c>
      <c r="AT174" s="35">
        <v>0</v>
      </c>
      <c r="AU174" s="612">
        <v>0</v>
      </c>
      <c r="AV174" s="611">
        <f t="shared" si="228"/>
        <v>0</v>
      </c>
      <c r="AW174" s="610">
        <f>AN174/1000</f>
        <v>0</v>
      </c>
      <c r="AX174" s="609">
        <f t="shared" si="220"/>
        <v>0</v>
      </c>
      <c r="AY174" s="608">
        <f t="shared" si="229"/>
        <v>0</v>
      </c>
      <c r="AZ174" s="606">
        <f>+((0/7))*12/1000</f>
        <v>0</v>
      </c>
      <c r="BA174" s="608">
        <f t="shared" si="230"/>
        <v>0</v>
      </c>
      <c r="BB174" s="560">
        <f t="shared" si="231"/>
        <v>0</v>
      </c>
      <c r="BC174" s="607" t="e">
        <f t="shared" si="232"/>
        <v>#DIV/0!</v>
      </c>
      <c r="BD174" s="606"/>
      <c r="BE174" s="605">
        <f t="shared" si="233"/>
        <v>0</v>
      </c>
      <c r="BF174" s="560">
        <f t="shared" si="234"/>
        <v>0</v>
      </c>
      <c r="BG174" s="604" t="e">
        <f>+BF174/BD174</f>
        <v>#DIV/0!</v>
      </c>
      <c r="BH174" s="555"/>
    </row>
    <row r="175" spans="1:60" ht="15.75" hidden="1" customHeight="1" x14ac:dyDescent="0.3">
      <c r="A175" s="559" t="s">
        <v>262</v>
      </c>
      <c r="B175" s="1967" t="s">
        <v>263</v>
      </c>
      <c r="C175" s="1968"/>
      <c r="D175" s="20">
        <f t="shared" si="235"/>
        <v>0</v>
      </c>
      <c r="E175" s="620">
        <f t="shared" si="221"/>
        <v>0</v>
      </c>
      <c r="F175" s="558">
        <f>+X175+AF175+AM175+AW175</f>
        <v>0</v>
      </c>
      <c r="G175" s="21">
        <f t="shared" si="222"/>
        <v>0</v>
      </c>
      <c r="H175" s="375"/>
      <c r="I175" s="375"/>
      <c r="J175" s="375"/>
      <c r="K175" s="375"/>
      <c r="L175" s="341"/>
      <c r="M175" s="1"/>
      <c r="N175" s="375"/>
      <c r="O175" s="375"/>
      <c r="P175" s="341"/>
      <c r="Q175" s="375"/>
      <c r="R175" s="1"/>
      <c r="S175" s="1"/>
      <c r="T175" s="1"/>
      <c r="U175" s="1"/>
      <c r="V175" s="1"/>
      <c r="W175" s="1"/>
      <c r="X175" s="617">
        <f t="shared" si="224"/>
        <v>0</v>
      </c>
      <c r="Y175" s="1"/>
      <c r="Z175" s="1"/>
      <c r="AA175" s="1"/>
      <c r="AB175" s="1"/>
      <c r="AC175" s="1"/>
      <c r="AD175" s="1"/>
      <c r="AE175" s="615">
        <f>X175/$X$7*100</f>
        <v>0</v>
      </c>
      <c r="AF175" s="8">
        <f t="shared" si="226"/>
        <v>0</v>
      </c>
      <c r="AG175" s="2">
        <f>SUM(AH175:AJ175)</f>
        <v>0</v>
      </c>
      <c r="AH175" s="304">
        <v>0</v>
      </c>
      <c r="AI175" s="1">
        <v>0</v>
      </c>
      <c r="AJ175" s="35">
        <v>0</v>
      </c>
      <c r="AK175" s="35">
        <v>0</v>
      </c>
      <c r="AL175" s="614"/>
      <c r="AM175" s="614">
        <f t="shared" si="227"/>
        <v>0</v>
      </c>
      <c r="AN175" s="34">
        <v>0</v>
      </c>
      <c r="AO175" s="35">
        <v>0</v>
      </c>
      <c r="AP175" s="34">
        <v>0</v>
      </c>
      <c r="AQ175" s="305">
        <v>0</v>
      </c>
      <c r="AR175" s="35">
        <v>0</v>
      </c>
      <c r="AS175" s="35">
        <v>0</v>
      </c>
      <c r="AT175" s="35">
        <v>0</v>
      </c>
      <c r="AU175" s="612">
        <v>0</v>
      </c>
      <c r="AV175" s="611">
        <f t="shared" si="228"/>
        <v>0</v>
      </c>
      <c r="AW175" s="610">
        <f>AN175/1000</f>
        <v>0</v>
      </c>
      <c r="AX175" s="609">
        <f t="shared" si="220"/>
        <v>0</v>
      </c>
      <c r="AY175" s="608">
        <f t="shared" si="229"/>
        <v>0</v>
      </c>
      <c r="AZ175" s="606">
        <f>+((0/7))*12/1000</f>
        <v>0</v>
      </c>
      <c r="BA175" s="608">
        <f t="shared" si="230"/>
        <v>0</v>
      </c>
      <c r="BB175" s="560">
        <f t="shared" si="231"/>
        <v>0</v>
      </c>
      <c r="BC175" s="607" t="e">
        <f t="shared" si="232"/>
        <v>#DIV/0!</v>
      </c>
      <c r="BD175" s="606"/>
      <c r="BE175" s="605">
        <f t="shared" si="233"/>
        <v>0</v>
      </c>
      <c r="BF175" s="560">
        <f t="shared" si="234"/>
        <v>0</v>
      </c>
      <c r="BG175" s="604" t="e">
        <f>+BF175/BD175</f>
        <v>#DIV/0!</v>
      </c>
      <c r="BH175" s="555"/>
    </row>
    <row r="176" spans="1:60" ht="15.75" hidden="1" customHeight="1" x14ac:dyDescent="0.3">
      <c r="A176" s="559" t="s">
        <v>264</v>
      </c>
      <c r="B176" s="1967" t="s">
        <v>265</v>
      </c>
      <c r="C176" s="1968"/>
      <c r="D176" s="20">
        <f t="shared" si="235"/>
        <v>0</v>
      </c>
      <c r="E176" s="620">
        <f t="shared" si="221"/>
        <v>0</v>
      </c>
      <c r="F176" s="558">
        <f>+X176+AF176+AM176+AW176</f>
        <v>0</v>
      </c>
      <c r="G176" s="21">
        <f t="shared" si="222"/>
        <v>0</v>
      </c>
      <c r="H176" s="375"/>
      <c r="I176" s="375"/>
      <c r="J176" s="375"/>
      <c r="K176" s="375"/>
      <c r="L176" s="341"/>
      <c r="M176" s="1"/>
      <c r="N176" s="375"/>
      <c r="O176" s="375"/>
      <c r="P176" s="341"/>
      <c r="Q176" s="375"/>
      <c r="R176" s="1"/>
      <c r="S176" s="1"/>
      <c r="T176" s="1"/>
      <c r="U176" s="1"/>
      <c r="V176" s="1"/>
      <c r="W176" s="1"/>
      <c r="X176" s="617">
        <f t="shared" si="224"/>
        <v>0</v>
      </c>
      <c r="Y176" s="1"/>
      <c r="Z176" s="1"/>
      <c r="AA176" s="1"/>
      <c r="AB176" s="1"/>
      <c r="AC176" s="1"/>
      <c r="AD176" s="1"/>
      <c r="AE176" s="615">
        <f>X176/$X$7*100</f>
        <v>0</v>
      </c>
      <c r="AF176" s="8">
        <f t="shared" si="226"/>
        <v>0</v>
      </c>
      <c r="AG176" s="2">
        <f>SUM(AH176:AJ176)</f>
        <v>0</v>
      </c>
      <c r="AH176" s="309"/>
      <c r="AI176" s="13"/>
      <c r="AJ176" s="35">
        <v>0</v>
      </c>
      <c r="AK176" s="35">
        <v>0</v>
      </c>
      <c r="AL176" s="614"/>
      <c r="AM176" s="614">
        <f t="shared" si="227"/>
        <v>0</v>
      </c>
      <c r="AN176" s="34">
        <v>0</v>
      </c>
      <c r="AO176" s="35">
        <v>0</v>
      </c>
      <c r="AP176" s="34">
        <v>0</v>
      </c>
      <c r="AQ176" s="305">
        <v>0</v>
      </c>
      <c r="AR176" s="35">
        <v>0</v>
      </c>
      <c r="AS176" s="35">
        <v>0</v>
      </c>
      <c r="AT176" s="35">
        <v>0</v>
      </c>
      <c r="AU176" s="612">
        <v>0</v>
      </c>
      <c r="AV176" s="611">
        <f t="shared" si="228"/>
        <v>0</v>
      </c>
      <c r="AW176" s="610">
        <f>AN176/1000</f>
        <v>0</v>
      </c>
      <c r="AX176" s="609">
        <f t="shared" si="220"/>
        <v>0</v>
      </c>
      <c r="AY176" s="608">
        <f t="shared" si="229"/>
        <v>0</v>
      </c>
      <c r="AZ176" s="606">
        <f>+((0/7))*12/1000</f>
        <v>0</v>
      </c>
      <c r="BA176" s="608">
        <f t="shared" si="230"/>
        <v>0</v>
      </c>
      <c r="BB176" s="560">
        <f t="shared" si="231"/>
        <v>0</v>
      </c>
      <c r="BC176" s="607" t="e">
        <f t="shared" si="232"/>
        <v>#DIV/0!</v>
      </c>
      <c r="BD176" s="606"/>
      <c r="BE176" s="605">
        <f t="shared" si="233"/>
        <v>0</v>
      </c>
      <c r="BF176" s="560">
        <f t="shared" si="234"/>
        <v>0</v>
      </c>
      <c r="BG176" s="604" t="e">
        <f>+BF176/BD176</f>
        <v>#DIV/0!</v>
      </c>
      <c r="BH176" s="555"/>
    </row>
    <row r="177" spans="1:60" ht="15.75" hidden="1" customHeight="1" x14ac:dyDescent="0.3">
      <c r="A177" s="559" t="s">
        <v>266</v>
      </c>
      <c r="B177" s="1967" t="s">
        <v>267</v>
      </c>
      <c r="C177" s="1968"/>
      <c r="D177" s="20">
        <f t="shared" si="235"/>
        <v>0</v>
      </c>
      <c r="E177" s="620">
        <f t="shared" si="221"/>
        <v>0</v>
      </c>
      <c r="F177" s="558">
        <f>+X177+AF177+AM177+AW177</f>
        <v>0</v>
      </c>
      <c r="G177" s="21">
        <f t="shared" si="222"/>
        <v>0</v>
      </c>
      <c r="H177" s="375"/>
      <c r="I177" s="375"/>
      <c r="J177" s="375"/>
      <c r="K177" s="375"/>
      <c r="L177" s="341"/>
      <c r="M177" s="1"/>
      <c r="N177" s="375"/>
      <c r="O177" s="375"/>
      <c r="P177" s="341"/>
      <c r="Q177" s="375"/>
      <c r="R177" s="1"/>
      <c r="S177" s="1"/>
      <c r="T177" s="1"/>
      <c r="U177" s="1"/>
      <c r="V177" s="1"/>
      <c r="W177" s="1"/>
      <c r="X177" s="617">
        <f t="shared" si="224"/>
        <v>0</v>
      </c>
      <c r="Y177" s="1"/>
      <c r="Z177" s="1"/>
      <c r="AA177" s="1"/>
      <c r="AB177" s="1"/>
      <c r="AC177" s="1"/>
      <c r="AD177" s="1"/>
      <c r="AE177" s="615">
        <f>X177/$X$7*100</f>
        <v>0</v>
      </c>
      <c r="AF177" s="8">
        <f t="shared" si="226"/>
        <v>0</v>
      </c>
      <c r="AG177" s="2">
        <f>SUM(AH177:AJ177)</f>
        <v>0</v>
      </c>
      <c r="AH177" s="309"/>
      <c r="AI177" s="13"/>
      <c r="AJ177" s="35">
        <v>0</v>
      </c>
      <c r="AK177" s="35">
        <v>0</v>
      </c>
      <c r="AL177" s="614"/>
      <c r="AM177" s="614">
        <f t="shared" si="227"/>
        <v>0</v>
      </c>
      <c r="AN177" s="34">
        <v>0</v>
      </c>
      <c r="AO177" s="35">
        <v>0</v>
      </c>
      <c r="AP177" s="34">
        <v>0</v>
      </c>
      <c r="AQ177" s="305">
        <v>0</v>
      </c>
      <c r="AR177" s="35">
        <v>0</v>
      </c>
      <c r="AS177" s="35">
        <v>0</v>
      </c>
      <c r="AT177" s="35">
        <v>0</v>
      </c>
      <c r="AU177" s="612">
        <v>0</v>
      </c>
      <c r="AV177" s="611">
        <f t="shared" si="228"/>
        <v>0</v>
      </c>
      <c r="AW177" s="610">
        <f>AN177/1000</f>
        <v>0</v>
      </c>
      <c r="AX177" s="609">
        <f t="shared" si="220"/>
        <v>0</v>
      </c>
      <c r="AY177" s="608">
        <f t="shared" si="229"/>
        <v>0</v>
      </c>
      <c r="AZ177" s="606">
        <f>+((0/7))*12/1000</f>
        <v>0</v>
      </c>
      <c r="BA177" s="608">
        <f t="shared" si="230"/>
        <v>0</v>
      </c>
      <c r="BB177" s="560">
        <f t="shared" si="231"/>
        <v>0</v>
      </c>
      <c r="BC177" s="607" t="e">
        <f t="shared" si="232"/>
        <v>#DIV/0!</v>
      </c>
      <c r="BD177" s="606"/>
      <c r="BE177" s="605">
        <f t="shared" si="233"/>
        <v>0</v>
      </c>
      <c r="BF177" s="560">
        <f t="shared" si="234"/>
        <v>0</v>
      </c>
      <c r="BG177" s="604" t="e">
        <f>+BF177/BD177</f>
        <v>#DIV/0!</v>
      </c>
      <c r="BH177" s="555"/>
    </row>
    <row r="178" spans="1:60" ht="15.75" customHeight="1" x14ac:dyDescent="0.3">
      <c r="A178" s="559" t="s">
        <v>268</v>
      </c>
      <c r="B178" s="1967" t="s">
        <v>269</v>
      </c>
      <c r="C178" s="1968"/>
      <c r="D178" s="20">
        <f t="shared" si="235"/>
        <v>0</v>
      </c>
      <c r="E178" s="620">
        <f t="shared" si="221"/>
        <v>0</v>
      </c>
      <c r="F178" s="558">
        <f>+X178+AF178+AM178+AW178</f>
        <v>0</v>
      </c>
      <c r="G178" s="21">
        <f t="shared" si="222"/>
        <v>0</v>
      </c>
      <c r="H178" s="375"/>
      <c r="I178" s="375"/>
      <c r="J178" s="375"/>
      <c r="K178" s="375"/>
      <c r="L178" s="341"/>
      <c r="M178" s="1"/>
      <c r="N178" s="375"/>
      <c r="O178" s="375"/>
      <c r="P178" s="341"/>
      <c r="Q178" s="375"/>
      <c r="R178" s="1"/>
      <c r="S178" s="1"/>
      <c r="T178" s="1"/>
      <c r="U178" s="1"/>
      <c r="V178" s="1">
        <v>0</v>
      </c>
      <c r="W178" s="1"/>
      <c r="X178" s="617">
        <f t="shared" si="224"/>
        <v>0</v>
      </c>
      <c r="Y178" s="1"/>
      <c r="Z178" s="1"/>
      <c r="AA178" s="1"/>
      <c r="AB178" s="1"/>
      <c r="AC178" s="1"/>
      <c r="AD178" s="1"/>
      <c r="AE178" s="615">
        <f>X178/$X$7*100</f>
        <v>0</v>
      </c>
      <c r="AF178" s="8">
        <f t="shared" si="226"/>
        <v>0</v>
      </c>
      <c r="AG178" s="2">
        <f>SUM(AH178:AJ178)</f>
        <v>0</v>
      </c>
      <c r="AH178" s="304">
        <v>0</v>
      </c>
      <c r="AI178" s="1">
        <v>0</v>
      </c>
      <c r="AJ178" s="35">
        <v>0</v>
      </c>
      <c r="AK178" s="35">
        <v>0</v>
      </c>
      <c r="AL178" s="614"/>
      <c r="AM178" s="614">
        <f t="shared" si="227"/>
        <v>0</v>
      </c>
      <c r="AN178" s="34">
        <v>0</v>
      </c>
      <c r="AO178" s="35">
        <v>0</v>
      </c>
      <c r="AP178" s="34">
        <v>0</v>
      </c>
      <c r="AQ178" s="305">
        <v>0</v>
      </c>
      <c r="AR178" s="35">
        <v>0</v>
      </c>
      <c r="AS178" s="35">
        <v>0</v>
      </c>
      <c r="AT178" s="35">
        <v>0</v>
      </c>
      <c r="AU178" s="612">
        <v>0</v>
      </c>
      <c r="AV178" s="611">
        <f t="shared" si="228"/>
        <v>0</v>
      </c>
      <c r="AW178" s="610">
        <f>AN178/1000</f>
        <v>0</v>
      </c>
      <c r="AX178" s="609">
        <f t="shared" si="220"/>
        <v>0</v>
      </c>
      <c r="AY178" s="608">
        <f t="shared" si="229"/>
        <v>0</v>
      </c>
      <c r="AZ178" s="606">
        <f>((950735/6)*12/1000)</f>
        <v>1901.47</v>
      </c>
      <c r="BA178" s="608">
        <f t="shared" si="230"/>
        <v>5.2061551462954601E-5</v>
      </c>
      <c r="BB178" s="560">
        <f t="shared" si="231"/>
        <v>-1901.47</v>
      </c>
      <c r="BC178" s="607">
        <f t="shared" si="232"/>
        <v>-1</v>
      </c>
      <c r="BD178" s="606">
        <v>0</v>
      </c>
      <c r="BE178" s="605">
        <f t="shared" si="233"/>
        <v>0</v>
      </c>
      <c r="BF178" s="560">
        <f t="shared" si="234"/>
        <v>1901.47</v>
      </c>
      <c r="BG178" s="604"/>
      <c r="BH178" s="555"/>
    </row>
    <row r="179" spans="1:60" ht="16.5" customHeight="1" x14ac:dyDescent="0.3">
      <c r="A179" s="559" t="s">
        <v>270</v>
      </c>
      <c r="B179" s="1967" t="s">
        <v>271</v>
      </c>
      <c r="C179" s="1968"/>
      <c r="D179" s="20">
        <f t="shared" si="235"/>
        <v>631361000</v>
      </c>
      <c r="E179" s="620">
        <f t="shared" si="221"/>
        <v>631361000</v>
      </c>
      <c r="F179" s="558">
        <f>719495680/1000</f>
        <v>719495.68000000005</v>
      </c>
      <c r="G179" s="21">
        <f t="shared" si="222"/>
        <v>0</v>
      </c>
      <c r="H179" s="375"/>
      <c r="I179" s="375"/>
      <c r="J179" s="375"/>
      <c r="K179" s="375"/>
      <c r="L179" s="341"/>
      <c r="M179" s="1"/>
      <c r="N179" s="375"/>
      <c r="O179" s="375"/>
      <c r="P179" s="341"/>
      <c r="Q179" s="375"/>
      <c r="R179" s="1"/>
      <c r="S179" s="1"/>
      <c r="T179" s="1"/>
      <c r="U179" s="1"/>
      <c r="V179" s="1"/>
      <c r="W179" s="1"/>
      <c r="X179" s="617">
        <f t="shared" si="224"/>
        <v>0</v>
      </c>
      <c r="Y179" s="8">
        <f>SUM(Z179:AD179)</f>
        <v>0</v>
      </c>
      <c r="Z179" s="1"/>
      <c r="AA179" s="1"/>
      <c r="AB179" s="1"/>
      <c r="AC179" s="1"/>
      <c r="AD179" s="1"/>
      <c r="AE179" s="615"/>
      <c r="AF179" s="8">
        <f t="shared" si="226"/>
        <v>0</v>
      </c>
      <c r="AG179" s="2">
        <f>SUM(AH179:AK179)</f>
        <v>0</v>
      </c>
      <c r="AH179" s="309"/>
      <c r="AI179" s="13">
        <v>0</v>
      </c>
      <c r="AJ179" s="13">
        <v>0</v>
      </c>
      <c r="AK179" s="13">
        <v>0</v>
      </c>
      <c r="AL179" s="614"/>
      <c r="AM179" s="614">
        <f t="shared" si="227"/>
        <v>0</v>
      </c>
      <c r="AN179" s="30">
        <f>SUM(AO179+AP179)</f>
        <v>631361000</v>
      </c>
      <c r="AO179" s="13">
        <v>631361000</v>
      </c>
      <c r="AP179" s="613">
        <f>SUM(AQ179:AT179)</f>
        <v>0</v>
      </c>
      <c r="AQ179" s="309">
        <v>0</v>
      </c>
      <c r="AR179" s="13">
        <v>0</v>
      </c>
      <c r="AS179" s="13">
        <v>0</v>
      </c>
      <c r="AT179" s="13">
        <v>0</v>
      </c>
      <c r="AU179" s="612">
        <f>SUM(AN179+AG179+Y179+G179)</f>
        <v>631361000</v>
      </c>
      <c r="AV179" s="611">
        <f t="shared" si="228"/>
        <v>0</v>
      </c>
      <c r="AW179" s="610">
        <f>+'[2]Egresos -2015 '!$AO$178</f>
        <v>1664893.68</v>
      </c>
      <c r="AX179" s="609">
        <f t="shared" si="220"/>
        <v>3.2194261353322554E-2</v>
      </c>
      <c r="AY179" s="608">
        <f t="shared" si="229"/>
        <v>1.105804869912772E-2</v>
      </c>
      <c r="AZ179" s="606">
        <f>((155976908.4/6)*12/1000)</f>
        <v>311953.81680000003</v>
      </c>
      <c r="BA179" s="608">
        <f t="shared" si="230"/>
        <v>8.5411811321757965E-3</v>
      </c>
      <c r="BB179" s="560">
        <f t="shared" si="231"/>
        <v>407541.86320000002</v>
      </c>
      <c r="BC179" s="607">
        <f t="shared" si="232"/>
        <v>1.3064173004213744</v>
      </c>
      <c r="BD179" s="606">
        <v>773839.90800000005</v>
      </c>
      <c r="BE179" s="605">
        <f t="shared" si="233"/>
        <v>1.7823596832785372E-2</v>
      </c>
      <c r="BF179" s="560">
        <f t="shared" si="234"/>
        <v>-461886.09120000002</v>
      </c>
      <c r="BG179" s="604">
        <f>+BF179/BD179</f>
        <v>-0.59687551187913146</v>
      </c>
      <c r="BH179" s="555"/>
    </row>
    <row r="180" spans="1:60" ht="16.5" hidden="1" customHeight="1" x14ac:dyDescent="0.3">
      <c r="A180" s="559" t="s">
        <v>272</v>
      </c>
      <c r="B180" s="1967" t="s">
        <v>273</v>
      </c>
      <c r="C180" s="1968"/>
      <c r="D180" s="20">
        <f t="shared" si="235"/>
        <v>0</v>
      </c>
      <c r="E180" s="620">
        <f t="shared" si="221"/>
        <v>0</v>
      </c>
      <c r="F180" s="558">
        <f>+X180+AF180+AM180+AW180</f>
        <v>0</v>
      </c>
      <c r="G180" s="21">
        <f t="shared" si="222"/>
        <v>0</v>
      </c>
      <c r="H180" s="375"/>
      <c r="I180" s="375"/>
      <c r="J180" s="375"/>
      <c r="K180" s="375"/>
      <c r="L180" s="341"/>
      <c r="M180" s="1"/>
      <c r="N180" s="375"/>
      <c r="O180" s="375"/>
      <c r="P180" s="341"/>
      <c r="Q180" s="375"/>
      <c r="R180" s="1"/>
      <c r="S180" s="1"/>
      <c r="T180" s="1"/>
      <c r="U180" s="1"/>
      <c r="V180" s="1"/>
      <c r="W180" s="1"/>
      <c r="X180" s="617">
        <f t="shared" si="224"/>
        <v>0</v>
      </c>
      <c r="Y180" s="1"/>
      <c r="Z180" s="1"/>
      <c r="AA180" s="1"/>
      <c r="AB180" s="1"/>
      <c r="AC180" s="1"/>
      <c r="AD180" s="1"/>
      <c r="AE180" s="615">
        <f>X180/$X$7*100</f>
        <v>0</v>
      </c>
      <c r="AF180" s="8">
        <f t="shared" si="226"/>
        <v>0</v>
      </c>
      <c r="AG180" s="2">
        <f>SUM(AH180:AJ180)</f>
        <v>0</v>
      </c>
      <c r="AH180" s="304">
        <v>0</v>
      </c>
      <c r="AI180" s="1">
        <v>0</v>
      </c>
      <c r="AJ180" s="1">
        <f>SUM(AJ181:AJ185)</f>
        <v>0</v>
      </c>
      <c r="AK180" s="1">
        <f>SUM(AK181:AK185)</f>
        <v>0</v>
      </c>
      <c r="AL180" s="614"/>
      <c r="AM180" s="614">
        <f t="shared" si="227"/>
        <v>0</v>
      </c>
      <c r="AN180" s="34">
        <v>0</v>
      </c>
      <c r="AO180" s="1">
        <f t="shared" ref="AO180:AT180" si="236">SUM(AO181:AO185)</f>
        <v>24180518718.5</v>
      </c>
      <c r="AP180" s="70">
        <f t="shared" si="236"/>
        <v>3416575834.21</v>
      </c>
      <c r="AQ180" s="304">
        <f t="shared" si="236"/>
        <v>0</v>
      </c>
      <c r="AR180" s="1">
        <f t="shared" si="236"/>
        <v>0</v>
      </c>
      <c r="AS180" s="1">
        <f t="shared" si="236"/>
        <v>0</v>
      </c>
      <c r="AT180" s="1">
        <f t="shared" si="236"/>
        <v>3416575834.21</v>
      </c>
      <c r="AU180" s="612">
        <v>0</v>
      </c>
      <c r="AV180" s="611">
        <f t="shared" si="228"/>
        <v>0</v>
      </c>
      <c r="AW180" s="610">
        <f>AN180/1000</f>
        <v>0</v>
      </c>
      <c r="AX180" s="609">
        <f t="shared" si="220"/>
        <v>0</v>
      </c>
      <c r="AY180" s="608">
        <f t="shared" si="229"/>
        <v>0</v>
      </c>
      <c r="AZ180" s="606">
        <f>+((0/7))*12/1000</f>
        <v>0</v>
      </c>
      <c r="BA180" s="608">
        <f t="shared" si="230"/>
        <v>0</v>
      </c>
      <c r="BB180" s="560">
        <f t="shared" si="231"/>
        <v>0</v>
      </c>
      <c r="BC180" s="607"/>
      <c r="BD180" s="606">
        <v>0</v>
      </c>
      <c r="BE180" s="605">
        <f t="shared" si="233"/>
        <v>0</v>
      </c>
      <c r="BF180" s="560">
        <f t="shared" si="234"/>
        <v>0</v>
      </c>
      <c r="BG180" s="604">
        <v>0</v>
      </c>
      <c r="BH180" s="555"/>
    </row>
    <row r="181" spans="1:60" ht="16.5" customHeight="1" x14ac:dyDescent="0.3">
      <c r="A181" s="559"/>
      <c r="B181" s="634"/>
      <c r="C181" s="635"/>
      <c r="D181" s="20"/>
      <c r="E181" s="620" t="e">
        <f t="shared" si="221"/>
        <v>#VALUE!</v>
      </c>
      <c r="F181" s="558"/>
      <c r="G181" s="20"/>
      <c r="H181" s="375"/>
      <c r="I181" s="375"/>
      <c r="J181" s="375"/>
      <c r="K181" s="375"/>
      <c r="L181" s="341"/>
      <c r="M181" s="1"/>
      <c r="N181" s="375"/>
      <c r="O181" s="375"/>
      <c r="P181" s="341"/>
      <c r="Q181" s="375"/>
      <c r="R181" s="1"/>
      <c r="S181" s="1"/>
      <c r="T181" s="1"/>
      <c r="U181" s="1"/>
      <c r="V181" s="1"/>
      <c r="W181" s="1"/>
      <c r="X181" s="617">
        <f t="shared" si="224"/>
        <v>0</v>
      </c>
      <c r="Y181" s="1"/>
      <c r="Z181" s="1"/>
      <c r="AA181" s="1"/>
      <c r="AB181" s="1"/>
      <c r="AC181" s="1"/>
      <c r="AD181" s="1"/>
      <c r="AE181" s="615">
        <f>X181/$X$7*100</f>
        <v>0</v>
      </c>
      <c r="AF181" s="8">
        <f t="shared" si="226"/>
        <v>0</v>
      </c>
      <c r="AG181" s="2" t="s">
        <v>0</v>
      </c>
      <c r="AH181" s="309"/>
      <c r="AI181" s="13" t="s">
        <v>0</v>
      </c>
      <c r="AJ181" s="13"/>
      <c r="AK181" s="13"/>
      <c r="AL181" s="614"/>
      <c r="AM181" s="614" t="e">
        <f t="shared" si="227"/>
        <v>#VALUE!</v>
      </c>
      <c r="AN181" s="34"/>
      <c r="AO181" s="13"/>
      <c r="AP181" s="115"/>
      <c r="AQ181" s="309"/>
      <c r="AR181" s="13"/>
      <c r="AS181" s="13"/>
      <c r="AT181" s="13"/>
      <c r="AU181" s="612"/>
      <c r="AV181" s="611" t="e">
        <f t="shared" si="228"/>
        <v>#VALUE!</v>
      </c>
      <c r="AW181" s="610">
        <f>AN181/1000</f>
        <v>0</v>
      </c>
      <c r="AX181" s="609">
        <f t="shared" si="220"/>
        <v>0</v>
      </c>
      <c r="AY181" s="608"/>
      <c r="AZ181" s="606"/>
      <c r="BA181" s="608"/>
      <c r="BB181" s="560"/>
      <c r="BC181" s="607"/>
      <c r="BD181" s="606"/>
      <c r="BE181" s="605"/>
      <c r="BF181" s="560"/>
      <c r="BG181" s="604"/>
      <c r="BH181" s="555"/>
    </row>
    <row r="182" spans="1:60" ht="16.5" customHeight="1" x14ac:dyDescent="0.3">
      <c r="A182" s="562" t="s">
        <v>274</v>
      </c>
      <c r="B182" s="1973" t="s">
        <v>275</v>
      </c>
      <c r="C182" s="1979"/>
      <c r="D182" s="20">
        <f>SUM(D183)</f>
        <v>0</v>
      </c>
      <c r="E182" s="620">
        <f t="shared" si="221"/>
        <v>0</v>
      </c>
      <c r="F182" s="558">
        <f>+X182+AF182+AM182+AW182</f>
        <v>0</v>
      </c>
      <c r="G182" s="21">
        <f>SUM(H182:W182)</f>
        <v>0</v>
      </c>
      <c r="H182" s="375"/>
      <c r="I182" s="375"/>
      <c r="J182" s="375"/>
      <c r="K182" s="375"/>
      <c r="L182" s="341"/>
      <c r="M182" s="1"/>
      <c r="N182" s="375"/>
      <c r="O182" s="375"/>
      <c r="P182" s="341"/>
      <c r="Q182" s="375"/>
      <c r="R182" s="1"/>
      <c r="S182" s="1"/>
      <c r="T182" s="1"/>
      <c r="U182" s="1"/>
      <c r="V182" s="26">
        <f>+V183</f>
        <v>0</v>
      </c>
      <c r="W182" s="1"/>
      <c r="X182" s="617">
        <f t="shared" si="224"/>
        <v>0</v>
      </c>
      <c r="Y182" s="1"/>
      <c r="Z182" s="1"/>
      <c r="AA182" s="1"/>
      <c r="AB182" s="1"/>
      <c r="AC182" s="1"/>
      <c r="AD182" s="1"/>
      <c r="AE182" s="615">
        <f>X182/$X$7*100</f>
        <v>0</v>
      </c>
      <c r="AF182" s="8">
        <f t="shared" si="226"/>
        <v>0</v>
      </c>
      <c r="AG182" s="2">
        <f>SUM(AH182:AJ182)</f>
        <v>0</v>
      </c>
      <c r="AH182" s="308">
        <f>SUM(AH183)</f>
        <v>0</v>
      </c>
      <c r="AI182" s="33">
        <f>SUM(AI183)</f>
        <v>0</v>
      </c>
      <c r="AJ182" s="33">
        <f>SUM(AJ183)</f>
        <v>0</v>
      </c>
      <c r="AK182" s="33">
        <f>SUM(AK183)</f>
        <v>0</v>
      </c>
      <c r="AL182" s="614"/>
      <c r="AM182" s="614">
        <f t="shared" si="227"/>
        <v>0</v>
      </c>
      <c r="AN182" s="34">
        <f t="shared" ref="AN182:AU182" si="237">SUM(AN183)</f>
        <v>0</v>
      </c>
      <c r="AO182" s="35">
        <f t="shared" si="237"/>
        <v>0</v>
      </c>
      <c r="AP182" s="34">
        <f t="shared" si="237"/>
        <v>0</v>
      </c>
      <c r="AQ182" s="305">
        <f t="shared" si="237"/>
        <v>0</v>
      </c>
      <c r="AR182" s="35">
        <f t="shared" si="237"/>
        <v>0</v>
      </c>
      <c r="AS182" s="35">
        <f t="shared" si="237"/>
        <v>0</v>
      </c>
      <c r="AT182" s="35">
        <f t="shared" si="237"/>
        <v>0</v>
      </c>
      <c r="AU182" s="622">
        <f t="shared" si="237"/>
        <v>0</v>
      </c>
      <c r="AV182" s="611">
        <f t="shared" si="228"/>
        <v>0</v>
      </c>
      <c r="AW182" s="610">
        <f>AN182/1000</f>
        <v>0</v>
      </c>
      <c r="AX182" s="609">
        <f t="shared" si="220"/>
        <v>0</v>
      </c>
      <c r="AY182" s="608">
        <f>+F182/$F$7</f>
        <v>0</v>
      </c>
      <c r="AZ182" s="727">
        <f>AZ183</f>
        <v>0</v>
      </c>
      <c r="BA182" s="608">
        <f>+AZ182/$AZ$7</f>
        <v>0</v>
      </c>
      <c r="BB182" s="560">
        <f>+F182-AZ182</f>
        <v>0</v>
      </c>
      <c r="BC182" s="607"/>
      <c r="BD182" s="727">
        <f>BD183</f>
        <v>698.125</v>
      </c>
      <c r="BE182" s="605">
        <f>+BD182/$BD$7</f>
        <v>1.6079680577663212E-5</v>
      </c>
      <c r="BF182" s="560">
        <f>AZ182-BD182</f>
        <v>-698.125</v>
      </c>
      <c r="BG182" s="604">
        <f>+BF182/BD182</f>
        <v>-1</v>
      </c>
      <c r="BH182" s="555"/>
    </row>
    <row r="183" spans="1:60" ht="16.5" customHeight="1" x14ac:dyDescent="0.3">
      <c r="A183" s="559" t="s">
        <v>276</v>
      </c>
      <c r="B183" s="1967" t="s">
        <v>379</v>
      </c>
      <c r="C183" s="1981"/>
      <c r="D183" s="20">
        <f>+G183+Y183+AG183+AN183</f>
        <v>0</v>
      </c>
      <c r="E183" s="620">
        <f t="shared" si="221"/>
        <v>0</v>
      </c>
      <c r="F183" s="558">
        <f>+X183+AF183+AM183+AW183</f>
        <v>0</v>
      </c>
      <c r="G183" s="20">
        <f>SUM(H183:W183)</f>
        <v>0</v>
      </c>
      <c r="H183" s="375"/>
      <c r="I183" s="375"/>
      <c r="J183" s="375"/>
      <c r="K183" s="375"/>
      <c r="L183" s="341"/>
      <c r="M183" s="1"/>
      <c r="N183" s="375"/>
      <c r="O183" s="375"/>
      <c r="P183" s="341"/>
      <c r="Q183" s="375"/>
      <c r="R183" s="1"/>
      <c r="S183" s="1"/>
      <c r="T183" s="1"/>
      <c r="U183" s="1"/>
      <c r="V183" s="1">
        <v>0</v>
      </c>
      <c r="W183" s="1"/>
      <c r="X183" s="617">
        <f t="shared" si="224"/>
        <v>0</v>
      </c>
      <c r="Y183" s="1"/>
      <c r="Z183" s="1"/>
      <c r="AA183" s="1"/>
      <c r="AB183" s="1"/>
      <c r="AC183" s="1"/>
      <c r="AD183" s="1"/>
      <c r="AE183" s="615">
        <f>X183/$X$7*100</f>
        <v>0</v>
      </c>
      <c r="AF183" s="8">
        <f t="shared" si="226"/>
        <v>0</v>
      </c>
      <c r="AG183" s="11">
        <f>SUM(AH183:AJ183)</f>
        <v>0</v>
      </c>
      <c r="AH183" s="309">
        <v>0</v>
      </c>
      <c r="AI183" s="13">
        <v>0</v>
      </c>
      <c r="AJ183" s="13">
        <v>0</v>
      </c>
      <c r="AK183" s="13">
        <v>0</v>
      </c>
      <c r="AL183" s="614"/>
      <c r="AM183" s="614">
        <f t="shared" si="227"/>
        <v>0</v>
      </c>
      <c r="AN183" s="34"/>
      <c r="AO183" s="13">
        <v>0</v>
      </c>
      <c r="AP183" s="115">
        <v>0</v>
      </c>
      <c r="AQ183" s="309">
        <v>0</v>
      </c>
      <c r="AR183" s="13">
        <v>0</v>
      </c>
      <c r="AS183" s="13">
        <v>0</v>
      </c>
      <c r="AT183" s="13">
        <v>0</v>
      </c>
      <c r="AU183" s="612"/>
      <c r="AV183" s="611">
        <f t="shared" si="228"/>
        <v>0</v>
      </c>
      <c r="AW183" s="610">
        <f>AN183/1000</f>
        <v>0</v>
      </c>
      <c r="AX183" s="609">
        <f t="shared" si="220"/>
        <v>0</v>
      </c>
      <c r="AY183" s="608">
        <f>+F183/$F$7</f>
        <v>0</v>
      </c>
      <c r="AZ183" s="606">
        <f>+((0/6))*12/1000</f>
        <v>0</v>
      </c>
      <c r="BA183" s="608">
        <f>+AZ183/$AZ$7</f>
        <v>0</v>
      </c>
      <c r="BB183" s="560">
        <f>+F183-AZ183</f>
        <v>0</v>
      </c>
      <c r="BC183" s="607"/>
      <c r="BD183" s="606">
        <f>698.125</f>
        <v>698.125</v>
      </c>
      <c r="BE183" s="605">
        <f>+BD183/$BD$7</f>
        <v>1.6079680577663212E-5</v>
      </c>
      <c r="BF183" s="560">
        <f>AZ183-BD183</f>
        <v>-698.125</v>
      </c>
      <c r="BG183" s="604">
        <f>+BF183/BD183</f>
        <v>-1</v>
      </c>
      <c r="BH183" s="555"/>
    </row>
    <row r="184" spans="1:60" ht="15.75" customHeight="1" x14ac:dyDescent="0.3">
      <c r="A184" s="559"/>
      <c r="B184" s="634"/>
      <c r="C184" s="635"/>
      <c r="D184" s="20"/>
      <c r="E184" s="620"/>
      <c r="F184" s="558"/>
      <c r="G184" s="20"/>
      <c r="H184" s="375"/>
      <c r="I184" s="375"/>
      <c r="J184" s="375"/>
      <c r="K184" s="375"/>
      <c r="L184" s="341"/>
      <c r="M184" s="1"/>
      <c r="N184" s="375"/>
      <c r="O184" s="375"/>
      <c r="P184" s="341"/>
      <c r="Q184" s="375"/>
      <c r="R184" s="1"/>
      <c r="S184" s="1"/>
      <c r="T184" s="1"/>
      <c r="U184" s="1"/>
      <c r="V184" s="1"/>
      <c r="W184" s="1"/>
      <c r="X184" s="617"/>
      <c r="Y184" s="1"/>
      <c r="Z184" s="1"/>
      <c r="AA184" s="1"/>
      <c r="AB184" s="1"/>
      <c r="AC184" s="1"/>
      <c r="AD184" s="1"/>
      <c r="AE184" s="615"/>
      <c r="AF184" s="8"/>
      <c r="AG184" s="2"/>
      <c r="AH184" s="309"/>
      <c r="AI184" s="13"/>
      <c r="AJ184" s="13"/>
      <c r="AK184" s="13"/>
      <c r="AL184" s="614"/>
      <c r="AM184" s="614"/>
      <c r="AN184" s="34"/>
      <c r="AO184" s="13"/>
      <c r="AP184" s="115"/>
      <c r="AQ184" s="309"/>
      <c r="AR184" s="13"/>
      <c r="AS184" s="13"/>
      <c r="AT184" s="13"/>
      <c r="AU184" s="612"/>
      <c r="AV184" s="611"/>
      <c r="AW184" s="610"/>
      <c r="AX184" s="609"/>
      <c r="AY184" s="608"/>
      <c r="AZ184" s="606"/>
      <c r="BA184" s="608"/>
      <c r="BB184" s="560"/>
      <c r="BC184" s="607"/>
      <c r="BD184" s="606"/>
      <c r="BE184" s="605"/>
      <c r="BF184" s="560"/>
      <c r="BG184" s="604"/>
      <c r="BH184" s="555"/>
    </row>
    <row r="185" spans="1:60" ht="15.75" customHeight="1" x14ac:dyDescent="0.3">
      <c r="A185" s="564">
        <v>4</v>
      </c>
      <c r="B185" s="1909" t="s">
        <v>277</v>
      </c>
      <c r="C185" s="1968"/>
      <c r="D185" s="21">
        <f>+D187</f>
        <v>27622094552.709999</v>
      </c>
      <c r="E185" s="628">
        <f>SUM(E187)</f>
        <v>27622094552.709999</v>
      </c>
      <c r="F185" s="561">
        <f>F187</f>
        <v>30752000</v>
      </c>
      <c r="G185" s="21">
        <f>+G187</f>
        <v>0</v>
      </c>
      <c r="H185" s="374">
        <f t="shared" ref="H185:W185" si="238">H187</f>
        <v>0</v>
      </c>
      <c r="I185" s="374">
        <f t="shared" si="238"/>
        <v>0</v>
      </c>
      <c r="J185" s="374">
        <f t="shared" si="238"/>
        <v>0</v>
      </c>
      <c r="K185" s="374">
        <f t="shared" si="238"/>
        <v>0</v>
      </c>
      <c r="L185" s="23">
        <f t="shared" si="238"/>
        <v>0</v>
      </c>
      <c r="M185" s="23">
        <f t="shared" si="238"/>
        <v>0</v>
      </c>
      <c r="N185" s="374">
        <f t="shared" si="238"/>
        <v>0</v>
      </c>
      <c r="O185" s="374">
        <f t="shared" si="238"/>
        <v>0</v>
      </c>
      <c r="P185" s="23">
        <f t="shared" si="238"/>
        <v>0</v>
      </c>
      <c r="Q185" s="374">
        <f t="shared" si="238"/>
        <v>0</v>
      </c>
      <c r="R185" s="23">
        <f t="shared" si="238"/>
        <v>0</v>
      </c>
      <c r="S185" s="23">
        <f t="shared" si="238"/>
        <v>0</v>
      </c>
      <c r="T185" s="23">
        <f t="shared" si="238"/>
        <v>0</v>
      </c>
      <c r="U185" s="23">
        <f t="shared" si="238"/>
        <v>0</v>
      </c>
      <c r="V185" s="23">
        <f t="shared" si="238"/>
        <v>0</v>
      </c>
      <c r="W185" s="23">
        <f t="shared" si="238"/>
        <v>0</v>
      </c>
      <c r="X185" s="350">
        <f>G185/1000</f>
        <v>0</v>
      </c>
      <c r="Y185" s="23">
        <f t="shared" ref="Y185:AD185" si="239">Y187</f>
        <v>0</v>
      </c>
      <c r="Z185" s="23">
        <f t="shared" si="239"/>
        <v>0</v>
      </c>
      <c r="AA185" s="23">
        <f t="shared" si="239"/>
        <v>0</v>
      </c>
      <c r="AB185" s="23">
        <f t="shared" si="239"/>
        <v>0</v>
      </c>
      <c r="AC185" s="23">
        <f t="shared" si="239"/>
        <v>0</v>
      </c>
      <c r="AD185" s="23">
        <f t="shared" si="239"/>
        <v>0</v>
      </c>
      <c r="AE185" s="615"/>
      <c r="AF185" s="10">
        <f>Y185/1000</f>
        <v>0</v>
      </c>
      <c r="AG185" s="2">
        <f>SUM(AG187)</f>
        <v>25000000</v>
      </c>
      <c r="AH185" s="321">
        <f>+AH187</f>
        <v>0</v>
      </c>
      <c r="AI185" s="14">
        <f>+AI187</f>
        <v>25000000</v>
      </c>
      <c r="AJ185" s="14">
        <f>+AJ187</f>
        <v>0</v>
      </c>
      <c r="AK185" s="14">
        <f>+AK187</f>
        <v>0</v>
      </c>
      <c r="AL185" s="614"/>
      <c r="AM185" s="623">
        <v>0</v>
      </c>
      <c r="AN185" s="34">
        <f>AN187</f>
        <v>27597094552.709999</v>
      </c>
      <c r="AO185" s="14">
        <f t="shared" ref="AO185:AT185" si="240">+AO187</f>
        <v>24180518718.5</v>
      </c>
      <c r="AP185" s="115">
        <f t="shared" si="240"/>
        <v>3416575834.21</v>
      </c>
      <c r="AQ185" s="309">
        <f t="shared" si="240"/>
        <v>0</v>
      </c>
      <c r="AR185" s="13">
        <f t="shared" si="240"/>
        <v>0</v>
      </c>
      <c r="AS185" s="13">
        <f t="shared" si="240"/>
        <v>0</v>
      </c>
      <c r="AT185" s="13">
        <f t="shared" si="240"/>
        <v>3416575834.21</v>
      </c>
      <c r="AU185" s="622">
        <f>AU187</f>
        <v>27622094552.709999</v>
      </c>
      <c r="AV185" s="611">
        <f>AM185/$AM$7</f>
        <v>0</v>
      </c>
      <c r="AW185" s="621">
        <f>+AW187</f>
        <v>21976038</v>
      </c>
      <c r="AX185" s="609">
        <f>AW185/$AW$7</f>
        <v>0.42495344860853085</v>
      </c>
      <c r="AY185" s="608">
        <f>+F185/$F$7</f>
        <v>0.47263259953913223</v>
      </c>
      <c r="AZ185" s="561">
        <f>AZ187</f>
        <v>20902331.091359999</v>
      </c>
      <c r="BA185" s="608">
        <f>+AZ185/$AZ$7</f>
        <v>0.57229816184770443</v>
      </c>
      <c r="BB185" s="560">
        <f>+F185-AZ185</f>
        <v>9849668.908640001</v>
      </c>
      <c r="BC185" s="607">
        <f>+BB185/AZ185</f>
        <v>0.4712234662052297</v>
      </c>
      <c r="BD185" s="561">
        <f>BD187</f>
        <v>22313422.232000001</v>
      </c>
      <c r="BE185" s="605">
        <f t="shared" ref="BE185:BE204" si="241">+BD185/$BD$7</f>
        <v>0.5139376216080056</v>
      </c>
      <c r="BF185" s="560">
        <f>AZ185-BD185</f>
        <v>-1411091.1406400017</v>
      </c>
      <c r="BG185" s="604">
        <f>+BF185/BD185</f>
        <v>-6.3239566121611579E-2</v>
      </c>
      <c r="BH185" s="555"/>
    </row>
    <row r="186" spans="1:60" ht="15.75" customHeight="1" x14ac:dyDescent="0.3">
      <c r="A186" s="564"/>
      <c r="B186" s="43"/>
      <c r="C186" s="635"/>
      <c r="D186" s="21"/>
      <c r="E186" s="620"/>
      <c r="F186" s="558"/>
      <c r="G186" s="20"/>
      <c r="H186" s="374"/>
      <c r="I186" s="374"/>
      <c r="J186" s="374"/>
      <c r="K186" s="374"/>
      <c r="L186" s="23"/>
      <c r="M186" s="26"/>
      <c r="N186" s="374"/>
      <c r="O186" s="374"/>
      <c r="P186" s="23"/>
      <c r="Q186" s="374"/>
      <c r="R186" s="26"/>
      <c r="S186" s="26"/>
      <c r="T186" s="26"/>
      <c r="U186" s="26"/>
      <c r="V186" s="26"/>
      <c r="W186" s="26"/>
      <c r="X186" s="617"/>
      <c r="Y186" s="26"/>
      <c r="Z186" s="26"/>
      <c r="AA186" s="26"/>
      <c r="AB186" s="26"/>
      <c r="AC186" s="26"/>
      <c r="AD186" s="26"/>
      <c r="AE186" s="615"/>
      <c r="AF186" s="8"/>
      <c r="AG186" s="2"/>
      <c r="AH186" s="309"/>
      <c r="AI186" s="13"/>
      <c r="AJ186" s="13"/>
      <c r="AK186" s="13"/>
      <c r="AL186" s="614"/>
      <c r="AM186" s="614"/>
      <c r="AN186" s="34"/>
      <c r="AO186" s="13"/>
      <c r="AP186" s="115"/>
      <c r="AQ186" s="309"/>
      <c r="AR186" s="13"/>
      <c r="AS186" s="13"/>
      <c r="AT186" s="13"/>
      <c r="AU186" s="622"/>
      <c r="AV186" s="611"/>
      <c r="AW186" s="610"/>
      <c r="AX186" s="609"/>
      <c r="AY186" s="608"/>
      <c r="AZ186" s="606"/>
      <c r="BA186" s="608"/>
      <c r="BB186" s="560"/>
      <c r="BC186" s="607"/>
      <c r="BD186" s="606"/>
      <c r="BE186" s="605">
        <f t="shared" si="241"/>
        <v>0</v>
      </c>
      <c r="BF186" s="560"/>
      <c r="BG186" s="604"/>
      <c r="BH186" s="555"/>
    </row>
    <row r="187" spans="1:60" ht="15.75" customHeight="1" x14ac:dyDescent="0.3">
      <c r="A187" s="726" t="s">
        <v>278</v>
      </c>
      <c r="B187" s="1988" t="s">
        <v>279</v>
      </c>
      <c r="C187" s="1989"/>
      <c r="D187" s="724">
        <f>+D188</f>
        <v>27622094552.709999</v>
      </c>
      <c r="E187" s="725">
        <f>SUM(G187+Y187+AG187+AN187)</f>
        <v>27622094552.709999</v>
      </c>
      <c r="F187" s="713">
        <f>F188</f>
        <v>30752000</v>
      </c>
      <c r="G187" s="234">
        <f t="shared" ref="G187:G192" si="242">SUM(H187:W187)</f>
        <v>0</v>
      </c>
      <c r="H187" s="724">
        <f t="shared" ref="H187:W187" si="243">+H188+H192</f>
        <v>0</v>
      </c>
      <c r="I187" s="724">
        <f t="shared" si="243"/>
        <v>0</v>
      </c>
      <c r="J187" s="724">
        <f t="shared" si="243"/>
        <v>0</v>
      </c>
      <c r="K187" s="724">
        <f t="shared" si="243"/>
        <v>0</v>
      </c>
      <c r="L187" s="235">
        <f t="shared" si="243"/>
        <v>0</v>
      </c>
      <c r="M187" s="235">
        <f t="shared" si="243"/>
        <v>0</v>
      </c>
      <c r="N187" s="724">
        <f t="shared" si="243"/>
        <v>0</v>
      </c>
      <c r="O187" s="724">
        <f t="shared" si="243"/>
        <v>0</v>
      </c>
      <c r="P187" s="235">
        <f t="shared" si="243"/>
        <v>0</v>
      </c>
      <c r="Q187" s="724">
        <f t="shared" si="243"/>
        <v>0</v>
      </c>
      <c r="R187" s="235">
        <f t="shared" si="243"/>
        <v>0</v>
      </c>
      <c r="S187" s="235">
        <f t="shared" si="243"/>
        <v>0</v>
      </c>
      <c r="T187" s="235">
        <f t="shared" si="243"/>
        <v>0</v>
      </c>
      <c r="U187" s="235">
        <f t="shared" si="243"/>
        <v>0</v>
      </c>
      <c r="V187" s="235">
        <f t="shared" si="243"/>
        <v>0</v>
      </c>
      <c r="W187" s="235">
        <f t="shared" si="243"/>
        <v>0</v>
      </c>
      <c r="X187" s="723">
        <f t="shared" ref="X187:X193" si="244">G187/1000</f>
        <v>0</v>
      </c>
      <c r="Y187" s="235">
        <f t="shared" ref="Y187:AD187" si="245">+Y188+Y192</f>
        <v>0</v>
      </c>
      <c r="Z187" s="235">
        <f t="shared" si="245"/>
        <v>0</v>
      </c>
      <c r="AA187" s="235">
        <f t="shared" si="245"/>
        <v>0</v>
      </c>
      <c r="AB187" s="235">
        <f t="shared" si="245"/>
        <v>0</v>
      </c>
      <c r="AC187" s="235">
        <f t="shared" si="245"/>
        <v>0</v>
      </c>
      <c r="AD187" s="235">
        <f t="shared" si="245"/>
        <v>0</v>
      </c>
      <c r="AE187" s="722"/>
      <c r="AF187" s="721">
        <f t="shared" ref="AF187:AF193" si="246">Y187/1000</f>
        <v>0</v>
      </c>
      <c r="AG187" s="361">
        <f>SUM(AG188)</f>
        <v>25000000</v>
      </c>
      <c r="AH187" s="720">
        <f>+AH188</f>
        <v>0</v>
      </c>
      <c r="AI187" s="717">
        <f>+AI188</f>
        <v>25000000</v>
      </c>
      <c r="AJ187" s="717">
        <f>+AJ188</f>
        <v>0</v>
      </c>
      <c r="AK187" s="717">
        <f>+AK188</f>
        <v>0</v>
      </c>
      <c r="AL187" s="659"/>
      <c r="AM187" s="719">
        <v>0</v>
      </c>
      <c r="AN187" s="718">
        <f>SUM(AN188)</f>
        <v>27597094552.709999</v>
      </c>
      <c r="AO187" s="717">
        <f>SUM(AO188:AO193)</f>
        <v>24180518718.5</v>
      </c>
      <c r="AP187" s="716">
        <f>SUM(AP188:AP193)</f>
        <v>3416575834.21</v>
      </c>
      <c r="AQ187" s="322">
        <f>+AQ188</f>
        <v>0</v>
      </c>
      <c r="AR187" s="323">
        <f>+AR188</f>
        <v>0</v>
      </c>
      <c r="AS187" s="323">
        <f>+AS188</f>
        <v>0</v>
      </c>
      <c r="AT187" s="323">
        <f>+AT188</f>
        <v>3416575834.21</v>
      </c>
      <c r="AU187" s="715">
        <f>SUM(AU188)</f>
        <v>27622094552.709999</v>
      </c>
      <c r="AV187" s="654">
        <f t="shared" ref="AV187:AV193" si="247">AM187/$AM$7</f>
        <v>0</v>
      </c>
      <c r="AW187" s="714">
        <f>+AW188</f>
        <v>21976038</v>
      </c>
      <c r="AX187" s="652">
        <f t="shared" ref="AX187:AX193" si="248">AW187/$AW$7</f>
        <v>0.42495344860853085</v>
      </c>
      <c r="AY187" s="651">
        <f t="shared" ref="AY187:AY194" si="249">+F187/$F$7</f>
        <v>0.47263259953913223</v>
      </c>
      <c r="AZ187" s="713">
        <f>AZ188</f>
        <v>20902331.091359999</v>
      </c>
      <c r="BA187" s="651">
        <f t="shared" ref="BA187:BA194" si="250">+AZ187/$AZ$7</f>
        <v>0.57229816184770443</v>
      </c>
      <c r="BB187" s="647">
        <f t="shared" ref="BB187:BB193" si="251">+F187-AZ187</f>
        <v>9849668.908640001</v>
      </c>
      <c r="BC187" s="650">
        <f>+BB187/AZ187</f>
        <v>0.4712234662052297</v>
      </c>
      <c r="BD187" s="713">
        <f>BD188</f>
        <v>22313422.232000001</v>
      </c>
      <c r="BE187" s="648">
        <f t="shared" si="241"/>
        <v>0.5139376216080056</v>
      </c>
      <c r="BF187" s="647">
        <f t="shared" ref="BF187:BF206" si="252">AZ187-BD187</f>
        <v>-1411091.1406400017</v>
      </c>
      <c r="BG187" s="646">
        <f>+BF187/BD187</f>
        <v>-6.3239566121611579E-2</v>
      </c>
      <c r="BH187" s="555"/>
    </row>
    <row r="188" spans="1:60" ht="15.75" customHeight="1" x14ac:dyDescent="0.3">
      <c r="A188" s="559" t="s">
        <v>280</v>
      </c>
      <c r="B188" s="1967" t="s">
        <v>281</v>
      </c>
      <c r="C188" s="1968"/>
      <c r="D188" s="20">
        <f>SUM(D189:D193)</f>
        <v>27622094552.709999</v>
      </c>
      <c r="E188" s="620">
        <f>SUM(E189:E193)</f>
        <v>27622094552.709999</v>
      </c>
      <c r="F188" s="558">
        <f>F189+F190+F192+F193+F194</f>
        <v>30752000</v>
      </c>
      <c r="G188" s="20">
        <f t="shared" si="242"/>
        <v>0</v>
      </c>
      <c r="H188" s="375"/>
      <c r="I188" s="375"/>
      <c r="J188" s="375"/>
      <c r="K188" s="375"/>
      <c r="L188" s="341"/>
      <c r="M188" s="1"/>
      <c r="N188" s="375"/>
      <c r="O188" s="375"/>
      <c r="P188" s="341"/>
      <c r="Q188" s="375"/>
      <c r="R188" s="1"/>
      <c r="S188" s="1"/>
      <c r="T188" s="1"/>
      <c r="U188" s="1"/>
      <c r="V188" s="1"/>
      <c r="W188" s="1"/>
      <c r="X188" s="617">
        <f t="shared" si="244"/>
        <v>0</v>
      </c>
      <c r="Y188" s="1"/>
      <c r="Z188" s="1"/>
      <c r="AA188" s="1"/>
      <c r="AB188" s="1"/>
      <c r="AC188" s="1"/>
      <c r="AD188" s="1"/>
      <c r="AE188" s="615"/>
      <c r="AF188" s="8">
        <f t="shared" si="246"/>
        <v>0</v>
      </c>
      <c r="AG188" s="2">
        <f>SUM(AG189:AG193)</f>
        <v>25000000</v>
      </c>
      <c r="AH188" s="692">
        <f>SUM(AH189:AH192)</f>
        <v>0</v>
      </c>
      <c r="AI188" s="26">
        <f>SUM(AI189:AI193)</f>
        <v>25000000</v>
      </c>
      <c r="AJ188" s="1">
        <v>0</v>
      </c>
      <c r="AK188" s="1">
        <v>0</v>
      </c>
      <c r="AL188" s="614"/>
      <c r="AM188" s="614">
        <v>0</v>
      </c>
      <c r="AN188" s="34">
        <f>SUM(AN189:AN193)</f>
        <v>27597094552.709999</v>
      </c>
      <c r="AO188" s="1">
        <v>0</v>
      </c>
      <c r="AP188" s="70">
        <v>0</v>
      </c>
      <c r="AQ188" s="304">
        <v>0</v>
      </c>
      <c r="AR188" s="1">
        <v>0</v>
      </c>
      <c r="AS188" s="1">
        <v>0</v>
      </c>
      <c r="AT188" s="1">
        <f>SUM(AT189:AT193)</f>
        <v>3416575834.21</v>
      </c>
      <c r="AU188" s="612">
        <f>SUM(AU189:AU193)</f>
        <v>27622094552.709999</v>
      </c>
      <c r="AV188" s="611">
        <f t="shared" si="247"/>
        <v>0</v>
      </c>
      <c r="AW188" s="610">
        <f>+AW189+AW192</f>
        <v>21976038</v>
      </c>
      <c r="AX188" s="609">
        <f t="shared" si="248"/>
        <v>0.42495344860853085</v>
      </c>
      <c r="AY188" s="608">
        <f t="shared" si="249"/>
        <v>0.47263259953913223</v>
      </c>
      <c r="AZ188" s="558">
        <f>AZ189+AZ190+AZ192+AZ193+AZ194</f>
        <v>20902331.091359999</v>
      </c>
      <c r="BA188" s="608">
        <f t="shared" si="250"/>
        <v>0.57229816184770443</v>
      </c>
      <c r="BB188" s="560">
        <f t="shared" si="251"/>
        <v>9849668.908640001</v>
      </c>
      <c r="BC188" s="607">
        <f>+BB188/AZ188</f>
        <v>0.4712234662052297</v>
      </c>
      <c r="BD188" s="558">
        <f>22313422.232</f>
        <v>22313422.232000001</v>
      </c>
      <c r="BE188" s="605">
        <f t="shared" si="241"/>
        <v>0.5139376216080056</v>
      </c>
      <c r="BF188" s="560">
        <f t="shared" si="252"/>
        <v>-1411091.1406400017</v>
      </c>
      <c r="BG188" s="604">
        <f>+BF188/BD188</f>
        <v>-6.3239566121611579E-2</v>
      </c>
      <c r="BH188" s="555"/>
    </row>
    <row r="189" spans="1:60" ht="15.75" customHeight="1" x14ac:dyDescent="0.3">
      <c r="A189" s="710" t="s">
        <v>480</v>
      </c>
      <c r="B189" s="27" t="s">
        <v>408</v>
      </c>
      <c r="C189" s="635"/>
      <c r="D189" s="20">
        <f>+G189+Y189+AG189+AN189</f>
        <v>24180518718.5</v>
      </c>
      <c r="E189" s="620">
        <f>SUM(G189+Y189+AG189+AN189)</f>
        <v>24180518718.5</v>
      </c>
      <c r="F189" s="558">
        <f>26850000000/1000</f>
        <v>26850000</v>
      </c>
      <c r="G189" s="20">
        <f t="shared" si="242"/>
        <v>0</v>
      </c>
      <c r="H189" s="375"/>
      <c r="I189" s="375"/>
      <c r="J189" s="375"/>
      <c r="K189" s="375"/>
      <c r="L189" s="341"/>
      <c r="M189" s="1"/>
      <c r="N189" s="375"/>
      <c r="O189" s="375"/>
      <c r="P189" s="341"/>
      <c r="Q189" s="375"/>
      <c r="R189" s="1"/>
      <c r="S189" s="1"/>
      <c r="T189" s="1"/>
      <c r="U189" s="1"/>
      <c r="V189" s="1"/>
      <c r="W189" s="1"/>
      <c r="X189" s="617">
        <f t="shared" si="244"/>
        <v>0</v>
      </c>
      <c r="Y189" s="8">
        <f>SUM(Z189:AD189)</f>
        <v>0</v>
      </c>
      <c r="Z189" s="1"/>
      <c r="AA189" s="1"/>
      <c r="AB189" s="1"/>
      <c r="AC189" s="1"/>
      <c r="AD189" s="1"/>
      <c r="AE189" s="615"/>
      <c r="AF189" s="8">
        <f t="shared" si="246"/>
        <v>0</v>
      </c>
      <c r="AG189" s="2">
        <f>SUM(AH189:AK189)</f>
        <v>0</v>
      </c>
      <c r="AH189" s="712"/>
      <c r="AI189" s="358"/>
      <c r="AJ189" s="1"/>
      <c r="AK189" s="1"/>
      <c r="AL189" s="614"/>
      <c r="AM189" s="614">
        <f>AG189/1000</f>
        <v>0</v>
      </c>
      <c r="AN189" s="30">
        <f>SUM(AO189+AP189)</f>
        <v>24180518718.5</v>
      </c>
      <c r="AO189" s="1">
        <v>24180518718.5</v>
      </c>
      <c r="AP189" s="613">
        <f>SUM(AQ189:AT189)</f>
        <v>0</v>
      </c>
      <c r="AQ189" s="304"/>
      <c r="AR189" s="1"/>
      <c r="AS189" s="1"/>
      <c r="AT189" s="1"/>
      <c r="AU189" s="612">
        <f>SUM(AN189+AG189+Y189+G189)</f>
        <v>24180518718.5</v>
      </c>
      <c r="AV189" s="611">
        <f t="shared" si="247"/>
        <v>0</v>
      </c>
      <c r="AW189" s="610">
        <f>+'[2]Egresos -2015 '!$AO$188</f>
        <v>21476038</v>
      </c>
      <c r="AX189" s="609">
        <f t="shared" si="248"/>
        <v>0.41528488486176879</v>
      </c>
      <c r="AY189" s="608">
        <f t="shared" si="249"/>
        <v>0.41266211295609062</v>
      </c>
      <c r="AZ189" s="606">
        <f>+((9895306830.81/6))*12/1000</f>
        <v>19790613.661619999</v>
      </c>
      <c r="BA189" s="608">
        <f t="shared" si="250"/>
        <v>0.54185974621102717</v>
      </c>
      <c r="BB189" s="560">
        <f t="shared" si="251"/>
        <v>7059386.3383800015</v>
      </c>
      <c r="BC189" s="607">
        <f>+BB189/AZ189</f>
        <v>0.35670376164587014</v>
      </c>
      <c r="BD189" s="606">
        <v>0</v>
      </c>
      <c r="BE189" s="605">
        <f t="shared" si="241"/>
        <v>0</v>
      </c>
      <c r="BF189" s="560">
        <f t="shared" si="252"/>
        <v>19790613.661619999</v>
      </c>
      <c r="BG189" s="604"/>
      <c r="BH189" s="555"/>
    </row>
    <row r="190" spans="1:60" ht="15.75" hidden="1" customHeight="1" x14ac:dyDescent="0.3">
      <c r="A190" s="710" t="s">
        <v>481</v>
      </c>
      <c r="B190" s="27" t="s">
        <v>282</v>
      </c>
      <c r="C190" s="635"/>
      <c r="D190" s="20">
        <f>+G190+Y190+AG190+AN190</f>
        <v>25000000</v>
      </c>
      <c r="E190" s="620">
        <f>SUM(G190+Y190+AG190+AN190)</f>
        <v>25000000</v>
      </c>
      <c r="F190" s="558">
        <f>+X190+AF190+AM190+AW190</f>
        <v>0</v>
      </c>
      <c r="G190" s="20">
        <f t="shared" si="242"/>
        <v>0</v>
      </c>
      <c r="H190" s="375"/>
      <c r="I190" s="375"/>
      <c r="J190" s="375"/>
      <c r="K190" s="375"/>
      <c r="L190" s="341"/>
      <c r="M190" s="1"/>
      <c r="N190" s="375"/>
      <c r="O190" s="375"/>
      <c r="P190" s="341"/>
      <c r="Q190" s="375"/>
      <c r="R190" s="1"/>
      <c r="S190" s="1"/>
      <c r="T190" s="1"/>
      <c r="U190" s="1"/>
      <c r="V190" s="1"/>
      <c r="W190" s="1"/>
      <c r="X190" s="617">
        <f t="shared" si="244"/>
        <v>0</v>
      </c>
      <c r="Y190" s="8">
        <f>SUM(Z190:AD190)</f>
        <v>0</v>
      </c>
      <c r="Z190" s="1"/>
      <c r="AA190" s="1"/>
      <c r="AB190" s="1"/>
      <c r="AC190" s="1"/>
      <c r="AD190" s="1"/>
      <c r="AE190" s="615"/>
      <c r="AF190" s="8">
        <f t="shared" si="246"/>
        <v>0</v>
      </c>
      <c r="AG190" s="2">
        <f>SUM(AH190:AK190)</f>
        <v>25000000</v>
      </c>
      <c r="AH190" s="712"/>
      <c r="AI190" s="1">
        <v>25000000</v>
      </c>
      <c r="AJ190" s="1"/>
      <c r="AK190" s="1"/>
      <c r="AL190" s="614"/>
      <c r="AM190" s="614">
        <v>0</v>
      </c>
      <c r="AN190" s="30">
        <f>SUM(AO190+AP190)</f>
        <v>0</v>
      </c>
      <c r="AO190" s="1"/>
      <c r="AP190" s="613">
        <f>SUM(AQ190:AT190)</f>
        <v>0</v>
      </c>
      <c r="AQ190" s="304"/>
      <c r="AR190" s="1"/>
      <c r="AS190" s="1"/>
      <c r="AT190" s="1"/>
      <c r="AU190" s="612">
        <f>SUM(AN190+AG190+Y190+G190)</f>
        <v>25000000</v>
      </c>
      <c r="AV190" s="611">
        <f t="shared" si="247"/>
        <v>0</v>
      </c>
      <c r="AW190" s="610">
        <v>0</v>
      </c>
      <c r="AX190" s="609">
        <f t="shared" si="248"/>
        <v>0</v>
      </c>
      <c r="AY190" s="608">
        <f t="shared" si="249"/>
        <v>0</v>
      </c>
      <c r="AZ190" s="606">
        <f>+((0/7))*12/1000</f>
        <v>0</v>
      </c>
      <c r="BA190" s="608">
        <f t="shared" si="250"/>
        <v>0</v>
      </c>
      <c r="BB190" s="560">
        <f t="shared" si="251"/>
        <v>0</v>
      </c>
      <c r="BC190" s="607">
        <v>0</v>
      </c>
      <c r="BD190" s="606">
        <v>0</v>
      </c>
      <c r="BE190" s="605">
        <f t="shared" si="241"/>
        <v>0</v>
      </c>
      <c r="BF190" s="560">
        <f t="shared" si="252"/>
        <v>0</v>
      </c>
      <c r="BG190" s="604">
        <v>0</v>
      </c>
      <c r="BH190" s="555"/>
    </row>
    <row r="191" spans="1:60" ht="15.75" hidden="1" customHeight="1" x14ac:dyDescent="0.3">
      <c r="A191" s="710" t="s">
        <v>482</v>
      </c>
      <c r="B191" s="27" t="s">
        <v>483</v>
      </c>
      <c r="C191" s="635"/>
      <c r="D191" s="20">
        <f>+G191+Y191+AG191+AN191</f>
        <v>0</v>
      </c>
      <c r="E191" s="620">
        <f>SUM(G191+Y191+AG191+AN191)</f>
        <v>0</v>
      </c>
      <c r="F191" s="558">
        <f>+X191+AF191+AM191+AW191</f>
        <v>0</v>
      </c>
      <c r="G191" s="20">
        <f t="shared" si="242"/>
        <v>0</v>
      </c>
      <c r="H191" s="375"/>
      <c r="I191" s="375"/>
      <c r="J191" s="375"/>
      <c r="K191" s="375"/>
      <c r="L191" s="341"/>
      <c r="M191" s="1"/>
      <c r="N191" s="375"/>
      <c r="O191" s="375"/>
      <c r="P191" s="341"/>
      <c r="Q191" s="375"/>
      <c r="R191" s="1"/>
      <c r="S191" s="1"/>
      <c r="T191" s="1"/>
      <c r="U191" s="1"/>
      <c r="V191" s="1"/>
      <c r="W191" s="1"/>
      <c r="X191" s="617">
        <f t="shared" si="244"/>
        <v>0</v>
      </c>
      <c r="Y191" s="8">
        <f>SUM(Z191:AD191)</f>
        <v>0</v>
      </c>
      <c r="Z191" s="1"/>
      <c r="AA191" s="1"/>
      <c r="AB191" s="1"/>
      <c r="AC191" s="1"/>
      <c r="AD191" s="1"/>
      <c r="AE191" s="615"/>
      <c r="AF191" s="8">
        <f t="shared" si="246"/>
        <v>0</v>
      </c>
      <c r="AG191" s="2">
        <f>SUM(AH191:AK191)</f>
        <v>0</v>
      </c>
      <c r="AH191" s="712"/>
      <c r="AI191" s="358"/>
      <c r="AJ191" s="1"/>
      <c r="AK191" s="1"/>
      <c r="AL191" s="614"/>
      <c r="AM191" s="614">
        <f>AG191/1000</f>
        <v>0</v>
      </c>
      <c r="AN191" s="30">
        <f>SUM(AO191+AP191)</f>
        <v>0</v>
      </c>
      <c r="AO191" s="1"/>
      <c r="AP191" s="613">
        <f>SUM(AQ191:AT191)</f>
        <v>0</v>
      </c>
      <c r="AQ191" s="304"/>
      <c r="AR191" s="1"/>
      <c r="AS191" s="1"/>
      <c r="AT191" s="1"/>
      <c r="AU191" s="612">
        <f>SUM(AN191+AG191+Y191+G191)</f>
        <v>0</v>
      </c>
      <c r="AV191" s="611">
        <f t="shared" si="247"/>
        <v>0</v>
      </c>
      <c r="AW191" s="610">
        <f>AN191/1000</f>
        <v>0</v>
      </c>
      <c r="AX191" s="609">
        <f t="shared" si="248"/>
        <v>0</v>
      </c>
      <c r="AY191" s="608">
        <f t="shared" si="249"/>
        <v>0</v>
      </c>
      <c r="AZ191" s="606">
        <f>+((0/7))*12/1000</f>
        <v>0</v>
      </c>
      <c r="BA191" s="608">
        <f t="shared" si="250"/>
        <v>0</v>
      </c>
      <c r="BB191" s="560">
        <f t="shared" si="251"/>
        <v>0</v>
      </c>
      <c r="BC191" s="607" t="e">
        <f>+BB191/AZ191</f>
        <v>#DIV/0!</v>
      </c>
      <c r="BD191" s="606"/>
      <c r="BE191" s="605">
        <f t="shared" si="241"/>
        <v>0</v>
      </c>
      <c r="BF191" s="560">
        <f t="shared" si="252"/>
        <v>0</v>
      </c>
      <c r="BG191" s="604" t="e">
        <f>+BF191/BD191</f>
        <v>#DIV/0!</v>
      </c>
      <c r="BH191" s="555"/>
    </row>
    <row r="192" spans="1:60" ht="15.75" customHeight="1" x14ac:dyDescent="0.3">
      <c r="A192" s="710" t="s">
        <v>484</v>
      </c>
      <c r="B192" s="27" t="s">
        <v>949</v>
      </c>
      <c r="C192" s="635"/>
      <c r="D192" s="20">
        <f>+G192+Y192+AG192+AN192</f>
        <v>2059089300</v>
      </c>
      <c r="E192" s="620">
        <f>SUM(G192+Y192+AG192+AN192)</f>
        <v>2059089300</v>
      </c>
      <c r="F192" s="558">
        <v>0</v>
      </c>
      <c r="G192" s="20">
        <f t="shared" si="242"/>
        <v>0</v>
      </c>
      <c r="H192" s="375"/>
      <c r="I192" s="375"/>
      <c r="J192" s="375"/>
      <c r="K192" s="375"/>
      <c r="L192" s="341"/>
      <c r="M192" s="1"/>
      <c r="N192" s="375"/>
      <c r="O192" s="375"/>
      <c r="P192" s="341"/>
      <c r="Q192" s="375"/>
      <c r="R192" s="1"/>
      <c r="S192" s="1"/>
      <c r="T192" s="1"/>
      <c r="U192" s="1"/>
      <c r="V192" s="1"/>
      <c r="W192" s="1"/>
      <c r="X192" s="617">
        <f t="shared" si="244"/>
        <v>0</v>
      </c>
      <c r="Y192" s="8">
        <f>SUM(Z192:AD192)</f>
        <v>0</v>
      </c>
      <c r="Z192" s="1"/>
      <c r="AA192" s="1"/>
      <c r="AB192" s="1"/>
      <c r="AC192" s="1"/>
      <c r="AD192" s="1"/>
      <c r="AE192" s="615"/>
      <c r="AF192" s="8">
        <f t="shared" si="246"/>
        <v>0</v>
      </c>
      <c r="AG192" s="2">
        <f>SUM(AH192:AK192)</f>
        <v>0</v>
      </c>
      <c r="AH192" s="309"/>
      <c r="AI192" s="711"/>
      <c r="AJ192" s="13"/>
      <c r="AK192" s="13"/>
      <c r="AL192" s="614"/>
      <c r="AM192" s="614">
        <f>AG192/1000</f>
        <v>0</v>
      </c>
      <c r="AN192" s="30">
        <f>SUM(AO192+AP192)</f>
        <v>2059089300</v>
      </c>
      <c r="AO192" s="13"/>
      <c r="AP192" s="613">
        <f>SUM(AQ192:AT192)</f>
        <v>2059089300</v>
      </c>
      <c r="AQ192" s="309"/>
      <c r="AR192" s="13"/>
      <c r="AS192" s="13"/>
      <c r="AT192" s="13">
        <f>338225550+1000000000+(1441727500/2)</f>
        <v>2059089300</v>
      </c>
      <c r="AU192" s="612">
        <f>SUM(AN192+AG192+Y192+G192)</f>
        <v>2059089300</v>
      </c>
      <c r="AV192" s="611">
        <f t="shared" si="247"/>
        <v>0</v>
      </c>
      <c r="AW192" s="610">
        <f>+'[2]Egresos -2015 '!$AO$191</f>
        <v>500000</v>
      </c>
      <c r="AX192" s="609">
        <f t="shared" si="248"/>
        <v>9.6685637467620617E-3</v>
      </c>
      <c r="AY192" s="608">
        <f t="shared" si="249"/>
        <v>0</v>
      </c>
      <c r="AZ192" s="606">
        <f>+((101561163.44/6))*12/1000</f>
        <v>203122.32688000001</v>
      </c>
      <c r="BA192" s="608">
        <f t="shared" si="250"/>
        <v>5.5614148391182642E-3</v>
      </c>
      <c r="BB192" s="560">
        <f t="shared" si="251"/>
        <v>-203122.32688000001</v>
      </c>
      <c r="BC192" s="607">
        <f>+BB192/AZ192</f>
        <v>-1</v>
      </c>
      <c r="BD192" s="606">
        <v>0</v>
      </c>
      <c r="BE192" s="605">
        <f t="shared" si="241"/>
        <v>0</v>
      </c>
      <c r="BF192" s="560">
        <f t="shared" si="252"/>
        <v>203122.32688000001</v>
      </c>
      <c r="BG192" s="604"/>
      <c r="BH192" s="555"/>
    </row>
    <row r="193" spans="1:60" ht="15.75" customHeight="1" x14ac:dyDescent="0.3">
      <c r="A193" s="710" t="s">
        <v>538</v>
      </c>
      <c r="B193" s="634" t="s">
        <v>638</v>
      </c>
      <c r="C193" s="635"/>
      <c r="D193" s="20">
        <f>+G193+Y193+AG193+AN193</f>
        <v>1357486534.21</v>
      </c>
      <c r="E193" s="620">
        <f>SUM(G193+Y193+AG193+AN193)</f>
        <v>1357486534.21</v>
      </c>
      <c r="F193" s="558">
        <f>1502000000/1000</f>
        <v>1502000</v>
      </c>
      <c r="G193" s="20"/>
      <c r="H193" s="375"/>
      <c r="I193" s="375"/>
      <c r="J193" s="375"/>
      <c r="K193" s="375"/>
      <c r="L193" s="341"/>
      <c r="M193" s="1"/>
      <c r="N193" s="375"/>
      <c r="O193" s="375"/>
      <c r="P193" s="341"/>
      <c r="Q193" s="375"/>
      <c r="R193" s="1"/>
      <c r="S193" s="1"/>
      <c r="T193" s="1"/>
      <c r="U193" s="1"/>
      <c r="V193" s="1"/>
      <c r="W193" s="1"/>
      <c r="X193" s="617">
        <f t="shared" si="244"/>
        <v>0</v>
      </c>
      <c r="Y193" s="8">
        <f>SUM(Z193:AD193)</f>
        <v>0</v>
      </c>
      <c r="Z193" s="1"/>
      <c r="AA193" s="1"/>
      <c r="AB193" s="1"/>
      <c r="AC193" s="1"/>
      <c r="AD193" s="1"/>
      <c r="AE193" s="615"/>
      <c r="AF193" s="8">
        <f t="shared" si="246"/>
        <v>0</v>
      </c>
      <c r="AG193" s="2">
        <f>SUM(AH193:AK193)</f>
        <v>0</v>
      </c>
      <c r="AH193" s="309"/>
      <c r="AI193" s="711"/>
      <c r="AJ193" s="13"/>
      <c r="AK193" s="13"/>
      <c r="AL193" s="614"/>
      <c r="AM193" s="614">
        <f>AG193/1000</f>
        <v>0</v>
      </c>
      <c r="AN193" s="30">
        <f>SUM(AO193+AP193)</f>
        <v>1357486534.21</v>
      </c>
      <c r="AO193" s="13"/>
      <c r="AP193" s="613">
        <f>SUM(AQ193:AT193)</f>
        <v>1357486534.21</v>
      </c>
      <c r="AQ193" s="309"/>
      <c r="AR193" s="13"/>
      <c r="AS193" s="13"/>
      <c r="AT193" s="13">
        <v>1357486534.21</v>
      </c>
      <c r="AU193" s="612">
        <f>SUM(AN193+AG193+Y193+G193)</f>
        <v>1357486534.21</v>
      </c>
      <c r="AV193" s="611">
        <f t="shared" si="247"/>
        <v>0</v>
      </c>
      <c r="AW193" s="610">
        <v>0</v>
      </c>
      <c r="AX193" s="609">
        <f t="shared" si="248"/>
        <v>0</v>
      </c>
      <c r="AY193" s="608">
        <f t="shared" si="249"/>
        <v>2.3084487659592111E-2</v>
      </c>
      <c r="AZ193" s="606">
        <f>+((0/7))*12/1000</f>
        <v>0</v>
      </c>
      <c r="BA193" s="608">
        <f t="shared" si="250"/>
        <v>0</v>
      </c>
      <c r="BB193" s="560">
        <f t="shared" si="251"/>
        <v>1502000</v>
      </c>
      <c r="BC193" s="607">
        <v>0</v>
      </c>
      <c r="BD193" s="606">
        <v>0</v>
      </c>
      <c r="BE193" s="605">
        <f t="shared" si="241"/>
        <v>0</v>
      </c>
      <c r="BF193" s="560">
        <f t="shared" si="252"/>
        <v>0</v>
      </c>
      <c r="BG193" s="604">
        <v>0</v>
      </c>
      <c r="BH193" s="555"/>
    </row>
    <row r="194" spans="1:60" ht="15.75" customHeight="1" x14ac:dyDescent="0.3">
      <c r="A194" s="710" t="s">
        <v>753</v>
      </c>
      <c r="B194" s="634" t="s">
        <v>948</v>
      </c>
      <c r="C194" s="635"/>
      <c r="D194" s="20"/>
      <c r="E194" s="620"/>
      <c r="F194" s="558">
        <f>2400000000/1000</f>
        <v>2400000</v>
      </c>
      <c r="G194" s="20"/>
      <c r="H194" s="375"/>
      <c r="I194" s="375"/>
      <c r="J194" s="375"/>
      <c r="K194" s="375"/>
      <c r="L194" s="341"/>
      <c r="M194" s="1"/>
      <c r="N194" s="375"/>
      <c r="O194" s="375"/>
      <c r="P194" s="341"/>
      <c r="Q194" s="375"/>
      <c r="R194" s="1"/>
      <c r="S194" s="1"/>
      <c r="T194" s="1"/>
      <c r="U194" s="1"/>
      <c r="V194" s="1"/>
      <c r="W194" s="1"/>
      <c r="X194" s="617"/>
      <c r="Y194" s="1"/>
      <c r="Z194" s="1"/>
      <c r="AA194" s="1"/>
      <c r="AB194" s="1"/>
      <c r="AC194" s="1"/>
      <c r="AD194" s="1"/>
      <c r="AE194" s="615"/>
      <c r="AF194" s="8"/>
      <c r="AG194" s="11"/>
      <c r="AH194" s="636"/>
      <c r="AI194" s="12"/>
      <c r="AJ194" s="9"/>
      <c r="AK194" s="9"/>
      <c r="AL194" s="665"/>
      <c r="AM194" s="614"/>
      <c r="AN194" s="34"/>
      <c r="AO194" s="12"/>
      <c r="AP194" s="118"/>
      <c r="AQ194" s="317"/>
      <c r="AR194" s="12"/>
      <c r="AS194" s="12"/>
      <c r="AT194" s="12"/>
      <c r="AU194" s="612"/>
      <c r="AV194" s="611"/>
      <c r="AW194" s="610"/>
      <c r="AX194" s="609"/>
      <c r="AY194" s="608">
        <f t="shared" si="249"/>
        <v>3.6885998923449445E-2</v>
      </c>
      <c r="AZ194" s="606">
        <f>+((454297551.43/6))*12/1000</f>
        <v>908595.1028600001</v>
      </c>
      <c r="BA194" s="608">
        <f t="shared" si="250"/>
        <v>2.4877000797558953E-2</v>
      </c>
      <c r="BB194" s="560">
        <v>0</v>
      </c>
      <c r="BC194" s="607">
        <v>0</v>
      </c>
      <c r="BD194" s="606">
        <v>0</v>
      </c>
      <c r="BE194" s="605">
        <f t="shared" si="241"/>
        <v>0</v>
      </c>
      <c r="BF194" s="560">
        <f t="shared" si="252"/>
        <v>908595.1028600001</v>
      </c>
      <c r="BG194" s="604">
        <v>0</v>
      </c>
      <c r="BH194" s="555"/>
    </row>
    <row r="195" spans="1:60" ht="15.75" customHeight="1" x14ac:dyDescent="0.3">
      <c r="A195" s="559"/>
      <c r="B195" s="634"/>
      <c r="C195" s="635"/>
      <c r="D195" s="20"/>
      <c r="E195" s="620"/>
      <c r="F195" s="558"/>
      <c r="G195" s="20"/>
      <c r="H195" s="375"/>
      <c r="I195" s="375"/>
      <c r="J195" s="375"/>
      <c r="K195" s="375"/>
      <c r="L195" s="341"/>
      <c r="M195" s="1"/>
      <c r="N195" s="375"/>
      <c r="O195" s="375"/>
      <c r="P195" s="341"/>
      <c r="Q195" s="375"/>
      <c r="R195" s="1"/>
      <c r="S195" s="1"/>
      <c r="T195" s="1"/>
      <c r="U195" s="1"/>
      <c r="V195" s="1"/>
      <c r="W195" s="1"/>
      <c r="X195" s="617"/>
      <c r="Y195" s="1"/>
      <c r="Z195" s="1"/>
      <c r="AA195" s="1"/>
      <c r="AB195" s="1"/>
      <c r="AC195" s="1"/>
      <c r="AD195" s="1"/>
      <c r="AE195" s="615"/>
      <c r="AF195" s="8"/>
      <c r="AG195" s="2"/>
      <c r="AH195" s="636"/>
      <c r="AI195" s="9"/>
      <c r="AJ195" s="9"/>
      <c r="AK195" s="9"/>
      <c r="AL195" s="665"/>
      <c r="AM195" s="614"/>
      <c r="AN195" s="34"/>
      <c r="AO195" s="12"/>
      <c r="AP195" s="118"/>
      <c r="AQ195" s="317"/>
      <c r="AR195" s="12"/>
      <c r="AS195" s="12"/>
      <c r="AT195" s="12"/>
      <c r="AU195" s="612"/>
      <c r="AV195" s="611"/>
      <c r="AW195" s="610"/>
      <c r="AX195" s="609"/>
      <c r="AY195" s="608"/>
      <c r="AZ195" s="606"/>
      <c r="BA195" s="608"/>
      <c r="BB195" s="560"/>
      <c r="BC195" s="607"/>
      <c r="BD195" s="606"/>
      <c r="BE195" s="605">
        <f t="shared" si="241"/>
        <v>0</v>
      </c>
      <c r="BF195" s="560">
        <f t="shared" si="252"/>
        <v>0</v>
      </c>
      <c r="BG195" s="604"/>
      <c r="BH195" s="555"/>
    </row>
    <row r="196" spans="1:60" ht="15.75" customHeight="1" x14ac:dyDescent="0.3">
      <c r="A196" s="564">
        <v>5</v>
      </c>
      <c r="B196" s="1909" t="s">
        <v>283</v>
      </c>
      <c r="C196" s="1968"/>
      <c r="D196" s="25">
        <f>+D198+D208+D233+D239</f>
        <v>8465740570.7600002</v>
      </c>
      <c r="E196" s="628">
        <f>SUM(E198+E208+E233+E239)</f>
        <v>8465740570.7600002</v>
      </c>
      <c r="F196" s="561">
        <f t="shared" ref="F196:W196" si="253">F198+F208+F233+F239</f>
        <v>3529960</v>
      </c>
      <c r="G196" s="25">
        <f t="shared" si="253"/>
        <v>1777565259.04</v>
      </c>
      <c r="H196" s="25">
        <f t="shared" si="253"/>
        <v>2750000</v>
      </c>
      <c r="I196" s="25">
        <f t="shared" si="253"/>
        <v>3700000</v>
      </c>
      <c r="J196" s="25">
        <f t="shared" si="253"/>
        <v>4740000</v>
      </c>
      <c r="K196" s="25">
        <f t="shared" si="253"/>
        <v>22000000</v>
      </c>
      <c r="L196" s="25">
        <f t="shared" si="253"/>
        <v>46000000</v>
      </c>
      <c r="M196" s="25">
        <f t="shared" si="253"/>
        <v>181528439.03999999</v>
      </c>
      <c r="N196" s="25">
        <f t="shared" si="253"/>
        <v>9000000</v>
      </c>
      <c r="O196" s="25">
        <f t="shared" si="253"/>
        <v>3307500</v>
      </c>
      <c r="P196" s="25">
        <f t="shared" si="253"/>
        <v>10500000</v>
      </c>
      <c r="Q196" s="25">
        <f t="shared" si="253"/>
        <v>3700000</v>
      </c>
      <c r="R196" s="25">
        <f t="shared" si="253"/>
        <v>7100000</v>
      </c>
      <c r="S196" s="25">
        <f t="shared" si="253"/>
        <v>1112212320</v>
      </c>
      <c r="T196" s="25">
        <f t="shared" si="253"/>
        <v>13150000</v>
      </c>
      <c r="U196" s="25">
        <f t="shared" si="253"/>
        <v>15964000</v>
      </c>
      <c r="V196" s="25">
        <f t="shared" si="253"/>
        <v>338513000</v>
      </c>
      <c r="W196" s="25">
        <f t="shared" si="253"/>
        <v>3400000</v>
      </c>
      <c r="X196" s="350">
        <f>+X198+X208+X239</f>
        <v>1370920</v>
      </c>
      <c r="Y196" s="25">
        <f t="shared" ref="Y196:AD196" si="254">Y198+Y208+Y233+Y239</f>
        <v>34900000</v>
      </c>
      <c r="Z196" s="25">
        <f t="shared" si="254"/>
        <v>7500000</v>
      </c>
      <c r="AA196" s="25">
        <f t="shared" si="254"/>
        <v>3500000</v>
      </c>
      <c r="AB196" s="25">
        <f t="shared" si="254"/>
        <v>4500000</v>
      </c>
      <c r="AC196" s="25">
        <f t="shared" si="254"/>
        <v>6900000</v>
      </c>
      <c r="AD196" s="25">
        <f t="shared" si="254"/>
        <v>12500000</v>
      </c>
      <c r="AE196" s="615">
        <f>X196/$X$7*100</f>
        <v>26.890547037553258</v>
      </c>
      <c r="AF196" s="10">
        <f>+AF198+AF208+AF233+AF239</f>
        <v>30500</v>
      </c>
      <c r="AG196" s="2">
        <f>SUM(AG198+AG208+AG233+AG239)</f>
        <v>6613275311.7200003</v>
      </c>
      <c r="AH196" s="308">
        <f>AH198+AH208+AH233+AH239</f>
        <v>11500000</v>
      </c>
      <c r="AI196" s="33">
        <f>AI198+AI208+AI233+AI239</f>
        <v>4323595311.7200003</v>
      </c>
      <c r="AJ196" s="33">
        <f>AJ198+AJ208+AJ233+AJ239</f>
        <v>430000</v>
      </c>
      <c r="AK196" s="33">
        <f>AK198+AK208+AK233+AK239</f>
        <v>2277750000</v>
      </c>
      <c r="AL196" s="623">
        <f>(AF196/AF7)*100</f>
        <v>2.1066220807263494</v>
      </c>
      <c r="AM196" s="623">
        <f>+AM198+AM208+AM233+AM239</f>
        <v>7490025.5130000003</v>
      </c>
      <c r="AN196" s="34">
        <f t="shared" ref="AN196:AU196" si="255">AN198+AN208+AN233+AN239</f>
        <v>40000000</v>
      </c>
      <c r="AO196" s="35">
        <f t="shared" si="255"/>
        <v>32600000</v>
      </c>
      <c r="AP196" s="34">
        <f t="shared" si="255"/>
        <v>7400000</v>
      </c>
      <c r="AQ196" s="305">
        <f t="shared" si="255"/>
        <v>1450000</v>
      </c>
      <c r="AR196" s="35">
        <f t="shared" si="255"/>
        <v>1050000</v>
      </c>
      <c r="AS196" s="35">
        <f t="shared" si="255"/>
        <v>2450000</v>
      </c>
      <c r="AT196" s="35">
        <f t="shared" si="255"/>
        <v>2450000</v>
      </c>
      <c r="AU196" s="622">
        <f t="shared" si="255"/>
        <v>7686802556.6700001</v>
      </c>
      <c r="AV196" s="611">
        <f t="shared" ref="AV196:AV204" si="256">AM196/$AM$7</f>
        <v>0.65293889888973089</v>
      </c>
      <c r="AW196" s="621">
        <f>+AW198+AW239</f>
        <v>21400</v>
      </c>
      <c r="AX196" s="609">
        <f t="shared" ref="AX196:AX204" si="257">AW196/$AW$7</f>
        <v>4.1381452836141623E-4</v>
      </c>
      <c r="AY196" s="608">
        <f>+F196/$F$7</f>
        <v>5.4252541983258164E-2</v>
      </c>
      <c r="AZ196" s="561">
        <f>AZ198+AZ208+AZ233+AZ239</f>
        <v>49581.425260000004</v>
      </c>
      <c r="BA196" s="608">
        <f>+AZ196/$AZ$7</f>
        <v>1.3575212455521923E-3</v>
      </c>
      <c r="BB196" s="560">
        <f>+F196-AZ196</f>
        <v>3480378.5747400001</v>
      </c>
      <c r="BC196" s="607">
        <f>+BB196/AZ196</f>
        <v>70.195210333088355</v>
      </c>
      <c r="BD196" s="561">
        <f>BD198+BD208+BD233+BD239</f>
        <v>405075.451</v>
      </c>
      <c r="BE196" s="605">
        <f t="shared" si="241"/>
        <v>9.3299679311482416E-3</v>
      </c>
      <c r="BF196" s="560">
        <f t="shared" si="252"/>
        <v>-355494.02574000001</v>
      </c>
      <c r="BG196" s="604">
        <f>+BF196/BD196</f>
        <v>-0.87759953080938502</v>
      </c>
      <c r="BH196" s="555"/>
    </row>
    <row r="197" spans="1:60" ht="15.75" customHeight="1" x14ac:dyDescent="0.3">
      <c r="A197" s="559"/>
      <c r="B197" s="634"/>
      <c r="C197" s="635"/>
      <c r="D197" s="20"/>
      <c r="E197" s="620"/>
      <c r="F197" s="558"/>
      <c r="G197" s="20"/>
      <c r="H197" s="375"/>
      <c r="I197" s="375"/>
      <c r="J197" s="375"/>
      <c r="K197" s="375"/>
      <c r="L197" s="341"/>
      <c r="M197" s="1"/>
      <c r="N197" s="375"/>
      <c r="O197" s="375"/>
      <c r="P197" s="341"/>
      <c r="Q197" s="375"/>
      <c r="R197" s="1"/>
      <c r="S197" s="1"/>
      <c r="T197" s="1"/>
      <c r="U197" s="1"/>
      <c r="V197" s="1"/>
      <c r="W197" s="1"/>
      <c r="X197" s="617"/>
      <c r="Y197" s="1"/>
      <c r="Z197" s="1"/>
      <c r="AA197" s="1"/>
      <c r="AB197" s="1"/>
      <c r="AC197" s="1"/>
      <c r="AD197" s="1"/>
      <c r="AE197" s="615"/>
      <c r="AF197" s="8"/>
      <c r="AG197" s="2">
        <f>SUM(AH197:AJ197)</f>
        <v>0</v>
      </c>
      <c r="AH197" s="709"/>
      <c r="AI197" s="708"/>
      <c r="AJ197" s="708"/>
      <c r="AK197" s="708"/>
      <c r="AL197" s="707"/>
      <c r="AM197" s="614"/>
      <c r="AN197" s="34"/>
      <c r="AO197" s="698"/>
      <c r="AP197" s="706"/>
      <c r="AQ197" s="699"/>
      <c r="AR197" s="698"/>
      <c r="AS197" s="698"/>
      <c r="AT197" s="698"/>
      <c r="AU197" s="622"/>
      <c r="AV197" s="611">
        <f t="shared" si="256"/>
        <v>0</v>
      </c>
      <c r="AW197" s="610">
        <f>AN197/1000</f>
        <v>0</v>
      </c>
      <c r="AX197" s="609">
        <f t="shared" si="257"/>
        <v>0</v>
      </c>
      <c r="AY197" s="608"/>
      <c r="AZ197" s="606"/>
      <c r="BA197" s="608"/>
      <c r="BB197" s="560"/>
      <c r="BC197" s="607"/>
      <c r="BD197" s="606"/>
      <c r="BE197" s="605">
        <f t="shared" si="241"/>
        <v>0</v>
      </c>
      <c r="BF197" s="560">
        <f t="shared" si="252"/>
        <v>0</v>
      </c>
      <c r="BG197" s="604"/>
      <c r="BH197" s="555"/>
    </row>
    <row r="198" spans="1:60" ht="15.75" customHeight="1" x14ac:dyDescent="0.3">
      <c r="A198" s="562" t="s">
        <v>284</v>
      </c>
      <c r="B198" s="1973" t="s">
        <v>285</v>
      </c>
      <c r="C198" s="1974"/>
      <c r="D198" s="21">
        <f>SUM(D199:D206)</f>
        <v>265682688.80000001</v>
      </c>
      <c r="E198" s="628">
        <f t="shared" ref="E198:E204" si="258">SUM(G198+Y198+AG198+AN198)</f>
        <v>265682688.80000001</v>
      </c>
      <c r="F198" s="561">
        <f>F199+F200+F201+F202+F203+F204+F205+F206</f>
        <v>390660</v>
      </c>
      <c r="G198" s="21">
        <f t="shared" ref="G198:G204" si="259">SUM(H198:W198)</f>
        <v>198902688.80000001</v>
      </c>
      <c r="H198" s="374">
        <f t="shared" ref="H198:W198" si="260">SUM(H199:H206)</f>
        <v>2750000</v>
      </c>
      <c r="I198" s="374">
        <f t="shared" si="260"/>
        <v>2500000</v>
      </c>
      <c r="J198" s="374">
        <f t="shared" si="260"/>
        <v>3700000</v>
      </c>
      <c r="K198" s="374">
        <f t="shared" si="260"/>
        <v>18000000</v>
      </c>
      <c r="L198" s="23">
        <f t="shared" si="260"/>
        <v>16000000</v>
      </c>
      <c r="M198" s="23">
        <f t="shared" si="260"/>
        <v>84330188.799999997</v>
      </c>
      <c r="N198" s="374">
        <f t="shared" si="260"/>
        <v>7000000</v>
      </c>
      <c r="O198" s="374">
        <f t="shared" si="260"/>
        <v>2307500</v>
      </c>
      <c r="P198" s="23">
        <f t="shared" si="260"/>
        <v>5500000</v>
      </c>
      <c r="Q198" s="374">
        <f t="shared" si="260"/>
        <v>3700000</v>
      </c>
      <c r="R198" s="23">
        <f t="shared" si="260"/>
        <v>5100000</v>
      </c>
      <c r="S198" s="23">
        <f t="shared" si="260"/>
        <v>8588000</v>
      </c>
      <c r="T198" s="23">
        <f t="shared" si="260"/>
        <v>8150000</v>
      </c>
      <c r="U198" s="23">
        <f t="shared" si="260"/>
        <v>10764000</v>
      </c>
      <c r="V198" s="23">
        <f t="shared" si="260"/>
        <v>17513000</v>
      </c>
      <c r="W198" s="23">
        <f t="shared" si="260"/>
        <v>3000000</v>
      </c>
      <c r="X198" s="350">
        <f>+X199+X201+X202+X203+X204+X206+X200</f>
        <v>288620</v>
      </c>
      <c r="Y198" s="23">
        <f t="shared" ref="Y198:AD198" si="261">SUM(Y199:Y206)</f>
        <v>16000000</v>
      </c>
      <c r="Z198" s="23">
        <f t="shared" si="261"/>
        <v>4000000</v>
      </c>
      <c r="AA198" s="23">
        <f t="shared" si="261"/>
        <v>2000000</v>
      </c>
      <c r="AB198" s="23">
        <f t="shared" si="261"/>
        <v>2500000</v>
      </c>
      <c r="AC198" s="23">
        <f t="shared" si="261"/>
        <v>2000000</v>
      </c>
      <c r="AD198" s="23">
        <f t="shared" si="261"/>
        <v>5500000</v>
      </c>
      <c r="AE198" s="615">
        <f>X198/$X$7*100</f>
        <v>5.6612710340345327</v>
      </c>
      <c r="AF198" s="10">
        <f>+AF199+AF200+AF201+AF202+AF203+AF204+AF206</f>
        <v>27000</v>
      </c>
      <c r="AG198" s="2">
        <f>SUM(AG199:AG206)</f>
        <v>20780000</v>
      </c>
      <c r="AH198" s="705">
        <f>SUM(AH199:AH206)</f>
        <v>8000000</v>
      </c>
      <c r="AI198" s="625">
        <f>SUM(AI199:AI206)</f>
        <v>6100000</v>
      </c>
      <c r="AJ198" s="625">
        <f>SUM(AJ199:AJ206)</f>
        <v>430000</v>
      </c>
      <c r="AK198" s="625">
        <f>SUM(AK199:AK206)</f>
        <v>6250000</v>
      </c>
      <c r="AL198" s="704">
        <f>(AF198/AF7)*100</f>
        <v>1.8648785632659486</v>
      </c>
      <c r="AM198" s="623">
        <f>+AM199+AM200+AM201+AM202+AM203+AM204+AM206</f>
        <v>5810</v>
      </c>
      <c r="AN198" s="70">
        <f t="shared" ref="AN198:AU198" si="262">SUM(AN199:AN206)</f>
        <v>30000000</v>
      </c>
      <c r="AO198" s="618">
        <f t="shared" si="262"/>
        <v>29600000</v>
      </c>
      <c r="AP198" s="703">
        <f t="shared" si="262"/>
        <v>400000</v>
      </c>
      <c r="AQ198" s="700">
        <f t="shared" si="262"/>
        <v>400000</v>
      </c>
      <c r="AR198" s="618">
        <f t="shared" si="262"/>
        <v>0</v>
      </c>
      <c r="AS198" s="618">
        <f t="shared" si="262"/>
        <v>0</v>
      </c>
      <c r="AT198" s="618">
        <f t="shared" si="262"/>
        <v>0</v>
      </c>
      <c r="AU198" s="702">
        <f t="shared" si="262"/>
        <v>265682688.80000001</v>
      </c>
      <c r="AV198" s="611">
        <f t="shared" si="256"/>
        <v>5.0648358886963064E-4</v>
      </c>
      <c r="AW198" s="621">
        <f>+AW199+AW200+AW201+AW202+AW203+AW204+AW206</f>
        <v>18400</v>
      </c>
      <c r="AX198" s="609">
        <f t="shared" si="257"/>
        <v>3.5580314588084383E-4</v>
      </c>
      <c r="AY198" s="608">
        <f t="shared" ref="AY198:AY204" si="263">+F198/$F$7</f>
        <v>6.0041184747644831E-3</v>
      </c>
      <c r="AZ198" s="561">
        <f>AZ199+AZ200+AZ201+AZ202+AZ203+AZ204+AZ205+AZ206</f>
        <v>15968.16726</v>
      </c>
      <c r="BA198" s="608">
        <f t="shared" ref="BA198:BA204" si="264">+AZ198/$AZ$7</f>
        <v>4.3720256516040576E-4</v>
      </c>
      <c r="BB198" s="560">
        <f t="shared" ref="BB198:BB204" si="265">+F198-AZ198</f>
        <v>374691.83273999998</v>
      </c>
      <c r="BC198" s="607">
        <f>+BB198/AZ198</f>
        <v>23.464924097995702</v>
      </c>
      <c r="BD198" s="561">
        <f>BD199+BD200+BD201+BD202+BD203+BD204+BD205+BD206</f>
        <v>284704.891</v>
      </c>
      <c r="BE198" s="605">
        <f t="shared" si="241"/>
        <v>6.5575129184292525E-3</v>
      </c>
      <c r="BF198" s="560">
        <f t="shared" si="252"/>
        <v>-268736.72373999999</v>
      </c>
      <c r="BG198" s="604">
        <f>+BF198/BD198</f>
        <v>-0.94391326680791021</v>
      </c>
      <c r="BH198" s="555"/>
    </row>
    <row r="199" spans="1:60" ht="15.75" customHeight="1" x14ac:dyDescent="0.3">
      <c r="A199" s="645" t="s">
        <v>286</v>
      </c>
      <c r="B199" s="1967" t="s">
        <v>287</v>
      </c>
      <c r="C199" s="1968"/>
      <c r="D199" s="20">
        <f t="shared" ref="D199:D204" si="266">+G199+Y199+AG199+AN199</f>
        <v>4407500</v>
      </c>
      <c r="E199" s="620">
        <f t="shared" si="258"/>
        <v>4407500</v>
      </c>
      <c r="F199" s="558">
        <f>2500000/1000</f>
        <v>2500</v>
      </c>
      <c r="G199" s="20">
        <f t="shared" si="259"/>
        <v>4407500</v>
      </c>
      <c r="H199" s="341"/>
      <c r="I199" s="341"/>
      <c r="J199" s="341"/>
      <c r="K199" s="341"/>
      <c r="L199" s="341"/>
      <c r="M199" s="1">
        <v>0</v>
      </c>
      <c r="N199" s="341"/>
      <c r="O199" s="341">
        <v>807500</v>
      </c>
      <c r="P199" s="341"/>
      <c r="Q199" s="341"/>
      <c r="R199" s="1"/>
      <c r="S199" s="1">
        <v>2600000</v>
      </c>
      <c r="T199" s="1"/>
      <c r="U199" s="1"/>
      <c r="V199" s="1"/>
      <c r="W199" s="1">
        <v>1000000</v>
      </c>
      <c r="X199" s="696">
        <f>+'[3]Egresos -2015 '!$Z$198</f>
        <v>2600</v>
      </c>
      <c r="Y199" s="8">
        <f t="shared" ref="Y199:Y204" si="267">SUM(Z199:AD199)</f>
        <v>0</v>
      </c>
      <c r="Z199" s="1"/>
      <c r="AA199" s="1"/>
      <c r="AB199" s="1"/>
      <c r="AC199" s="1"/>
      <c r="AD199" s="1"/>
      <c r="AE199" s="642">
        <f>X199/$X$7*100</f>
        <v>5.099890752023347E-2</v>
      </c>
      <c r="AF199" s="8">
        <f>+'[2]Egresos -2015 '!$AG$198</f>
        <v>5000</v>
      </c>
      <c r="AG199" s="2">
        <f t="shared" ref="AG199:AG204" si="268">SUM(AH199:AK199)</f>
        <v>0</v>
      </c>
      <c r="AH199" s="699"/>
      <c r="AI199" s="698"/>
      <c r="AJ199" s="618"/>
      <c r="AK199" s="618"/>
      <c r="AL199" s="701"/>
      <c r="AM199" s="614">
        <v>0</v>
      </c>
      <c r="AN199" s="30">
        <f t="shared" ref="AN199:AN204" si="269">SUM(AO199+AP199)</f>
        <v>0</v>
      </c>
      <c r="AO199" s="618"/>
      <c r="AP199" s="613">
        <f t="shared" ref="AP199:AP204" si="270">SUM(AQ199:AT199)</f>
        <v>0</v>
      </c>
      <c r="AQ199" s="700"/>
      <c r="AR199" s="618"/>
      <c r="AS199" s="618"/>
      <c r="AT199" s="618"/>
      <c r="AU199" s="612">
        <f t="shared" ref="AU199:AU204" si="271">SUM(AN199+AG199+Y199+G199)</f>
        <v>4407500</v>
      </c>
      <c r="AV199" s="611">
        <f t="shared" si="256"/>
        <v>0</v>
      </c>
      <c r="AW199" s="610">
        <v>0</v>
      </c>
      <c r="AX199" s="609">
        <f t="shared" si="257"/>
        <v>0</v>
      </c>
      <c r="AY199" s="608">
        <f t="shared" si="263"/>
        <v>3.8422915545259837E-5</v>
      </c>
      <c r="AZ199" s="606">
        <f>+((0/6))*12/1000</f>
        <v>0</v>
      </c>
      <c r="BA199" s="608">
        <f t="shared" si="264"/>
        <v>0</v>
      </c>
      <c r="BB199" s="560">
        <f t="shared" si="265"/>
        <v>2500</v>
      </c>
      <c r="BC199" s="607" t="e">
        <f>+BB199/AZ199</f>
        <v>#DIV/0!</v>
      </c>
      <c r="BD199" s="606">
        <f>127.125</f>
        <v>127.125</v>
      </c>
      <c r="BE199" s="605">
        <f t="shared" si="241"/>
        <v>2.9280277793166491E-6</v>
      </c>
      <c r="BF199" s="560">
        <f t="shared" si="252"/>
        <v>-127.125</v>
      </c>
      <c r="BG199" s="604">
        <f>+BF199/BD199</f>
        <v>-1</v>
      </c>
      <c r="BH199" s="555"/>
    </row>
    <row r="200" spans="1:60" x14ac:dyDescent="0.3">
      <c r="A200" s="559" t="s">
        <v>288</v>
      </c>
      <c r="B200" s="1967" t="s">
        <v>289</v>
      </c>
      <c r="C200" s="1968"/>
      <c r="D200" s="20">
        <f t="shared" si="266"/>
        <v>0</v>
      </c>
      <c r="E200" s="620">
        <f t="shared" si="258"/>
        <v>0</v>
      </c>
      <c r="F200" s="558">
        <v>0</v>
      </c>
      <c r="G200" s="20">
        <f t="shared" si="259"/>
        <v>0</v>
      </c>
      <c r="H200" s="375"/>
      <c r="I200" s="375"/>
      <c r="J200" s="375"/>
      <c r="K200" s="375"/>
      <c r="L200" s="341"/>
      <c r="M200" s="1">
        <v>0</v>
      </c>
      <c r="N200" s="375">
        <v>0</v>
      </c>
      <c r="O200" s="375"/>
      <c r="P200" s="341"/>
      <c r="Q200" s="375"/>
      <c r="R200" s="1"/>
      <c r="S200" s="1"/>
      <c r="T200" s="1"/>
      <c r="U200" s="1"/>
      <c r="V200" s="1"/>
      <c r="W200" s="1"/>
      <c r="X200" s="696">
        <f>+'[3]Egresos -2015 '!$Z$199</f>
        <v>25000</v>
      </c>
      <c r="Y200" s="8">
        <f t="shared" si="267"/>
        <v>0</v>
      </c>
      <c r="Z200" s="1">
        <v>0</v>
      </c>
      <c r="AA200" s="1">
        <v>0</v>
      </c>
      <c r="AB200" s="1"/>
      <c r="AC200" s="1"/>
      <c r="AD200" s="1"/>
      <c r="AE200" s="615"/>
      <c r="AF200" s="8">
        <v>0</v>
      </c>
      <c r="AG200" s="2">
        <f t="shared" si="268"/>
        <v>0</v>
      </c>
      <c r="AH200" s="699"/>
      <c r="AI200" s="698"/>
      <c r="AJ200" s="35"/>
      <c r="AK200" s="35"/>
      <c r="AL200" s="614"/>
      <c r="AM200" s="614">
        <v>0</v>
      </c>
      <c r="AN200" s="30">
        <f t="shared" si="269"/>
        <v>0</v>
      </c>
      <c r="AO200" s="35"/>
      <c r="AP200" s="613">
        <f t="shared" si="270"/>
        <v>0</v>
      </c>
      <c r="AQ200" s="305"/>
      <c r="AR200" s="35"/>
      <c r="AS200" s="35"/>
      <c r="AT200" s="35"/>
      <c r="AU200" s="612">
        <f t="shared" si="271"/>
        <v>0</v>
      </c>
      <c r="AV200" s="611">
        <f t="shared" si="256"/>
        <v>0</v>
      </c>
      <c r="AW200" s="610">
        <v>0</v>
      </c>
      <c r="AX200" s="609">
        <f t="shared" si="257"/>
        <v>0</v>
      </c>
      <c r="AY200" s="608">
        <f t="shared" si="263"/>
        <v>0</v>
      </c>
      <c r="AZ200" s="606">
        <f>+((0/7))*12/1000</f>
        <v>0</v>
      </c>
      <c r="BA200" s="608">
        <f t="shared" si="264"/>
        <v>0</v>
      </c>
      <c r="BB200" s="560">
        <f t="shared" si="265"/>
        <v>0</v>
      </c>
      <c r="BC200" s="607">
        <v>0</v>
      </c>
      <c r="BD200" s="606">
        <v>25000</v>
      </c>
      <c r="BE200" s="605">
        <f t="shared" si="241"/>
        <v>5.7581667243198611E-4</v>
      </c>
      <c r="BF200" s="560">
        <f t="shared" si="252"/>
        <v>-25000</v>
      </c>
      <c r="BG200" s="604">
        <v>0</v>
      </c>
      <c r="BH200" s="555"/>
    </row>
    <row r="201" spans="1:60" ht="15.75" customHeight="1" x14ac:dyDescent="0.3">
      <c r="A201" s="645" t="s">
        <v>290</v>
      </c>
      <c r="B201" s="1967" t="s">
        <v>291</v>
      </c>
      <c r="C201" s="1968"/>
      <c r="D201" s="20">
        <f t="shared" si="266"/>
        <v>14159600</v>
      </c>
      <c r="E201" s="620">
        <f t="shared" si="258"/>
        <v>14159600</v>
      </c>
      <c r="F201" s="558">
        <f>21855000/1000</f>
        <v>21855</v>
      </c>
      <c r="G201" s="20">
        <f t="shared" si="259"/>
        <v>8559600</v>
      </c>
      <c r="H201" s="341">
        <v>200000</v>
      </c>
      <c r="I201" s="341"/>
      <c r="J201" s="341"/>
      <c r="K201" s="341"/>
      <c r="L201" s="341"/>
      <c r="M201" s="1">
        <v>6489600</v>
      </c>
      <c r="N201" s="341"/>
      <c r="O201" s="341"/>
      <c r="P201" s="341"/>
      <c r="Q201" s="341">
        <v>200000</v>
      </c>
      <c r="R201" s="1">
        <v>100000</v>
      </c>
      <c r="S201" s="1">
        <v>1120000</v>
      </c>
      <c r="T201" s="1">
        <v>150000</v>
      </c>
      <c r="U201" s="1"/>
      <c r="V201" s="1">
        <v>300000</v>
      </c>
      <c r="W201" s="1"/>
      <c r="X201" s="696">
        <f>+'[3]Egresos -2015 '!$Z$200</f>
        <v>19420</v>
      </c>
      <c r="Y201" s="8">
        <f t="shared" si="267"/>
        <v>0</v>
      </c>
      <c r="Z201" s="1"/>
      <c r="AA201" s="1"/>
      <c r="AB201" s="1"/>
      <c r="AC201" s="1"/>
      <c r="AD201" s="1"/>
      <c r="AE201" s="642">
        <f>X201/$X$7*100</f>
        <v>0.38092260924728227</v>
      </c>
      <c r="AF201" s="8">
        <v>0</v>
      </c>
      <c r="AG201" s="2">
        <f t="shared" si="268"/>
        <v>3100000</v>
      </c>
      <c r="AH201" s="699">
        <v>2500000</v>
      </c>
      <c r="AI201" s="698">
        <v>100000</v>
      </c>
      <c r="AJ201" s="35"/>
      <c r="AK201" s="35">
        <v>500000</v>
      </c>
      <c r="AL201" s="614"/>
      <c r="AM201" s="614">
        <f>+'[2]Egresos -2015 '!$AM$200</f>
        <v>1500</v>
      </c>
      <c r="AN201" s="30">
        <f t="shared" si="269"/>
        <v>2500000</v>
      </c>
      <c r="AO201" s="35">
        <v>2500000</v>
      </c>
      <c r="AP201" s="613">
        <f t="shared" si="270"/>
        <v>0</v>
      </c>
      <c r="AQ201" s="305"/>
      <c r="AR201" s="35"/>
      <c r="AS201" s="35"/>
      <c r="AT201" s="35"/>
      <c r="AU201" s="612">
        <f t="shared" si="271"/>
        <v>14159600</v>
      </c>
      <c r="AV201" s="611">
        <f t="shared" si="256"/>
        <v>1.3076168387339863E-4</v>
      </c>
      <c r="AW201" s="610">
        <v>0</v>
      </c>
      <c r="AX201" s="609">
        <f t="shared" si="257"/>
        <v>0</v>
      </c>
      <c r="AY201" s="608">
        <f t="shared" si="263"/>
        <v>3.3589312769666149E-4</v>
      </c>
      <c r="AZ201" s="606">
        <f>+(((1412539.24+8420.76)/6))*12/1000</f>
        <v>2841.92</v>
      </c>
      <c r="BA201" s="608">
        <f t="shared" si="264"/>
        <v>7.7810727665227392E-5</v>
      </c>
      <c r="BB201" s="560">
        <f t="shared" si="265"/>
        <v>19013.080000000002</v>
      </c>
      <c r="BC201" s="607">
        <f>+BB201/AZ201</f>
        <v>6.6902235108658941</v>
      </c>
      <c r="BD201" s="606">
        <v>1422.941</v>
      </c>
      <c r="BE201" s="605">
        <f t="shared" si="241"/>
        <v>3.2774126067481712E-5</v>
      </c>
      <c r="BF201" s="560">
        <f t="shared" si="252"/>
        <v>1418.979</v>
      </c>
      <c r="BG201" s="604">
        <f>+BF201/BD201</f>
        <v>0.99721562594654312</v>
      </c>
      <c r="BH201" s="555"/>
    </row>
    <row r="202" spans="1:60" ht="15.75" customHeight="1" x14ac:dyDescent="0.3">
      <c r="A202" s="559" t="s">
        <v>292</v>
      </c>
      <c r="B202" s="1967" t="s">
        <v>293</v>
      </c>
      <c r="C202" s="1968"/>
      <c r="D202" s="20">
        <f t="shared" si="266"/>
        <v>61561120</v>
      </c>
      <c r="E202" s="620">
        <f t="shared" si="258"/>
        <v>61561120</v>
      </c>
      <c r="F202" s="558">
        <f>66525000/1000</f>
        <v>66525</v>
      </c>
      <c r="G202" s="20">
        <f t="shared" si="259"/>
        <v>47161120</v>
      </c>
      <c r="H202" s="375">
        <v>2000000</v>
      </c>
      <c r="I202" s="375"/>
      <c r="J202" s="375">
        <v>1300000</v>
      </c>
      <c r="K202" s="375">
        <v>10000000</v>
      </c>
      <c r="L202" s="341">
        <v>8000000</v>
      </c>
      <c r="M202" s="1">
        <v>3461120</v>
      </c>
      <c r="N202" s="375">
        <f>3000000</f>
        <v>3000000</v>
      </c>
      <c r="O202" s="375">
        <v>500000</v>
      </c>
      <c r="P202" s="341">
        <v>500000</v>
      </c>
      <c r="Q202" s="375">
        <v>1500000</v>
      </c>
      <c r="R202" s="1">
        <v>2000000</v>
      </c>
      <c r="S202" s="1">
        <v>500000</v>
      </c>
      <c r="T202" s="1">
        <v>3000000</v>
      </c>
      <c r="U202" s="1">
        <v>5200000</v>
      </c>
      <c r="V202" s="1">
        <v>5700000</v>
      </c>
      <c r="W202" s="1">
        <v>500000</v>
      </c>
      <c r="X202" s="696">
        <f>+'[3]Egresos -2015 '!$Z$201</f>
        <v>28200</v>
      </c>
      <c r="Y202" s="8">
        <f t="shared" si="267"/>
        <v>4500000</v>
      </c>
      <c r="Z202" s="1">
        <v>1000000</v>
      </c>
      <c r="AA202" s="1">
        <v>500000</v>
      </c>
      <c r="AB202" s="1">
        <v>1000000</v>
      </c>
      <c r="AC202" s="1">
        <v>1000000</v>
      </c>
      <c r="AD202" s="1">
        <v>1000000</v>
      </c>
      <c r="AE202" s="642">
        <f>X202/$X$7*100</f>
        <v>0.55314199695022459</v>
      </c>
      <c r="AF202" s="8">
        <f>+'[2]Egresos -2015 '!$AG$201</f>
        <v>20500</v>
      </c>
      <c r="AG202" s="2">
        <f t="shared" si="268"/>
        <v>3800000</v>
      </c>
      <c r="AH202" s="699">
        <v>2500000</v>
      </c>
      <c r="AI202" s="698">
        <v>500000</v>
      </c>
      <c r="AJ202" s="35">
        <v>300000</v>
      </c>
      <c r="AK202" s="35">
        <v>500000</v>
      </c>
      <c r="AL202" s="614">
        <f>(AF202/AF7)*100</f>
        <v>1.4159263165537757</v>
      </c>
      <c r="AM202" s="614">
        <f>+'[2]Egresos -2015 '!$AM$201</f>
        <v>3100</v>
      </c>
      <c r="AN202" s="30">
        <f t="shared" si="269"/>
        <v>6100000</v>
      </c>
      <c r="AO202" s="35">
        <v>6100000</v>
      </c>
      <c r="AP202" s="613">
        <f t="shared" si="270"/>
        <v>0</v>
      </c>
      <c r="AQ202" s="305"/>
      <c r="AR202" s="35"/>
      <c r="AS202" s="35"/>
      <c r="AT202" s="35"/>
      <c r="AU202" s="612">
        <f t="shared" si="271"/>
        <v>61561120</v>
      </c>
      <c r="AV202" s="611">
        <f t="shared" si="256"/>
        <v>2.7024081333835716E-4</v>
      </c>
      <c r="AW202" s="610">
        <f>+'[2]Egresos -2015 '!$AO$201</f>
        <v>5650</v>
      </c>
      <c r="AX202" s="609">
        <f t="shared" si="257"/>
        <v>1.0925477033841129E-4</v>
      </c>
      <c r="AY202" s="608">
        <f t="shared" si="263"/>
        <v>1.0224337826593643E-3</v>
      </c>
      <c r="AZ202" s="606">
        <f>+(((583060.55+329531.26)/6))*12/1000</f>
        <v>1825.18362</v>
      </c>
      <c r="BA202" s="608">
        <f t="shared" si="264"/>
        <v>4.9972858347474202E-5</v>
      </c>
      <c r="BB202" s="560">
        <f t="shared" si="265"/>
        <v>64699.816379999997</v>
      </c>
      <c r="BC202" s="607">
        <v>0</v>
      </c>
      <c r="BD202" s="606">
        <v>11053.405000000001</v>
      </c>
      <c r="BE202" s="605">
        <f t="shared" si="241"/>
        <v>2.5458939544572309E-4</v>
      </c>
      <c r="BF202" s="560">
        <f t="shared" si="252"/>
        <v>-9228.2213800000009</v>
      </c>
      <c r="BG202" s="604">
        <f>+BF202/BD202</f>
        <v>-0.83487589389875794</v>
      </c>
      <c r="BH202" s="555"/>
    </row>
    <row r="203" spans="1:60" ht="15.75" customHeight="1" x14ac:dyDescent="0.3">
      <c r="A203" s="559" t="s">
        <v>294</v>
      </c>
      <c r="B203" s="1967" t="s">
        <v>295</v>
      </c>
      <c r="C203" s="1968"/>
      <c r="D203" s="20">
        <f t="shared" si="266"/>
        <v>145866468.80000001</v>
      </c>
      <c r="E203" s="620">
        <f t="shared" si="258"/>
        <v>145866468.80000001</v>
      </c>
      <c r="F203" s="558">
        <f>179370000/1000</f>
        <v>179370</v>
      </c>
      <c r="G203" s="20">
        <f t="shared" si="259"/>
        <v>103736468.8</v>
      </c>
      <c r="H203" s="375">
        <v>500000</v>
      </c>
      <c r="I203" s="375">
        <v>2500000</v>
      </c>
      <c r="J203" s="375">
        <v>2000000</v>
      </c>
      <c r="K203" s="375">
        <v>4000000</v>
      </c>
      <c r="L203" s="341"/>
      <c r="M203" s="1">
        <v>58155468.799999997</v>
      </c>
      <c r="N203" s="560">
        <f>2000000</f>
        <v>2000000</v>
      </c>
      <c r="O203" s="375">
        <v>1000000</v>
      </c>
      <c r="P203" s="341">
        <v>5000000</v>
      </c>
      <c r="Q203" s="375">
        <v>2000000</v>
      </c>
      <c r="R203" s="1">
        <v>2000000</v>
      </c>
      <c r="S203" s="1">
        <v>4368000</v>
      </c>
      <c r="T203" s="1">
        <v>5000000</v>
      </c>
      <c r="U203" s="1">
        <v>5200000</v>
      </c>
      <c r="V203" s="1">
        <v>8513000</v>
      </c>
      <c r="W203" s="1">
        <v>1500000</v>
      </c>
      <c r="X203" s="696">
        <f>+'[3]Egresos -2015 '!$Z$202</f>
        <v>186200</v>
      </c>
      <c r="Y203" s="8">
        <f t="shared" si="267"/>
        <v>9500000</v>
      </c>
      <c r="Z203" s="1">
        <v>2500000</v>
      </c>
      <c r="AA203" s="1">
        <v>1500000</v>
      </c>
      <c r="AB203" s="1">
        <v>1500000</v>
      </c>
      <c r="AC203" s="1">
        <v>1000000</v>
      </c>
      <c r="AD203" s="1">
        <v>3000000</v>
      </c>
      <c r="AE203" s="642">
        <f>X203/$X$7*100</f>
        <v>3.6523063770259512</v>
      </c>
      <c r="AF203" s="8">
        <f>+'[2]Egresos -2015 '!$AG$202</f>
        <v>1500</v>
      </c>
      <c r="AG203" s="2">
        <f t="shared" si="268"/>
        <v>12630000</v>
      </c>
      <c r="AH203" s="309">
        <v>2500000</v>
      </c>
      <c r="AI203" s="17">
        <v>5000000</v>
      </c>
      <c r="AJ203" s="35">
        <v>130000</v>
      </c>
      <c r="AK203" s="35">
        <v>5000000</v>
      </c>
      <c r="AL203" s="614">
        <f>(AF203/AF7)*100</f>
        <v>0.10360436462588604</v>
      </c>
      <c r="AM203" s="614">
        <v>0</v>
      </c>
      <c r="AN203" s="30">
        <f t="shared" si="269"/>
        <v>20000000</v>
      </c>
      <c r="AO203" s="35">
        <v>20000000</v>
      </c>
      <c r="AP203" s="613">
        <f t="shared" si="270"/>
        <v>0</v>
      </c>
      <c r="AQ203" s="305"/>
      <c r="AR203" s="35"/>
      <c r="AS203" s="35"/>
      <c r="AT203" s="35"/>
      <c r="AU203" s="612">
        <f t="shared" si="271"/>
        <v>145866468.80000001</v>
      </c>
      <c r="AV203" s="611">
        <f t="shared" si="256"/>
        <v>0</v>
      </c>
      <c r="AW203" s="610">
        <f>+'[2]Egresos -2015 '!$AO$202</f>
        <v>12000</v>
      </c>
      <c r="AX203" s="609">
        <f t="shared" si="257"/>
        <v>2.3204552992228946E-4</v>
      </c>
      <c r="AY203" s="608">
        <f t="shared" si="263"/>
        <v>2.7567673445413029E-3</v>
      </c>
      <c r="AZ203" s="606">
        <f>+(((2991608+1926143.82)/6))*12/1000</f>
        <v>9835.5036400000008</v>
      </c>
      <c r="BA203" s="608">
        <f t="shared" si="264"/>
        <v>2.6929248366681425E-4</v>
      </c>
      <c r="BB203" s="560">
        <f t="shared" si="265"/>
        <v>169534.49635999999</v>
      </c>
      <c r="BC203" s="607">
        <f>+BB203/AZ203</f>
        <v>17.236991878130194</v>
      </c>
      <c r="BD203" s="606">
        <v>243201.8</v>
      </c>
      <c r="BE203" s="605">
        <f t="shared" si="241"/>
        <v>5.6015860482187757E-3</v>
      </c>
      <c r="BF203" s="560">
        <f t="shared" si="252"/>
        <v>-233366.29635999998</v>
      </c>
      <c r="BG203" s="604">
        <f>+BF203/BD203</f>
        <v>-0.95955826132865785</v>
      </c>
      <c r="BH203" s="555"/>
    </row>
    <row r="204" spans="1:60" ht="15.75" customHeight="1" x14ac:dyDescent="0.3">
      <c r="A204" s="697" t="s">
        <v>296</v>
      </c>
      <c r="B204" s="1967" t="s">
        <v>297</v>
      </c>
      <c r="C204" s="1968"/>
      <c r="D204" s="20">
        <f t="shared" si="266"/>
        <v>4050000</v>
      </c>
      <c r="E204" s="620">
        <f t="shared" si="258"/>
        <v>4050000</v>
      </c>
      <c r="F204" s="558">
        <v>0</v>
      </c>
      <c r="G204" s="20">
        <f t="shared" si="259"/>
        <v>4050000</v>
      </c>
      <c r="H204" s="375">
        <v>50000</v>
      </c>
      <c r="I204" s="375"/>
      <c r="J204" s="375"/>
      <c r="K204" s="375">
        <v>4000000</v>
      </c>
      <c r="L204" s="341"/>
      <c r="M204" s="1"/>
      <c r="N204" s="375"/>
      <c r="O204" s="375"/>
      <c r="P204" s="341"/>
      <c r="Q204" s="375"/>
      <c r="R204" s="1"/>
      <c r="S204" s="1"/>
      <c r="T204" s="1"/>
      <c r="U204" s="1"/>
      <c r="V204" s="1"/>
      <c r="W204" s="1"/>
      <c r="X204" s="696">
        <f>+'[3]Egresos -2015 '!$Z$203</f>
        <v>5000</v>
      </c>
      <c r="Y204" s="8">
        <f t="shared" si="267"/>
        <v>0</v>
      </c>
      <c r="Z204" s="1"/>
      <c r="AA204" s="1"/>
      <c r="AB204" s="1"/>
      <c r="AC204" s="1"/>
      <c r="AD204" s="1"/>
      <c r="AE204" s="642">
        <f>X204/$X$7*100</f>
        <v>9.8074822154295138E-2</v>
      </c>
      <c r="AF204" s="8">
        <v>0</v>
      </c>
      <c r="AG204" s="2">
        <f t="shared" si="268"/>
        <v>0</v>
      </c>
      <c r="AH204" s="636"/>
      <c r="AI204" s="9"/>
      <c r="AJ204" s="35"/>
      <c r="AK204" s="35"/>
      <c r="AL204" s="614"/>
      <c r="AM204" s="614">
        <v>0</v>
      </c>
      <c r="AN204" s="30">
        <f t="shared" si="269"/>
        <v>0</v>
      </c>
      <c r="AO204" s="35"/>
      <c r="AP204" s="613">
        <f t="shared" si="270"/>
        <v>0</v>
      </c>
      <c r="AQ204" s="305"/>
      <c r="AR204" s="35"/>
      <c r="AS204" s="35"/>
      <c r="AT204" s="35"/>
      <c r="AU204" s="612">
        <f t="shared" si="271"/>
        <v>4050000</v>
      </c>
      <c r="AV204" s="611">
        <f t="shared" si="256"/>
        <v>0</v>
      </c>
      <c r="AW204" s="610">
        <v>0</v>
      </c>
      <c r="AX204" s="609">
        <f t="shared" si="257"/>
        <v>0</v>
      </c>
      <c r="AY204" s="608">
        <f t="shared" si="263"/>
        <v>0</v>
      </c>
      <c r="AZ204" s="606">
        <f>+((0/7))*12/1000</f>
        <v>0</v>
      </c>
      <c r="BA204" s="608">
        <f t="shared" si="264"/>
        <v>0</v>
      </c>
      <c r="BB204" s="560">
        <f t="shared" si="265"/>
        <v>0</v>
      </c>
      <c r="BC204" s="607">
        <v>0</v>
      </c>
      <c r="BD204" s="606">
        <v>1450</v>
      </c>
      <c r="BE204" s="605">
        <f t="shared" si="241"/>
        <v>3.3397367001055196E-5</v>
      </c>
      <c r="BF204" s="560">
        <f t="shared" si="252"/>
        <v>-1450</v>
      </c>
      <c r="BG204" s="604">
        <v>0</v>
      </c>
      <c r="BH204" s="555"/>
    </row>
    <row r="205" spans="1:60" ht="15.75" customHeight="1" x14ac:dyDescent="0.3">
      <c r="A205" s="697" t="s">
        <v>746</v>
      </c>
      <c r="B205" s="1967" t="s">
        <v>930</v>
      </c>
      <c r="C205" s="1968"/>
      <c r="D205" s="20"/>
      <c r="E205" s="620"/>
      <c r="F205" s="558">
        <f>200000/1000</f>
        <v>200</v>
      </c>
      <c r="G205" s="20"/>
      <c r="H205" s="375"/>
      <c r="I205" s="375"/>
      <c r="J205" s="375"/>
      <c r="K205" s="375"/>
      <c r="L205" s="341"/>
      <c r="M205" s="1"/>
      <c r="N205" s="375"/>
      <c r="O205" s="375"/>
      <c r="P205" s="341"/>
      <c r="Q205" s="375"/>
      <c r="R205" s="1"/>
      <c r="S205" s="1"/>
      <c r="T205" s="1"/>
      <c r="U205" s="1"/>
      <c r="V205" s="1"/>
      <c r="W205" s="1"/>
      <c r="X205" s="696"/>
      <c r="Y205" s="8"/>
      <c r="Z205" s="1"/>
      <c r="AA205" s="1"/>
      <c r="AB205" s="1"/>
      <c r="AC205" s="1"/>
      <c r="AD205" s="1"/>
      <c r="AE205" s="642"/>
      <c r="AF205" s="8"/>
      <c r="AG205" s="2"/>
      <c r="AH205" s="636"/>
      <c r="AI205" s="9"/>
      <c r="AJ205" s="35"/>
      <c r="AK205" s="35"/>
      <c r="AL205" s="614"/>
      <c r="AM205" s="614"/>
      <c r="AN205" s="30"/>
      <c r="AO205" s="35"/>
      <c r="AP205" s="613"/>
      <c r="AQ205" s="305"/>
      <c r="AR205" s="35"/>
      <c r="AS205" s="35"/>
      <c r="AT205" s="35"/>
      <c r="AU205" s="612"/>
      <c r="AV205" s="611"/>
      <c r="AW205" s="610"/>
      <c r="AX205" s="609"/>
      <c r="AY205" s="608"/>
      <c r="AZ205" s="606">
        <f>+((0/7))*12/1000</f>
        <v>0</v>
      </c>
      <c r="BA205" s="608"/>
      <c r="BB205" s="560"/>
      <c r="BC205" s="607"/>
      <c r="BD205" s="606">
        <v>0</v>
      </c>
      <c r="BE205" s="605"/>
      <c r="BF205" s="560">
        <f t="shared" si="252"/>
        <v>0</v>
      </c>
      <c r="BG205" s="604">
        <v>0</v>
      </c>
      <c r="BH205" s="555"/>
    </row>
    <row r="206" spans="1:60" ht="15.75" customHeight="1" x14ac:dyDescent="0.3">
      <c r="A206" s="697" t="s">
        <v>298</v>
      </c>
      <c r="B206" s="1967" t="s">
        <v>299</v>
      </c>
      <c r="C206" s="1968"/>
      <c r="D206" s="20">
        <f>+G206+Y206+AG206+AN206</f>
        <v>35638000</v>
      </c>
      <c r="E206" s="620">
        <f>SUM(G206+Y206+AG206+AN206)</f>
        <v>35638000</v>
      </c>
      <c r="F206" s="558">
        <f>120210000/1000</f>
        <v>120210</v>
      </c>
      <c r="G206" s="20">
        <f>SUM(H206:W206)</f>
        <v>30988000</v>
      </c>
      <c r="H206" s="341">
        <v>0</v>
      </c>
      <c r="I206" s="375"/>
      <c r="J206" s="375">
        <v>400000</v>
      </c>
      <c r="K206" s="341"/>
      <c r="L206" s="341">
        <v>8000000</v>
      </c>
      <c r="M206" s="1">
        <v>16224000</v>
      </c>
      <c r="N206" s="375">
        <f>2000000</f>
        <v>2000000</v>
      </c>
      <c r="O206" s="375">
        <v>0</v>
      </c>
      <c r="P206" s="341"/>
      <c r="Q206" s="375"/>
      <c r="R206" s="1">
        <v>1000000</v>
      </c>
      <c r="S206" s="1"/>
      <c r="T206" s="1"/>
      <c r="U206" s="1">
        <v>364000</v>
      </c>
      <c r="V206" s="1">
        <v>3000000</v>
      </c>
      <c r="W206" s="1"/>
      <c r="X206" s="696">
        <f>+'[3]Egresos -2015 '!$Z$204</f>
        <v>22200</v>
      </c>
      <c r="Y206" s="8">
        <f>SUM(Z206:AD206)</f>
        <v>2000000</v>
      </c>
      <c r="Z206" s="1">
        <v>500000</v>
      </c>
      <c r="AA206" s="1"/>
      <c r="AB206" s="1"/>
      <c r="AC206" s="1"/>
      <c r="AD206" s="1">
        <v>1500000</v>
      </c>
      <c r="AE206" s="642">
        <f>X206/$X$7*100</f>
        <v>0.43545221036507037</v>
      </c>
      <c r="AF206" s="8">
        <v>0</v>
      </c>
      <c r="AG206" s="2">
        <f>SUM(AH206:AK206)</f>
        <v>1250000</v>
      </c>
      <c r="AH206" s="309">
        <v>500000</v>
      </c>
      <c r="AI206" s="13">
        <v>500000</v>
      </c>
      <c r="AJ206" s="35"/>
      <c r="AK206" s="35">
        <v>250000</v>
      </c>
      <c r="AL206" s="614">
        <f>(AF206/AF7)*100</f>
        <v>0</v>
      </c>
      <c r="AM206" s="614">
        <f>+'[2]Egresos -2015 '!$AM$204</f>
        <v>1210</v>
      </c>
      <c r="AN206" s="30">
        <f>SUM(AO206+AP206)</f>
        <v>1400000</v>
      </c>
      <c r="AO206" s="35">
        <v>1000000</v>
      </c>
      <c r="AP206" s="613">
        <f>SUM(AQ206:AT206)</f>
        <v>400000</v>
      </c>
      <c r="AQ206" s="305">
        <v>400000</v>
      </c>
      <c r="AR206" s="35"/>
      <c r="AS206" s="35"/>
      <c r="AT206" s="35"/>
      <c r="AU206" s="612">
        <f>SUM(AN206+AG206+Y206+G206)</f>
        <v>35638000</v>
      </c>
      <c r="AV206" s="611">
        <f>AM206/$AM$7</f>
        <v>1.0548109165787488E-4</v>
      </c>
      <c r="AW206" s="610">
        <f>+'[2]Egresos -2015 '!$AO$204</f>
        <v>750</v>
      </c>
      <c r="AX206" s="609">
        <f>AW206/$AW$7</f>
        <v>1.4502845620143091E-5</v>
      </c>
      <c r="AY206" s="608">
        <f>+F206/$F$7</f>
        <v>1.8475274710782739E-3</v>
      </c>
      <c r="AZ206" s="606">
        <f>+((732780/6))*12/1000</f>
        <v>1465.56</v>
      </c>
      <c r="BA206" s="608">
        <f>+AZ206/$AZ$7</f>
        <v>4.0126495480889907E-5</v>
      </c>
      <c r="BB206" s="560">
        <f>+F206-AZ206</f>
        <v>118744.44</v>
      </c>
      <c r="BC206" s="607">
        <f>+BB206/AZ206</f>
        <v>81.023253909768286</v>
      </c>
      <c r="BD206" s="606">
        <v>2449.62</v>
      </c>
      <c r="BE206" s="605">
        <f t="shared" ref="BE206:BE231" si="272">+BD206/$BD$7</f>
        <v>5.6421281484913666E-5</v>
      </c>
      <c r="BF206" s="560">
        <f t="shared" si="252"/>
        <v>-984.06</v>
      </c>
      <c r="BG206" s="604">
        <f>+BF206/BD206</f>
        <v>-0.40171945036372986</v>
      </c>
      <c r="BH206" s="555"/>
    </row>
    <row r="207" spans="1:60" ht="15.75" customHeight="1" x14ac:dyDescent="0.3">
      <c r="A207" s="645"/>
      <c r="B207" s="634"/>
      <c r="C207" s="635"/>
      <c r="D207" s="20"/>
      <c r="E207" s="620"/>
      <c r="F207" s="558"/>
      <c r="G207" s="20"/>
      <c r="H207" s="341"/>
      <c r="I207" s="341"/>
      <c r="J207" s="341"/>
      <c r="K207" s="341"/>
      <c r="L207" s="341"/>
      <c r="M207" s="1"/>
      <c r="N207" s="341"/>
      <c r="O207" s="341"/>
      <c r="P207" s="341"/>
      <c r="Q207" s="341"/>
      <c r="R207" s="1"/>
      <c r="S207" s="1"/>
      <c r="T207" s="1"/>
      <c r="U207" s="1"/>
      <c r="V207" s="1"/>
      <c r="W207" s="1"/>
      <c r="X207" s="617"/>
      <c r="Y207" s="8"/>
      <c r="Z207" s="1"/>
      <c r="AA207" s="1"/>
      <c r="AB207" s="1"/>
      <c r="AC207" s="1"/>
      <c r="AD207" s="1"/>
      <c r="AE207" s="615"/>
      <c r="AF207" s="8"/>
      <c r="AG207" s="11"/>
      <c r="AH207" s="318"/>
      <c r="AI207" s="7"/>
      <c r="AJ207" s="7"/>
      <c r="AK207" s="7"/>
      <c r="AL207" s="695"/>
      <c r="AM207" s="614"/>
      <c r="AN207" s="34"/>
      <c r="AO207" s="7"/>
      <c r="AP207" s="119"/>
      <c r="AQ207" s="318"/>
      <c r="AR207" s="7"/>
      <c r="AS207" s="7"/>
      <c r="AT207" s="7"/>
      <c r="AU207" s="612"/>
      <c r="AV207" s="611">
        <f>AM207/$AM$7</f>
        <v>0</v>
      </c>
      <c r="AW207" s="610"/>
      <c r="AX207" s="609"/>
      <c r="AY207" s="608"/>
      <c r="AZ207" s="606"/>
      <c r="BA207" s="608"/>
      <c r="BB207" s="560"/>
      <c r="BC207" s="607"/>
      <c r="BD207" s="606"/>
      <c r="BE207" s="605">
        <f t="shared" si="272"/>
        <v>0</v>
      </c>
      <c r="BF207" s="560"/>
      <c r="BG207" s="604"/>
      <c r="BH207" s="555"/>
    </row>
    <row r="208" spans="1:60" ht="15.75" customHeight="1" x14ac:dyDescent="0.3">
      <c r="A208" s="562" t="s">
        <v>300</v>
      </c>
      <c r="B208" s="1973" t="s">
        <v>301</v>
      </c>
      <c r="C208" s="1974"/>
      <c r="D208" s="21">
        <f>+D209+D211+D231</f>
        <v>5435119631.7200003</v>
      </c>
      <c r="E208" s="628">
        <f>SUM(G208+Y208+AG208+AN208)</f>
        <v>5435119631.7200003</v>
      </c>
      <c r="F208" s="561">
        <f>F209+F210+F211+F220+F231</f>
        <v>1010500</v>
      </c>
      <c r="G208" s="21">
        <f>SUM(H208:W208)</f>
        <v>1113624320</v>
      </c>
      <c r="H208" s="374">
        <f t="shared" ref="H208:W208" si="273">SUM(H209:H231)</f>
        <v>0</v>
      </c>
      <c r="I208" s="374">
        <f t="shared" si="273"/>
        <v>0</v>
      </c>
      <c r="J208" s="374">
        <f t="shared" si="273"/>
        <v>0</v>
      </c>
      <c r="K208" s="374">
        <f t="shared" si="273"/>
        <v>0</v>
      </c>
      <c r="L208" s="23">
        <f t="shared" si="273"/>
        <v>30000000</v>
      </c>
      <c r="M208" s="23">
        <f t="shared" si="273"/>
        <v>0</v>
      </c>
      <c r="N208" s="374">
        <f t="shared" si="273"/>
        <v>0</v>
      </c>
      <c r="O208" s="374">
        <f t="shared" si="273"/>
        <v>0</v>
      </c>
      <c r="P208" s="23">
        <f t="shared" si="273"/>
        <v>0</v>
      </c>
      <c r="Q208" s="374">
        <f t="shared" si="273"/>
        <v>0</v>
      </c>
      <c r="R208" s="23">
        <f t="shared" si="273"/>
        <v>0</v>
      </c>
      <c r="S208" s="23">
        <f t="shared" si="273"/>
        <v>1083624320</v>
      </c>
      <c r="T208" s="23">
        <f t="shared" si="273"/>
        <v>0</v>
      </c>
      <c r="U208" s="23">
        <f t="shared" si="273"/>
        <v>0</v>
      </c>
      <c r="V208" s="23">
        <f t="shared" si="273"/>
        <v>0</v>
      </c>
      <c r="W208" s="23">
        <f t="shared" si="273"/>
        <v>0</v>
      </c>
      <c r="X208" s="350">
        <f>+X209</f>
        <v>940000</v>
      </c>
      <c r="Y208" s="23">
        <f t="shared" ref="Y208:AD208" si="274">SUM(Y209:Y231)</f>
        <v>9000000</v>
      </c>
      <c r="Z208" s="23">
        <f t="shared" si="274"/>
        <v>0</v>
      </c>
      <c r="AA208" s="23">
        <f t="shared" si="274"/>
        <v>0</v>
      </c>
      <c r="AB208" s="23">
        <f t="shared" si="274"/>
        <v>1000000</v>
      </c>
      <c r="AC208" s="23">
        <f t="shared" si="274"/>
        <v>4000000</v>
      </c>
      <c r="AD208" s="23">
        <f t="shared" si="274"/>
        <v>4000000</v>
      </c>
      <c r="AE208" s="615">
        <f>X208/$X$7*100</f>
        <v>18.438066565007485</v>
      </c>
      <c r="AF208" s="10">
        <f>+AF209+AF211+AF220+AF225+AF226+AF227</f>
        <v>0</v>
      </c>
      <c r="AG208" s="2">
        <f>SUM(AG209+AG211+AG231)</f>
        <v>4312495311.7200003</v>
      </c>
      <c r="AH208" s="308">
        <f>SUM(AH209:AH231)</f>
        <v>0</v>
      </c>
      <c r="AI208" s="33">
        <f>+AI209+AI211+AI231</f>
        <v>4312495311.7200003</v>
      </c>
      <c r="AJ208" s="33">
        <f>SUM(AJ209:AJ231)</f>
        <v>0</v>
      </c>
      <c r="AK208" s="33">
        <f>SUM(AK209:AK231)</f>
        <v>0</v>
      </c>
      <c r="AL208" s="623">
        <f>(AF208/AF7)*100</f>
        <v>0</v>
      </c>
      <c r="AM208" s="623">
        <f>+AM209+AM211+AM231</f>
        <v>6384215.5130000003</v>
      </c>
      <c r="AN208" s="34">
        <f t="shared" ref="AN208:AT208" si="275">SUM(AN209:AN231)</f>
        <v>0</v>
      </c>
      <c r="AO208" s="35">
        <f t="shared" si="275"/>
        <v>0</v>
      </c>
      <c r="AP208" s="34">
        <f t="shared" si="275"/>
        <v>0</v>
      </c>
      <c r="AQ208" s="305">
        <f t="shared" si="275"/>
        <v>0</v>
      </c>
      <c r="AR208" s="35">
        <f t="shared" si="275"/>
        <v>0</v>
      </c>
      <c r="AS208" s="35">
        <f t="shared" si="275"/>
        <v>0</v>
      </c>
      <c r="AT208" s="35">
        <f t="shared" si="275"/>
        <v>0</v>
      </c>
      <c r="AU208" s="622">
        <f>SUM(AU209+AU211+AU231)</f>
        <v>4656181617.6300001</v>
      </c>
      <c r="AV208" s="611">
        <f>AM208/$AM$7</f>
        <v>0.55654051379370229</v>
      </c>
      <c r="AW208" s="610">
        <f>AN208/1000</f>
        <v>0</v>
      </c>
      <c r="AX208" s="609"/>
      <c r="AY208" s="608">
        <f t="shared" ref="AY208:AY231" si="276">+F208/$F$7</f>
        <v>1.5530542463394026E-2</v>
      </c>
      <c r="AZ208" s="561">
        <f>AZ209+AZ210+AZ211+AZ220+AZ231</f>
        <v>0</v>
      </c>
      <c r="BA208" s="608">
        <f>+AZ208/$AZ$7</f>
        <v>0</v>
      </c>
      <c r="BB208" s="560">
        <f>+F208-AZ208</f>
        <v>1010500</v>
      </c>
      <c r="BC208" s="607">
        <v>0</v>
      </c>
      <c r="BD208" s="561">
        <f>BD209+BD210+BD211+BD220+BD231</f>
        <v>19327.05</v>
      </c>
      <c r="BE208" s="605">
        <f t="shared" si="272"/>
        <v>4.4515350475706465E-4</v>
      </c>
      <c r="BF208" s="560">
        <f t="shared" ref="BF208:BF231" si="277">AZ208-BD208</f>
        <v>-19327.05</v>
      </c>
      <c r="BG208" s="604">
        <v>0</v>
      </c>
      <c r="BH208" s="555"/>
    </row>
    <row r="209" spans="1:60" ht="15.75" customHeight="1" x14ac:dyDescent="0.3">
      <c r="A209" s="645" t="s">
        <v>302</v>
      </c>
      <c r="B209" s="634" t="s">
        <v>303</v>
      </c>
      <c r="C209" s="694"/>
      <c r="D209" s="20">
        <f>+G209+Y209+AG209+AN209</f>
        <v>1087000000</v>
      </c>
      <c r="E209" s="620">
        <f>SUM(G209+Y209+AG209+AN209)</f>
        <v>1087000000</v>
      </c>
      <c r="F209" s="558">
        <v>0</v>
      </c>
      <c r="G209" s="20">
        <f>SUM(H209:W209)</f>
        <v>1078000000</v>
      </c>
      <c r="H209" s="341"/>
      <c r="I209" s="341"/>
      <c r="J209" s="341"/>
      <c r="K209" s="341"/>
      <c r="L209" s="341"/>
      <c r="M209" s="1"/>
      <c r="N209" s="341"/>
      <c r="O209" s="341"/>
      <c r="P209" s="341"/>
      <c r="Q209" s="341"/>
      <c r="R209" s="1"/>
      <c r="S209" s="1">
        <v>1078000000</v>
      </c>
      <c r="T209" s="1"/>
      <c r="U209" s="1"/>
      <c r="V209" s="1"/>
      <c r="W209" s="1"/>
      <c r="X209" s="617">
        <f>+'[3]Egresos -2015 '!$Z$207</f>
        <v>940000</v>
      </c>
      <c r="Y209" s="8">
        <f>SUM(Z209:AD209)</f>
        <v>9000000</v>
      </c>
      <c r="Z209" s="1">
        <v>0</v>
      </c>
      <c r="AA209" s="1">
        <v>0</v>
      </c>
      <c r="AB209" s="1">
        <v>1000000</v>
      </c>
      <c r="AC209" s="1">
        <v>4000000</v>
      </c>
      <c r="AD209" s="1">
        <v>4000000</v>
      </c>
      <c r="AE209" s="642">
        <f>X209/$X$7*100</f>
        <v>18.438066565007485</v>
      </c>
      <c r="AF209" s="8">
        <v>0</v>
      </c>
      <c r="AG209" s="2">
        <f>SUM(AH209:AK209)</f>
        <v>0</v>
      </c>
      <c r="AH209" s="309"/>
      <c r="AI209" s="13">
        <v>0</v>
      </c>
      <c r="AJ209" s="35">
        <v>0</v>
      </c>
      <c r="AK209" s="35">
        <v>0</v>
      </c>
      <c r="AL209" s="614">
        <f>(AF209/AF7)*100</f>
        <v>0</v>
      </c>
      <c r="AM209" s="614">
        <v>0</v>
      </c>
      <c r="AN209" s="30">
        <f>SUM(AO209+AP209)</f>
        <v>0</v>
      </c>
      <c r="AO209" s="35">
        <v>0</v>
      </c>
      <c r="AP209" s="613">
        <f>SUM(AQ209:AT209)</f>
        <v>0</v>
      </c>
      <c r="AQ209" s="305">
        <v>0</v>
      </c>
      <c r="AR209" s="35">
        <v>0</v>
      </c>
      <c r="AS209" s="35">
        <v>0</v>
      </c>
      <c r="AT209" s="35">
        <v>0</v>
      </c>
      <c r="AU209" s="612">
        <f>SUM(AN209+AG209+Y209+G209)</f>
        <v>1087000000</v>
      </c>
      <c r="AV209" s="611">
        <f>AM209/$AM$7</f>
        <v>0</v>
      </c>
      <c r="AW209" s="610">
        <f>AN209/1000</f>
        <v>0</v>
      </c>
      <c r="AX209" s="609"/>
      <c r="AY209" s="608">
        <f t="shared" si="276"/>
        <v>0</v>
      </c>
      <c r="AZ209" s="606">
        <f>+((0/7))*12/1000</f>
        <v>0</v>
      </c>
      <c r="BA209" s="608">
        <f>+AZ209/$AZ$7</f>
        <v>0</v>
      </c>
      <c r="BB209" s="560">
        <f>+F209-AZ209</f>
        <v>0</v>
      </c>
      <c r="BC209" s="607">
        <v>0</v>
      </c>
      <c r="BD209" s="606">
        <v>19327.05</v>
      </c>
      <c r="BE209" s="605">
        <f t="shared" si="272"/>
        <v>4.4515350475706465E-4</v>
      </c>
      <c r="BF209" s="560">
        <f t="shared" si="277"/>
        <v>-19327.05</v>
      </c>
      <c r="BG209" s="604">
        <v>0</v>
      </c>
      <c r="BH209" s="555"/>
    </row>
    <row r="210" spans="1:60" ht="15.75" customHeight="1" x14ac:dyDescent="0.3">
      <c r="A210" s="645" t="s">
        <v>750</v>
      </c>
      <c r="B210" s="634" t="s">
        <v>947</v>
      </c>
      <c r="C210" s="694"/>
      <c r="D210" s="20"/>
      <c r="E210" s="620"/>
      <c r="F210" s="558">
        <f>10000000/1000</f>
        <v>10000</v>
      </c>
      <c r="G210" s="20"/>
      <c r="H210" s="341"/>
      <c r="I210" s="341"/>
      <c r="J210" s="341"/>
      <c r="K210" s="341"/>
      <c r="L210" s="341"/>
      <c r="M210" s="1"/>
      <c r="N210" s="341"/>
      <c r="O210" s="341"/>
      <c r="P210" s="341"/>
      <c r="Q210" s="341"/>
      <c r="R210" s="1"/>
      <c r="S210" s="1"/>
      <c r="T210" s="1"/>
      <c r="U210" s="1"/>
      <c r="V210" s="1"/>
      <c r="W210" s="1"/>
      <c r="X210" s="617"/>
      <c r="Y210" s="8"/>
      <c r="Z210" s="1"/>
      <c r="AA210" s="1"/>
      <c r="AB210" s="1"/>
      <c r="AC210" s="1"/>
      <c r="AD210" s="1"/>
      <c r="AE210" s="642"/>
      <c r="AF210" s="8"/>
      <c r="AG210" s="2"/>
      <c r="AH210" s="309"/>
      <c r="AI210" s="13"/>
      <c r="AJ210" s="35"/>
      <c r="AK210" s="35"/>
      <c r="AL210" s="614"/>
      <c r="AM210" s="614"/>
      <c r="AN210" s="30"/>
      <c r="AO210" s="35"/>
      <c r="AP210" s="613"/>
      <c r="AQ210" s="305"/>
      <c r="AR210" s="35"/>
      <c r="AS210" s="35"/>
      <c r="AT210" s="35"/>
      <c r="AU210" s="612"/>
      <c r="AV210" s="611"/>
      <c r="AW210" s="610"/>
      <c r="AX210" s="609"/>
      <c r="AY210" s="608">
        <f t="shared" si="276"/>
        <v>1.5369166218103935E-4</v>
      </c>
      <c r="AZ210" s="606">
        <f>+((0/7))*12/1000</f>
        <v>0</v>
      </c>
      <c r="BA210" s="608"/>
      <c r="BB210" s="560"/>
      <c r="BC210" s="607"/>
      <c r="BD210" s="606">
        <v>0</v>
      </c>
      <c r="BE210" s="605">
        <f t="shared" si="272"/>
        <v>0</v>
      </c>
      <c r="BF210" s="560">
        <f t="shared" si="277"/>
        <v>0</v>
      </c>
      <c r="BG210" s="604">
        <v>0</v>
      </c>
      <c r="BH210" s="555"/>
    </row>
    <row r="211" spans="1:60" ht="15.75" customHeight="1" x14ac:dyDescent="0.3">
      <c r="A211" s="645" t="s">
        <v>304</v>
      </c>
      <c r="B211" s="634" t="s">
        <v>305</v>
      </c>
      <c r="C211" s="694"/>
      <c r="D211" s="21">
        <f>SUM(D214:D227)</f>
        <v>4312495311.7200003</v>
      </c>
      <c r="E211" s="620">
        <f>SUM(G211+Y211+AG211+AN211)</f>
        <v>4312495311.7200003</v>
      </c>
      <c r="F211" s="561">
        <f>F220+F225+F226+F227+F228+F229+F230</f>
        <v>990500</v>
      </c>
      <c r="G211" s="21">
        <f>SUM(H211:W211)</f>
        <v>0</v>
      </c>
      <c r="H211" s="23"/>
      <c r="I211" s="23"/>
      <c r="J211" s="23"/>
      <c r="K211" s="23"/>
      <c r="L211" s="23"/>
      <c r="M211" s="26"/>
      <c r="N211" s="23"/>
      <c r="O211" s="23"/>
      <c r="P211" s="23"/>
      <c r="Q211" s="23"/>
      <c r="R211" s="26"/>
      <c r="S211" s="26"/>
      <c r="T211" s="26"/>
      <c r="U211" s="26"/>
      <c r="V211" s="26"/>
      <c r="W211" s="26"/>
      <c r="X211" s="350">
        <f t="shared" ref="X211:X227" si="278">G211/1000</f>
        <v>0</v>
      </c>
      <c r="Y211" s="8"/>
      <c r="Z211" s="26">
        <v>0</v>
      </c>
      <c r="AA211" s="26">
        <v>0</v>
      </c>
      <c r="AB211" s="26">
        <v>0</v>
      </c>
      <c r="AC211" s="26">
        <v>0</v>
      </c>
      <c r="AD211" s="26">
        <v>0</v>
      </c>
      <c r="AE211" s="615"/>
      <c r="AF211" s="8">
        <f t="shared" ref="AF211:AF227" si="279">Y211/1000</f>
        <v>0</v>
      </c>
      <c r="AG211" s="2">
        <f>SUM(AG214+AG215+AG216+AG220+AG224+AG225+AG226+AG227)</f>
        <v>4312495311.7200003</v>
      </c>
      <c r="AH211" s="321"/>
      <c r="AI211" s="14">
        <f>SUM(AI212:AI227)</f>
        <v>4312495311.7200003</v>
      </c>
      <c r="AJ211" s="33">
        <v>0</v>
      </c>
      <c r="AK211" s="33">
        <v>0</v>
      </c>
      <c r="AL211" s="623"/>
      <c r="AM211" s="614">
        <f>+AM220+AM225+AM226+AM227+AM228+AM229+AM230</f>
        <v>6374215.5130000003</v>
      </c>
      <c r="AN211" s="34">
        <f>SUM(AN215:AN227)</f>
        <v>0</v>
      </c>
      <c r="AO211" s="35">
        <v>0</v>
      </c>
      <c r="AP211" s="34">
        <f>SUM(AP214:AP227)</f>
        <v>0</v>
      </c>
      <c r="AQ211" s="305">
        <v>0</v>
      </c>
      <c r="AR211" s="35">
        <v>0</v>
      </c>
      <c r="AS211" s="35">
        <v>0</v>
      </c>
      <c r="AT211" s="35">
        <v>0</v>
      </c>
      <c r="AU211" s="622">
        <f>SUM(AU213:AU227)</f>
        <v>3533557297.6300001</v>
      </c>
      <c r="AV211" s="611">
        <f t="shared" ref="AV211:AV227" si="280">AM211/$AM$7</f>
        <v>0.55566876923454633</v>
      </c>
      <c r="AW211" s="610">
        <f t="shared" ref="AW211:AW227" si="281">AN211/1000</f>
        <v>0</v>
      </c>
      <c r="AX211" s="609"/>
      <c r="AY211" s="608">
        <f t="shared" si="276"/>
        <v>1.5223159139031947E-2</v>
      </c>
      <c r="AZ211" s="561">
        <f>AZ220+AZ225+AZ226+AZ227+AZ228+AZ229+AZ230</f>
        <v>0</v>
      </c>
      <c r="BA211" s="608">
        <f t="shared" ref="BA211:BA231" si="282">+AZ211/$AZ$7</f>
        <v>0</v>
      </c>
      <c r="BB211" s="560">
        <f t="shared" ref="BB211:BB231" si="283">+F211-AZ211</f>
        <v>990500</v>
      </c>
      <c r="BC211" s="607">
        <v>0</v>
      </c>
      <c r="BD211" s="561">
        <f>BD220+BD225+BD226+BD227+BD228+BD229+BD230</f>
        <v>0</v>
      </c>
      <c r="BE211" s="605">
        <f t="shared" si="272"/>
        <v>0</v>
      </c>
      <c r="BF211" s="560">
        <f t="shared" si="277"/>
        <v>0</v>
      </c>
      <c r="BG211" s="604">
        <v>0</v>
      </c>
      <c r="BH211" s="555"/>
    </row>
    <row r="212" spans="1:60" ht="15.75" hidden="1" customHeight="1" x14ac:dyDescent="0.3">
      <c r="A212" s="645" t="s">
        <v>528</v>
      </c>
      <c r="B212" s="634" t="s">
        <v>558</v>
      </c>
      <c r="C212" s="635"/>
      <c r="D212" s="20">
        <f t="shared" ref="D212:D227" si="284">+G212+Y212+AG212+AN212</f>
        <v>0</v>
      </c>
      <c r="E212" s="620"/>
      <c r="F212" s="558">
        <f t="shared" ref="F212:F219" si="285">+X212+AF212+AM212+AW212</f>
        <v>0</v>
      </c>
      <c r="G212" s="21"/>
      <c r="H212" s="23"/>
      <c r="I212" s="23"/>
      <c r="J212" s="23"/>
      <c r="K212" s="23"/>
      <c r="L212" s="23"/>
      <c r="M212" s="26"/>
      <c r="N212" s="23"/>
      <c r="O212" s="23"/>
      <c r="P212" s="23"/>
      <c r="Q212" s="23"/>
      <c r="R212" s="26"/>
      <c r="S212" s="26"/>
      <c r="T212" s="26"/>
      <c r="U212" s="26"/>
      <c r="V212" s="26"/>
      <c r="W212" s="26"/>
      <c r="X212" s="617">
        <f t="shared" si="278"/>
        <v>0</v>
      </c>
      <c r="Y212" s="26"/>
      <c r="Z212" s="26"/>
      <c r="AA212" s="26"/>
      <c r="AB212" s="26"/>
      <c r="AC212" s="26"/>
      <c r="AD212" s="26"/>
      <c r="AE212" s="615">
        <f t="shared" ref="AE212:AE219" si="286">X212/$X$7*100</f>
        <v>0</v>
      </c>
      <c r="AF212" s="8">
        <f t="shared" si="279"/>
        <v>0</v>
      </c>
      <c r="AG212" s="2"/>
      <c r="AH212" s="321"/>
      <c r="AI212" s="13"/>
      <c r="AJ212" s="33"/>
      <c r="AK212" s="33"/>
      <c r="AL212" s="623"/>
      <c r="AM212" s="614">
        <f t="shared" ref="AM212:AM219" si="287">AG212/1000</f>
        <v>0</v>
      </c>
      <c r="AN212" s="34"/>
      <c r="AO212" s="35"/>
      <c r="AP212" s="34"/>
      <c r="AQ212" s="305"/>
      <c r="AR212" s="35"/>
      <c r="AS212" s="35"/>
      <c r="AT212" s="35"/>
      <c r="AU212" s="622"/>
      <c r="AV212" s="611">
        <f t="shared" si="280"/>
        <v>0</v>
      </c>
      <c r="AW212" s="610">
        <f t="shared" si="281"/>
        <v>0</v>
      </c>
      <c r="AX212" s="609"/>
      <c r="AY212" s="608">
        <f t="shared" si="276"/>
        <v>0</v>
      </c>
      <c r="AZ212" s="606">
        <f t="shared" ref="AZ212:AZ231" si="288">+((0/7))*12/1000</f>
        <v>0</v>
      </c>
      <c r="BA212" s="608">
        <f t="shared" si="282"/>
        <v>0</v>
      </c>
      <c r="BB212" s="560">
        <f t="shared" si="283"/>
        <v>0</v>
      </c>
      <c r="BC212" s="607" t="e">
        <f t="shared" ref="BC212:BC219" si="289">+BB212/AZ212</f>
        <v>#DIV/0!</v>
      </c>
      <c r="BD212" s="606">
        <v>0</v>
      </c>
      <c r="BE212" s="605">
        <f t="shared" si="272"/>
        <v>0</v>
      </c>
      <c r="BF212" s="560">
        <f t="shared" si="277"/>
        <v>0</v>
      </c>
      <c r="BG212" s="604">
        <v>0</v>
      </c>
      <c r="BH212" s="555"/>
    </row>
    <row r="213" spans="1:60" ht="15.75" hidden="1" customHeight="1" x14ac:dyDescent="0.3">
      <c r="A213" s="645" t="s">
        <v>520</v>
      </c>
      <c r="B213" s="634" t="s">
        <v>521</v>
      </c>
      <c r="C213" s="635"/>
      <c r="D213" s="20">
        <f t="shared" si="284"/>
        <v>0</v>
      </c>
      <c r="E213" s="620">
        <f>SUM(G213+Y213+AG213+AN213)</f>
        <v>0</v>
      </c>
      <c r="F213" s="558">
        <f t="shared" si="285"/>
        <v>0</v>
      </c>
      <c r="G213" s="21">
        <f>SUM(H213:W213)</f>
        <v>0</v>
      </c>
      <c r="H213" s="341"/>
      <c r="I213" s="341"/>
      <c r="J213" s="341"/>
      <c r="K213" s="341"/>
      <c r="L213" s="341"/>
      <c r="M213" s="1"/>
      <c r="N213" s="341"/>
      <c r="O213" s="341"/>
      <c r="P213" s="341"/>
      <c r="Q213" s="341"/>
      <c r="R213" s="1"/>
      <c r="S213" s="1"/>
      <c r="T213" s="1"/>
      <c r="U213" s="1"/>
      <c r="V213" s="1"/>
      <c r="W213" s="1"/>
      <c r="X213" s="617">
        <f t="shared" si="278"/>
        <v>0</v>
      </c>
      <c r="Y213" s="1"/>
      <c r="Z213" s="1"/>
      <c r="AA213" s="1"/>
      <c r="AB213" s="1"/>
      <c r="AC213" s="1"/>
      <c r="AD213" s="1"/>
      <c r="AE213" s="615">
        <f t="shared" si="286"/>
        <v>0</v>
      </c>
      <c r="AF213" s="8">
        <f t="shared" si="279"/>
        <v>0</v>
      </c>
      <c r="AG213" s="11">
        <f>SUM(AH213:AJ213)</f>
        <v>0</v>
      </c>
      <c r="AH213" s="309"/>
      <c r="AI213" s="13"/>
      <c r="AJ213" s="35"/>
      <c r="AK213" s="35"/>
      <c r="AL213" s="614"/>
      <c r="AM213" s="614">
        <f t="shared" si="287"/>
        <v>0</v>
      </c>
      <c r="AN213" s="34"/>
      <c r="AO213" s="35"/>
      <c r="AP213" s="34"/>
      <c r="AQ213" s="305"/>
      <c r="AR213" s="35"/>
      <c r="AS213" s="35"/>
      <c r="AT213" s="35"/>
      <c r="AU213" s="612">
        <f>SUM(AN213+AG213+Y213+G213)</f>
        <v>0</v>
      </c>
      <c r="AV213" s="611">
        <f t="shared" si="280"/>
        <v>0</v>
      </c>
      <c r="AW213" s="610">
        <f t="shared" si="281"/>
        <v>0</v>
      </c>
      <c r="AX213" s="609"/>
      <c r="AY213" s="608">
        <f t="shared" si="276"/>
        <v>0</v>
      </c>
      <c r="AZ213" s="606">
        <f t="shared" si="288"/>
        <v>0</v>
      </c>
      <c r="BA213" s="608">
        <f t="shared" si="282"/>
        <v>0</v>
      </c>
      <c r="BB213" s="560">
        <f t="shared" si="283"/>
        <v>0</v>
      </c>
      <c r="BC213" s="607" t="e">
        <f t="shared" si="289"/>
        <v>#DIV/0!</v>
      </c>
      <c r="BD213" s="606">
        <v>0</v>
      </c>
      <c r="BE213" s="605">
        <f t="shared" si="272"/>
        <v>0</v>
      </c>
      <c r="BF213" s="560">
        <f t="shared" si="277"/>
        <v>0</v>
      </c>
      <c r="BG213" s="604">
        <v>0</v>
      </c>
      <c r="BH213" s="555"/>
    </row>
    <row r="214" spans="1:60" ht="15.75" hidden="1" customHeight="1" x14ac:dyDescent="0.3">
      <c r="A214" s="645" t="s">
        <v>529</v>
      </c>
      <c r="B214" s="634" t="s">
        <v>530</v>
      </c>
      <c r="C214" s="635"/>
      <c r="D214" s="20">
        <f t="shared" si="284"/>
        <v>0</v>
      </c>
      <c r="E214" s="620">
        <f>SUM(G214+Y214+AG214+AN214)</f>
        <v>0</v>
      </c>
      <c r="F214" s="558">
        <f t="shared" si="285"/>
        <v>0</v>
      </c>
      <c r="G214" s="21"/>
      <c r="H214" s="341"/>
      <c r="I214" s="341"/>
      <c r="J214" s="341"/>
      <c r="K214" s="341"/>
      <c r="L214" s="341"/>
      <c r="M214" s="1"/>
      <c r="N214" s="341"/>
      <c r="O214" s="341"/>
      <c r="P214" s="341"/>
      <c r="Q214" s="341"/>
      <c r="R214" s="1"/>
      <c r="S214" s="1"/>
      <c r="T214" s="1"/>
      <c r="U214" s="1"/>
      <c r="V214" s="1"/>
      <c r="W214" s="1"/>
      <c r="X214" s="617">
        <f t="shared" si="278"/>
        <v>0</v>
      </c>
      <c r="Y214" s="1"/>
      <c r="Z214" s="1"/>
      <c r="AA214" s="1"/>
      <c r="AB214" s="1"/>
      <c r="AC214" s="1"/>
      <c r="AD214" s="1"/>
      <c r="AE214" s="615">
        <f t="shared" si="286"/>
        <v>0</v>
      </c>
      <c r="AF214" s="8">
        <f t="shared" si="279"/>
        <v>0</v>
      </c>
      <c r="AG214" s="2">
        <f t="shared" ref="AG214:AG227" si="290">SUM(AH214:AK214)</f>
        <v>0</v>
      </c>
      <c r="AH214" s="309"/>
      <c r="AI214" s="13"/>
      <c r="AJ214" s="35"/>
      <c r="AK214" s="35"/>
      <c r="AL214" s="614"/>
      <c r="AM214" s="614">
        <f t="shared" si="287"/>
        <v>0</v>
      </c>
      <c r="AN214" s="30">
        <f t="shared" ref="AN214:AN227" si="291">SUM(AO214+AP214)</f>
        <v>0</v>
      </c>
      <c r="AO214" s="35"/>
      <c r="AP214" s="613">
        <f t="shared" ref="AP214:AP227" si="292">SUM(AQ214:AT214)</f>
        <v>0</v>
      </c>
      <c r="AQ214" s="305"/>
      <c r="AR214" s="35"/>
      <c r="AS214" s="35"/>
      <c r="AT214" s="35"/>
      <c r="AU214" s="612">
        <f>SUM(AN214+AG214+Y214+G214)</f>
        <v>0</v>
      </c>
      <c r="AV214" s="611">
        <f t="shared" si="280"/>
        <v>0</v>
      </c>
      <c r="AW214" s="610">
        <f t="shared" si="281"/>
        <v>0</v>
      </c>
      <c r="AX214" s="609"/>
      <c r="AY214" s="608">
        <f t="shared" si="276"/>
        <v>0</v>
      </c>
      <c r="AZ214" s="606">
        <f t="shared" si="288"/>
        <v>0</v>
      </c>
      <c r="BA214" s="608">
        <f t="shared" si="282"/>
        <v>0</v>
      </c>
      <c r="BB214" s="560">
        <f t="shared" si="283"/>
        <v>0</v>
      </c>
      <c r="BC214" s="607" t="e">
        <f t="shared" si="289"/>
        <v>#DIV/0!</v>
      </c>
      <c r="BD214" s="606">
        <v>0</v>
      </c>
      <c r="BE214" s="605">
        <f t="shared" si="272"/>
        <v>0</v>
      </c>
      <c r="BF214" s="560">
        <f t="shared" si="277"/>
        <v>0</v>
      </c>
      <c r="BG214" s="604">
        <v>0</v>
      </c>
      <c r="BH214" s="555"/>
    </row>
    <row r="215" spans="1:60" ht="15.75" hidden="1" customHeight="1" x14ac:dyDescent="0.3">
      <c r="A215" s="645" t="s">
        <v>531</v>
      </c>
      <c r="B215" s="634" t="s">
        <v>592</v>
      </c>
      <c r="C215" s="635"/>
      <c r="D215" s="20">
        <f t="shared" si="284"/>
        <v>0</v>
      </c>
      <c r="E215" s="620"/>
      <c r="F215" s="558">
        <f t="shared" si="285"/>
        <v>0</v>
      </c>
      <c r="G215" s="21"/>
      <c r="H215" s="341"/>
      <c r="I215" s="341"/>
      <c r="J215" s="341"/>
      <c r="K215" s="341"/>
      <c r="L215" s="341"/>
      <c r="M215" s="1"/>
      <c r="N215" s="341"/>
      <c r="O215" s="341"/>
      <c r="P215" s="341"/>
      <c r="Q215" s="341"/>
      <c r="R215" s="1"/>
      <c r="S215" s="1"/>
      <c r="T215" s="1"/>
      <c r="U215" s="1"/>
      <c r="V215" s="1"/>
      <c r="W215" s="1"/>
      <c r="X215" s="617">
        <f t="shared" si="278"/>
        <v>0</v>
      </c>
      <c r="Y215" s="1"/>
      <c r="Z215" s="1"/>
      <c r="AA215" s="1"/>
      <c r="AB215" s="1"/>
      <c r="AC215" s="1"/>
      <c r="AD215" s="1"/>
      <c r="AE215" s="615">
        <f t="shared" si="286"/>
        <v>0</v>
      </c>
      <c r="AF215" s="8">
        <f t="shared" si="279"/>
        <v>0</v>
      </c>
      <c r="AG215" s="2">
        <f t="shared" si="290"/>
        <v>0</v>
      </c>
      <c r="AH215" s="309"/>
      <c r="AI215" s="13"/>
      <c r="AJ215" s="35"/>
      <c r="AK215" s="35"/>
      <c r="AL215" s="614"/>
      <c r="AM215" s="614">
        <f t="shared" si="287"/>
        <v>0</v>
      </c>
      <c r="AN215" s="30">
        <f t="shared" si="291"/>
        <v>0</v>
      </c>
      <c r="AO215" s="35"/>
      <c r="AP215" s="613">
        <f t="shared" si="292"/>
        <v>0</v>
      </c>
      <c r="AQ215" s="305"/>
      <c r="AR215" s="35"/>
      <c r="AS215" s="35"/>
      <c r="AT215" s="35"/>
      <c r="AU215" s="612"/>
      <c r="AV215" s="611">
        <f t="shared" si="280"/>
        <v>0</v>
      </c>
      <c r="AW215" s="610">
        <f t="shared" si="281"/>
        <v>0</v>
      </c>
      <c r="AX215" s="609"/>
      <c r="AY215" s="608">
        <f t="shared" si="276"/>
        <v>0</v>
      </c>
      <c r="AZ215" s="606">
        <f t="shared" si="288"/>
        <v>0</v>
      </c>
      <c r="BA215" s="608">
        <f t="shared" si="282"/>
        <v>0</v>
      </c>
      <c r="BB215" s="560">
        <f t="shared" si="283"/>
        <v>0</v>
      </c>
      <c r="BC215" s="607" t="e">
        <f t="shared" si="289"/>
        <v>#DIV/0!</v>
      </c>
      <c r="BD215" s="606">
        <v>0</v>
      </c>
      <c r="BE215" s="605">
        <f t="shared" si="272"/>
        <v>0</v>
      </c>
      <c r="BF215" s="560">
        <f t="shared" si="277"/>
        <v>0</v>
      </c>
      <c r="BG215" s="604">
        <v>0</v>
      </c>
      <c r="BH215" s="555"/>
    </row>
    <row r="216" spans="1:60" ht="15.75" hidden="1" customHeight="1" x14ac:dyDescent="0.3">
      <c r="A216" s="645" t="s">
        <v>532</v>
      </c>
      <c r="B216" s="634" t="s">
        <v>539</v>
      </c>
      <c r="C216" s="635"/>
      <c r="D216" s="20">
        <f t="shared" si="284"/>
        <v>0</v>
      </c>
      <c r="E216" s="620">
        <f t="shared" ref="E216:E227" si="293">SUM(G216+Y216+AG216+AN216)</f>
        <v>0</v>
      </c>
      <c r="F216" s="558">
        <f t="shared" si="285"/>
        <v>0</v>
      </c>
      <c r="G216" s="21"/>
      <c r="H216" s="341"/>
      <c r="I216" s="341"/>
      <c r="J216" s="341"/>
      <c r="K216" s="341"/>
      <c r="L216" s="341"/>
      <c r="M216" s="1"/>
      <c r="N216" s="341"/>
      <c r="O216" s="341"/>
      <c r="P216" s="341"/>
      <c r="Q216" s="341"/>
      <c r="R216" s="1"/>
      <c r="S216" s="1"/>
      <c r="T216" s="1"/>
      <c r="U216" s="1"/>
      <c r="V216" s="1"/>
      <c r="W216" s="1"/>
      <c r="X216" s="617">
        <f t="shared" si="278"/>
        <v>0</v>
      </c>
      <c r="Y216" s="1"/>
      <c r="Z216" s="1"/>
      <c r="AA216" s="1"/>
      <c r="AB216" s="1"/>
      <c r="AC216" s="1"/>
      <c r="AD216" s="1"/>
      <c r="AE216" s="615">
        <f t="shared" si="286"/>
        <v>0</v>
      </c>
      <c r="AF216" s="8">
        <f t="shared" si="279"/>
        <v>0</v>
      </c>
      <c r="AG216" s="2">
        <f t="shared" si="290"/>
        <v>0</v>
      </c>
      <c r="AH216" s="309"/>
      <c r="AI216" s="13"/>
      <c r="AJ216" s="35"/>
      <c r="AK216" s="35"/>
      <c r="AL216" s="614"/>
      <c r="AM216" s="614">
        <f t="shared" si="287"/>
        <v>0</v>
      </c>
      <c r="AN216" s="30">
        <f t="shared" si="291"/>
        <v>0</v>
      </c>
      <c r="AO216" s="35"/>
      <c r="AP216" s="613">
        <f t="shared" si="292"/>
        <v>0</v>
      </c>
      <c r="AQ216" s="305"/>
      <c r="AR216" s="35"/>
      <c r="AS216" s="35"/>
      <c r="AT216" s="35"/>
      <c r="AU216" s="612">
        <f t="shared" ref="AU216:AU225" si="294">SUM(AN216+AG216+Y216+G216)</f>
        <v>0</v>
      </c>
      <c r="AV216" s="611">
        <f t="shared" si="280"/>
        <v>0</v>
      </c>
      <c r="AW216" s="610">
        <f t="shared" si="281"/>
        <v>0</v>
      </c>
      <c r="AX216" s="609"/>
      <c r="AY216" s="608">
        <f t="shared" si="276"/>
        <v>0</v>
      </c>
      <c r="AZ216" s="606">
        <f t="shared" si="288"/>
        <v>0</v>
      </c>
      <c r="BA216" s="608">
        <f t="shared" si="282"/>
        <v>0</v>
      </c>
      <c r="BB216" s="560">
        <f t="shared" si="283"/>
        <v>0</v>
      </c>
      <c r="BC216" s="607" t="e">
        <f t="shared" si="289"/>
        <v>#DIV/0!</v>
      </c>
      <c r="BD216" s="606">
        <v>0</v>
      </c>
      <c r="BE216" s="605">
        <f t="shared" si="272"/>
        <v>0</v>
      </c>
      <c r="BF216" s="560">
        <f t="shared" si="277"/>
        <v>0</v>
      </c>
      <c r="BG216" s="604">
        <v>0</v>
      </c>
      <c r="BH216" s="555"/>
    </row>
    <row r="217" spans="1:60" ht="15.75" hidden="1" customHeight="1" x14ac:dyDescent="0.3">
      <c r="A217" s="645" t="s">
        <v>533</v>
      </c>
      <c r="B217" s="634" t="s">
        <v>534</v>
      </c>
      <c r="C217" s="635"/>
      <c r="D217" s="20">
        <f t="shared" si="284"/>
        <v>0</v>
      </c>
      <c r="E217" s="620">
        <f t="shared" si="293"/>
        <v>0</v>
      </c>
      <c r="F217" s="558">
        <f t="shared" si="285"/>
        <v>0</v>
      </c>
      <c r="G217" s="21"/>
      <c r="H217" s="341"/>
      <c r="I217" s="341"/>
      <c r="J217" s="341"/>
      <c r="K217" s="341"/>
      <c r="L217" s="341"/>
      <c r="M217" s="1"/>
      <c r="N217" s="341"/>
      <c r="O217" s="341"/>
      <c r="P217" s="341"/>
      <c r="Q217" s="341"/>
      <c r="R217" s="1"/>
      <c r="S217" s="1"/>
      <c r="T217" s="1"/>
      <c r="U217" s="1"/>
      <c r="V217" s="1"/>
      <c r="W217" s="1"/>
      <c r="X217" s="617">
        <f t="shared" si="278"/>
        <v>0</v>
      </c>
      <c r="Y217" s="1"/>
      <c r="Z217" s="1"/>
      <c r="AA217" s="1"/>
      <c r="AB217" s="1"/>
      <c r="AC217" s="1"/>
      <c r="AD217" s="1"/>
      <c r="AE217" s="615">
        <f t="shared" si="286"/>
        <v>0</v>
      </c>
      <c r="AF217" s="8">
        <f t="shared" si="279"/>
        <v>0</v>
      </c>
      <c r="AG217" s="2">
        <f t="shared" si="290"/>
        <v>0</v>
      </c>
      <c r="AH217" s="309"/>
      <c r="AI217" s="13"/>
      <c r="AJ217" s="35"/>
      <c r="AK217" s="35"/>
      <c r="AL217" s="614"/>
      <c r="AM217" s="614">
        <f t="shared" si="287"/>
        <v>0</v>
      </c>
      <c r="AN217" s="30">
        <f t="shared" si="291"/>
        <v>0</v>
      </c>
      <c r="AO217" s="35"/>
      <c r="AP217" s="613">
        <f t="shared" si="292"/>
        <v>0</v>
      </c>
      <c r="AQ217" s="305"/>
      <c r="AR217" s="35"/>
      <c r="AS217" s="35"/>
      <c r="AT217" s="35"/>
      <c r="AU217" s="612">
        <f t="shared" si="294"/>
        <v>0</v>
      </c>
      <c r="AV217" s="611">
        <f t="shared" si="280"/>
        <v>0</v>
      </c>
      <c r="AW217" s="610">
        <f t="shared" si="281"/>
        <v>0</v>
      </c>
      <c r="AX217" s="609"/>
      <c r="AY217" s="608">
        <f t="shared" si="276"/>
        <v>0</v>
      </c>
      <c r="AZ217" s="606">
        <f t="shared" si="288"/>
        <v>0</v>
      </c>
      <c r="BA217" s="608">
        <f t="shared" si="282"/>
        <v>0</v>
      </c>
      <c r="BB217" s="560">
        <f t="shared" si="283"/>
        <v>0</v>
      </c>
      <c r="BC217" s="607" t="e">
        <f t="shared" si="289"/>
        <v>#DIV/0!</v>
      </c>
      <c r="BD217" s="606">
        <v>0</v>
      </c>
      <c r="BE217" s="605">
        <f t="shared" si="272"/>
        <v>0</v>
      </c>
      <c r="BF217" s="560">
        <f t="shared" si="277"/>
        <v>0</v>
      </c>
      <c r="BG217" s="604">
        <v>0</v>
      </c>
      <c r="BH217" s="555"/>
    </row>
    <row r="218" spans="1:60" ht="15.75" hidden="1" customHeight="1" x14ac:dyDescent="0.3">
      <c r="A218" s="645" t="s">
        <v>535</v>
      </c>
      <c r="B218" s="634" t="s">
        <v>536</v>
      </c>
      <c r="C218" s="635"/>
      <c r="D218" s="20">
        <f t="shared" si="284"/>
        <v>0</v>
      </c>
      <c r="E218" s="620">
        <f t="shared" si="293"/>
        <v>0</v>
      </c>
      <c r="F218" s="558">
        <f t="shared" si="285"/>
        <v>0</v>
      </c>
      <c r="G218" s="21"/>
      <c r="H218" s="341"/>
      <c r="I218" s="341"/>
      <c r="J218" s="341"/>
      <c r="K218" s="341"/>
      <c r="L218" s="341"/>
      <c r="M218" s="1"/>
      <c r="N218" s="341"/>
      <c r="O218" s="341"/>
      <c r="P218" s="341"/>
      <c r="Q218" s="341"/>
      <c r="R218" s="1"/>
      <c r="S218" s="1"/>
      <c r="T218" s="1"/>
      <c r="U218" s="1"/>
      <c r="V218" s="1"/>
      <c r="W218" s="1"/>
      <c r="X218" s="617">
        <f t="shared" si="278"/>
        <v>0</v>
      </c>
      <c r="Y218" s="1"/>
      <c r="Z218" s="1"/>
      <c r="AA218" s="1"/>
      <c r="AB218" s="1"/>
      <c r="AC218" s="1"/>
      <c r="AD218" s="1"/>
      <c r="AE218" s="615">
        <f t="shared" si="286"/>
        <v>0</v>
      </c>
      <c r="AF218" s="8">
        <f t="shared" si="279"/>
        <v>0</v>
      </c>
      <c r="AG218" s="2">
        <f t="shared" si="290"/>
        <v>0</v>
      </c>
      <c r="AH218" s="309"/>
      <c r="AI218" s="13"/>
      <c r="AJ218" s="35"/>
      <c r="AK218" s="35"/>
      <c r="AL218" s="614"/>
      <c r="AM218" s="614">
        <f t="shared" si="287"/>
        <v>0</v>
      </c>
      <c r="AN218" s="30">
        <f t="shared" si="291"/>
        <v>0</v>
      </c>
      <c r="AO218" s="35"/>
      <c r="AP218" s="613">
        <f t="shared" si="292"/>
        <v>0</v>
      </c>
      <c r="AQ218" s="305"/>
      <c r="AR218" s="35"/>
      <c r="AS218" s="35"/>
      <c r="AT218" s="35"/>
      <c r="AU218" s="612">
        <f t="shared" si="294"/>
        <v>0</v>
      </c>
      <c r="AV218" s="611">
        <f t="shared" si="280"/>
        <v>0</v>
      </c>
      <c r="AW218" s="610">
        <f t="shared" si="281"/>
        <v>0</v>
      </c>
      <c r="AX218" s="609"/>
      <c r="AY218" s="608">
        <f t="shared" si="276"/>
        <v>0</v>
      </c>
      <c r="AZ218" s="606">
        <f t="shared" si="288"/>
        <v>0</v>
      </c>
      <c r="BA218" s="608">
        <f t="shared" si="282"/>
        <v>0</v>
      </c>
      <c r="BB218" s="560">
        <f t="shared" si="283"/>
        <v>0</v>
      </c>
      <c r="BC218" s="607" t="e">
        <f t="shared" si="289"/>
        <v>#DIV/0!</v>
      </c>
      <c r="BD218" s="606">
        <v>0</v>
      </c>
      <c r="BE218" s="605">
        <f t="shared" si="272"/>
        <v>0</v>
      </c>
      <c r="BF218" s="560">
        <f t="shared" si="277"/>
        <v>0</v>
      </c>
      <c r="BG218" s="604">
        <v>0</v>
      </c>
      <c r="BH218" s="555"/>
    </row>
    <row r="219" spans="1:60" ht="15.75" hidden="1" customHeight="1" x14ac:dyDescent="0.3">
      <c r="A219" s="645" t="s">
        <v>522</v>
      </c>
      <c r="B219" s="634" t="s">
        <v>523</v>
      </c>
      <c r="C219" s="635"/>
      <c r="D219" s="20">
        <f t="shared" si="284"/>
        <v>0</v>
      </c>
      <c r="E219" s="620">
        <f t="shared" si="293"/>
        <v>0</v>
      </c>
      <c r="F219" s="558">
        <f t="shared" si="285"/>
        <v>0</v>
      </c>
      <c r="G219" s="21"/>
      <c r="H219" s="341"/>
      <c r="I219" s="341"/>
      <c r="J219" s="341"/>
      <c r="K219" s="341"/>
      <c r="L219" s="341"/>
      <c r="M219" s="1"/>
      <c r="N219" s="341"/>
      <c r="O219" s="341"/>
      <c r="P219" s="341"/>
      <c r="Q219" s="341"/>
      <c r="R219" s="1"/>
      <c r="S219" s="1"/>
      <c r="T219" s="1"/>
      <c r="U219" s="1"/>
      <c r="V219" s="1"/>
      <c r="W219" s="1"/>
      <c r="X219" s="617">
        <f t="shared" si="278"/>
        <v>0</v>
      </c>
      <c r="Y219" s="1"/>
      <c r="Z219" s="1"/>
      <c r="AA219" s="1"/>
      <c r="AB219" s="1"/>
      <c r="AC219" s="1"/>
      <c r="AD219" s="1"/>
      <c r="AE219" s="615">
        <f t="shared" si="286"/>
        <v>0</v>
      </c>
      <c r="AF219" s="8">
        <f t="shared" si="279"/>
        <v>0</v>
      </c>
      <c r="AG219" s="2">
        <f t="shared" si="290"/>
        <v>0</v>
      </c>
      <c r="AH219" s="309"/>
      <c r="AI219" s="13"/>
      <c r="AJ219" s="35"/>
      <c r="AK219" s="35"/>
      <c r="AL219" s="614"/>
      <c r="AM219" s="614">
        <f t="shared" si="287"/>
        <v>0</v>
      </c>
      <c r="AN219" s="30">
        <f t="shared" si="291"/>
        <v>0</v>
      </c>
      <c r="AO219" s="35"/>
      <c r="AP219" s="613">
        <f t="shared" si="292"/>
        <v>0</v>
      </c>
      <c r="AQ219" s="305"/>
      <c r="AR219" s="35"/>
      <c r="AS219" s="35"/>
      <c r="AT219" s="35"/>
      <c r="AU219" s="612">
        <f t="shared" si="294"/>
        <v>0</v>
      </c>
      <c r="AV219" s="611">
        <f t="shared" si="280"/>
        <v>0</v>
      </c>
      <c r="AW219" s="610">
        <f t="shared" si="281"/>
        <v>0</v>
      </c>
      <c r="AX219" s="609"/>
      <c r="AY219" s="608">
        <f t="shared" si="276"/>
        <v>0</v>
      </c>
      <c r="AZ219" s="606">
        <f t="shared" si="288"/>
        <v>0</v>
      </c>
      <c r="BA219" s="608">
        <f t="shared" si="282"/>
        <v>0</v>
      </c>
      <c r="BB219" s="560">
        <f t="shared" si="283"/>
        <v>0</v>
      </c>
      <c r="BC219" s="607" t="e">
        <f t="shared" si="289"/>
        <v>#DIV/0!</v>
      </c>
      <c r="BD219" s="606">
        <v>0</v>
      </c>
      <c r="BE219" s="605">
        <f t="shared" si="272"/>
        <v>0</v>
      </c>
      <c r="BF219" s="560">
        <f t="shared" si="277"/>
        <v>0</v>
      </c>
      <c r="BG219" s="604">
        <v>0</v>
      </c>
      <c r="BH219" s="555"/>
    </row>
    <row r="220" spans="1:60" ht="15.75" hidden="1" customHeight="1" x14ac:dyDescent="0.3">
      <c r="A220" s="645" t="s">
        <v>554</v>
      </c>
      <c r="B220" s="634" t="str">
        <f>+'[2]Egresos -2015 '!$B$217</f>
        <v>El Nazareno (Hojancha)</v>
      </c>
      <c r="C220" s="635"/>
      <c r="D220" s="20">
        <f t="shared" si="284"/>
        <v>1450000000</v>
      </c>
      <c r="E220" s="620">
        <f t="shared" si="293"/>
        <v>1450000000</v>
      </c>
      <c r="F220" s="558">
        <v>0</v>
      </c>
      <c r="G220" s="21">
        <f>SUM(H220:W220)</f>
        <v>0</v>
      </c>
      <c r="H220" s="341"/>
      <c r="I220" s="341"/>
      <c r="J220" s="341"/>
      <c r="K220" s="341"/>
      <c r="L220" s="341"/>
      <c r="M220" s="1"/>
      <c r="N220" s="341"/>
      <c r="O220" s="341"/>
      <c r="P220" s="341"/>
      <c r="Q220" s="341"/>
      <c r="R220" s="1"/>
      <c r="S220" s="1"/>
      <c r="T220" s="1"/>
      <c r="U220" s="1"/>
      <c r="V220" s="1"/>
      <c r="W220" s="1"/>
      <c r="X220" s="617">
        <f t="shared" si="278"/>
        <v>0</v>
      </c>
      <c r="Y220" s="1"/>
      <c r="Z220" s="1"/>
      <c r="AA220" s="1"/>
      <c r="AB220" s="1"/>
      <c r="AC220" s="1"/>
      <c r="AD220" s="1"/>
      <c r="AE220" s="615"/>
      <c r="AF220" s="8">
        <f t="shared" si="279"/>
        <v>0</v>
      </c>
      <c r="AG220" s="2">
        <f t="shared" si="290"/>
        <v>1450000000</v>
      </c>
      <c r="AH220" s="309"/>
      <c r="AI220" s="13">
        <v>1450000000</v>
      </c>
      <c r="AJ220" s="35"/>
      <c r="AK220" s="35"/>
      <c r="AL220" s="614"/>
      <c r="AM220" s="614">
        <f>+'[2]Egresos -2015 '!$AM$217</f>
        <v>1232500</v>
      </c>
      <c r="AN220" s="30">
        <f t="shared" si="291"/>
        <v>0</v>
      </c>
      <c r="AO220" s="35"/>
      <c r="AP220" s="613">
        <f t="shared" si="292"/>
        <v>0</v>
      </c>
      <c r="AQ220" s="305"/>
      <c r="AR220" s="35"/>
      <c r="AS220" s="35"/>
      <c r="AT220" s="35"/>
      <c r="AU220" s="612">
        <f t="shared" si="294"/>
        <v>1450000000</v>
      </c>
      <c r="AV220" s="611">
        <f t="shared" si="280"/>
        <v>0.10744251691597587</v>
      </c>
      <c r="AW220" s="610">
        <f t="shared" si="281"/>
        <v>0</v>
      </c>
      <c r="AX220" s="609"/>
      <c r="AY220" s="608">
        <f t="shared" si="276"/>
        <v>0</v>
      </c>
      <c r="AZ220" s="606">
        <f t="shared" si="288"/>
        <v>0</v>
      </c>
      <c r="BA220" s="608">
        <f t="shared" si="282"/>
        <v>0</v>
      </c>
      <c r="BB220" s="560">
        <f t="shared" si="283"/>
        <v>0</v>
      </c>
      <c r="BC220" s="607">
        <v>0</v>
      </c>
      <c r="BD220" s="606">
        <v>0</v>
      </c>
      <c r="BE220" s="605">
        <f t="shared" si="272"/>
        <v>0</v>
      </c>
      <c r="BF220" s="560">
        <f t="shared" si="277"/>
        <v>0</v>
      </c>
      <c r="BG220" s="604">
        <v>0</v>
      </c>
      <c r="BH220" s="555"/>
    </row>
    <row r="221" spans="1:60" ht="15.75" hidden="1" customHeight="1" x14ac:dyDescent="0.3">
      <c r="A221" s="645" t="s">
        <v>540</v>
      </c>
      <c r="B221" s="634" t="s">
        <v>541</v>
      </c>
      <c r="C221" s="635"/>
      <c r="D221" s="20">
        <f t="shared" si="284"/>
        <v>0</v>
      </c>
      <c r="E221" s="620">
        <f t="shared" si="293"/>
        <v>0</v>
      </c>
      <c r="F221" s="558">
        <f>+X221+AF221+AM221+AW221</f>
        <v>0</v>
      </c>
      <c r="G221" s="21"/>
      <c r="H221" s="341"/>
      <c r="I221" s="341"/>
      <c r="J221" s="341"/>
      <c r="K221" s="341"/>
      <c r="L221" s="341"/>
      <c r="M221" s="1"/>
      <c r="N221" s="341"/>
      <c r="O221" s="341"/>
      <c r="P221" s="341"/>
      <c r="Q221" s="341"/>
      <c r="R221" s="1"/>
      <c r="S221" s="1"/>
      <c r="T221" s="1"/>
      <c r="U221" s="1"/>
      <c r="V221" s="1"/>
      <c r="W221" s="1"/>
      <c r="X221" s="617">
        <f t="shared" si="278"/>
        <v>0</v>
      </c>
      <c r="Y221" s="1"/>
      <c r="Z221" s="1"/>
      <c r="AA221" s="1"/>
      <c r="AB221" s="1"/>
      <c r="AC221" s="1"/>
      <c r="AD221" s="1"/>
      <c r="AE221" s="615">
        <f>X221/$X$7*100</f>
        <v>0</v>
      </c>
      <c r="AF221" s="8">
        <f t="shared" si="279"/>
        <v>0</v>
      </c>
      <c r="AG221" s="2">
        <f t="shared" si="290"/>
        <v>0</v>
      </c>
      <c r="AH221" s="309"/>
      <c r="AI221" s="13"/>
      <c r="AJ221" s="35"/>
      <c r="AK221" s="35"/>
      <c r="AL221" s="614"/>
      <c r="AM221" s="614">
        <f>AG221/1000</f>
        <v>0</v>
      </c>
      <c r="AN221" s="30">
        <f t="shared" si="291"/>
        <v>0</v>
      </c>
      <c r="AO221" s="35"/>
      <c r="AP221" s="613">
        <f t="shared" si="292"/>
        <v>0</v>
      </c>
      <c r="AQ221" s="305"/>
      <c r="AR221" s="35"/>
      <c r="AS221" s="35"/>
      <c r="AT221" s="35"/>
      <c r="AU221" s="612">
        <f t="shared" si="294"/>
        <v>0</v>
      </c>
      <c r="AV221" s="611">
        <f t="shared" si="280"/>
        <v>0</v>
      </c>
      <c r="AW221" s="610">
        <f t="shared" si="281"/>
        <v>0</v>
      </c>
      <c r="AX221" s="609"/>
      <c r="AY221" s="608">
        <f t="shared" si="276"/>
        <v>0</v>
      </c>
      <c r="AZ221" s="606">
        <f t="shared" si="288"/>
        <v>0</v>
      </c>
      <c r="BA221" s="608">
        <f t="shared" si="282"/>
        <v>0</v>
      </c>
      <c r="BB221" s="560">
        <f t="shared" si="283"/>
        <v>0</v>
      </c>
      <c r="BC221" s="607" t="e">
        <f>+BB221/AZ221</f>
        <v>#DIV/0!</v>
      </c>
      <c r="BD221" s="606">
        <v>0</v>
      </c>
      <c r="BE221" s="605">
        <f t="shared" si="272"/>
        <v>0</v>
      </c>
      <c r="BF221" s="560">
        <f t="shared" si="277"/>
        <v>0</v>
      </c>
      <c r="BG221" s="604">
        <v>0</v>
      </c>
      <c r="BH221" s="555"/>
    </row>
    <row r="222" spans="1:60" ht="15.75" hidden="1" customHeight="1" x14ac:dyDescent="0.3">
      <c r="A222" s="645" t="s">
        <v>542</v>
      </c>
      <c r="B222" s="634" t="s">
        <v>543</v>
      </c>
      <c r="C222" s="635"/>
      <c r="D222" s="20">
        <f t="shared" si="284"/>
        <v>0</v>
      </c>
      <c r="E222" s="620">
        <f t="shared" si="293"/>
        <v>0</v>
      </c>
      <c r="F222" s="558">
        <f>+X222+AF222+AM222+AW222</f>
        <v>0</v>
      </c>
      <c r="G222" s="21"/>
      <c r="H222" s="341"/>
      <c r="I222" s="341"/>
      <c r="J222" s="341"/>
      <c r="K222" s="341"/>
      <c r="L222" s="341"/>
      <c r="M222" s="1"/>
      <c r="N222" s="341"/>
      <c r="O222" s="341"/>
      <c r="P222" s="341"/>
      <c r="Q222" s="341"/>
      <c r="R222" s="1"/>
      <c r="S222" s="1"/>
      <c r="T222" s="1"/>
      <c r="U222" s="1"/>
      <c r="V222" s="1"/>
      <c r="W222" s="1"/>
      <c r="X222" s="617">
        <f t="shared" si="278"/>
        <v>0</v>
      </c>
      <c r="Y222" s="1"/>
      <c r="Z222" s="1"/>
      <c r="AA222" s="1"/>
      <c r="AB222" s="1"/>
      <c r="AC222" s="1"/>
      <c r="AD222" s="1"/>
      <c r="AE222" s="615">
        <f>X222/$X$7*100</f>
        <v>0</v>
      </c>
      <c r="AF222" s="8">
        <f t="shared" si="279"/>
        <v>0</v>
      </c>
      <c r="AG222" s="2">
        <f t="shared" si="290"/>
        <v>0</v>
      </c>
      <c r="AH222" s="309"/>
      <c r="AI222" s="13"/>
      <c r="AJ222" s="35"/>
      <c r="AK222" s="35"/>
      <c r="AL222" s="614"/>
      <c r="AM222" s="614">
        <f>AG222/1000</f>
        <v>0</v>
      </c>
      <c r="AN222" s="30">
        <f t="shared" si="291"/>
        <v>0</v>
      </c>
      <c r="AO222" s="35"/>
      <c r="AP222" s="613">
        <f t="shared" si="292"/>
        <v>0</v>
      </c>
      <c r="AQ222" s="305"/>
      <c r="AR222" s="35"/>
      <c r="AS222" s="35"/>
      <c r="AT222" s="35"/>
      <c r="AU222" s="612">
        <f t="shared" si="294"/>
        <v>0</v>
      </c>
      <c r="AV222" s="611">
        <f t="shared" si="280"/>
        <v>0</v>
      </c>
      <c r="AW222" s="610">
        <f t="shared" si="281"/>
        <v>0</v>
      </c>
      <c r="AX222" s="609"/>
      <c r="AY222" s="608">
        <f t="shared" si="276"/>
        <v>0</v>
      </c>
      <c r="AZ222" s="606">
        <f t="shared" si="288"/>
        <v>0</v>
      </c>
      <c r="BA222" s="608">
        <f t="shared" si="282"/>
        <v>0</v>
      </c>
      <c r="BB222" s="560">
        <f t="shared" si="283"/>
        <v>0</v>
      </c>
      <c r="BC222" s="607" t="e">
        <f>+BB222/AZ222</f>
        <v>#DIV/0!</v>
      </c>
      <c r="BD222" s="606">
        <v>0</v>
      </c>
      <c r="BE222" s="605">
        <f t="shared" si="272"/>
        <v>0</v>
      </c>
      <c r="BF222" s="560">
        <f t="shared" si="277"/>
        <v>0</v>
      </c>
      <c r="BG222" s="604">
        <v>0</v>
      </c>
      <c r="BH222" s="555"/>
    </row>
    <row r="223" spans="1:60" ht="15.75" hidden="1" customHeight="1" x14ac:dyDescent="0.3">
      <c r="A223" s="645" t="s">
        <v>544</v>
      </c>
      <c r="B223" s="634" t="s">
        <v>545</v>
      </c>
      <c r="C223" s="635"/>
      <c r="D223" s="20">
        <f t="shared" si="284"/>
        <v>0</v>
      </c>
      <c r="E223" s="620">
        <f t="shared" si="293"/>
        <v>0</v>
      </c>
      <c r="F223" s="558">
        <f>+X223+AF223+AM223+AW223</f>
        <v>0</v>
      </c>
      <c r="G223" s="21"/>
      <c r="H223" s="341"/>
      <c r="I223" s="341"/>
      <c r="J223" s="341"/>
      <c r="K223" s="341"/>
      <c r="L223" s="341"/>
      <c r="M223" s="1"/>
      <c r="N223" s="341"/>
      <c r="O223" s="341"/>
      <c r="P223" s="341"/>
      <c r="Q223" s="341"/>
      <c r="R223" s="1"/>
      <c r="S223" s="1"/>
      <c r="T223" s="1"/>
      <c r="U223" s="1"/>
      <c r="V223" s="1"/>
      <c r="W223" s="1"/>
      <c r="X223" s="617">
        <f t="shared" si="278"/>
        <v>0</v>
      </c>
      <c r="Y223" s="1"/>
      <c r="Z223" s="1"/>
      <c r="AA223" s="1"/>
      <c r="AB223" s="1"/>
      <c r="AC223" s="1"/>
      <c r="AD223" s="1"/>
      <c r="AE223" s="615">
        <f>X223/$X$7*100</f>
        <v>0</v>
      </c>
      <c r="AF223" s="8">
        <f t="shared" si="279"/>
        <v>0</v>
      </c>
      <c r="AG223" s="2">
        <f t="shared" si="290"/>
        <v>0</v>
      </c>
      <c r="AH223" s="309"/>
      <c r="AI223" s="13"/>
      <c r="AJ223" s="35"/>
      <c r="AK223" s="35"/>
      <c r="AL223" s="614"/>
      <c r="AM223" s="614">
        <f>AG223/1000</f>
        <v>0</v>
      </c>
      <c r="AN223" s="30">
        <f t="shared" si="291"/>
        <v>0</v>
      </c>
      <c r="AO223" s="35"/>
      <c r="AP223" s="613">
        <f t="shared" si="292"/>
        <v>0</v>
      </c>
      <c r="AQ223" s="305"/>
      <c r="AR223" s="35"/>
      <c r="AS223" s="35"/>
      <c r="AT223" s="35"/>
      <c r="AU223" s="612">
        <f t="shared" si="294"/>
        <v>0</v>
      </c>
      <c r="AV223" s="611">
        <f t="shared" si="280"/>
        <v>0</v>
      </c>
      <c r="AW223" s="610">
        <f t="shared" si="281"/>
        <v>0</v>
      </c>
      <c r="AX223" s="609"/>
      <c r="AY223" s="608">
        <f t="shared" si="276"/>
        <v>0</v>
      </c>
      <c r="AZ223" s="606">
        <f t="shared" si="288"/>
        <v>0</v>
      </c>
      <c r="BA223" s="608">
        <f t="shared" si="282"/>
        <v>0</v>
      </c>
      <c r="BB223" s="560">
        <f t="shared" si="283"/>
        <v>0</v>
      </c>
      <c r="BC223" s="607" t="e">
        <f>+BB223/AZ223</f>
        <v>#DIV/0!</v>
      </c>
      <c r="BD223" s="606">
        <v>0</v>
      </c>
      <c r="BE223" s="605">
        <f t="shared" si="272"/>
        <v>0</v>
      </c>
      <c r="BF223" s="560">
        <f t="shared" si="277"/>
        <v>0</v>
      </c>
      <c r="BG223" s="604">
        <v>0</v>
      </c>
      <c r="BH223" s="555"/>
    </row>
    <row r="224" spans="1:60" ht="15.75" hidden="1" customHeight="1" x14ac:dyDescent="0.3">
      <c r="A224" s="645" t="s">
        <v>559</v>
      </c>
      <c r="B224" s="634" t="s">
        <v>560</v>
      </c>
      <c r="C224" s="635"/>
      <c r="D224" s="20">
        <f t="shared" si="284"/>
        <v>0</v>
      </c>
      <c r="E224" s="620">
        <f t="shared" si="293"/>
        <v>0</v>
      </c>
      <c r="F224" s="558">
        <f>+X224+AF224+AM224+AW224</f>
        <v>0</v>
      </c>
      <c r="G224" s="21"/>
      <c r="H224" s="341"/>
      <c r="I224" s="341"/>
      <c r="J224" s="341"/>
      <c r="K224" s="341"/>
      <c r="L224" s="341"/>
      <c r="M224" s="1"/>
      <c r="N224" s="341"/>
      <c r="O224" s="341"/>
      <c r="P224" s="341"/>
      <c r="Q224" s="341"/>
      <c r="R224" s="1"/>
      <c r="S224" s="1"/>
      <c r="T224" s="1"/>
      <c r="U224" s="1"/>
      <c r="V224" s="1"/>
      <c r="W224" s="1"/>
      <c r="X224" s="617">
        <f t="shared" si="278"/>
        <v>0</v>
      </c>
      <c r="Y224" s="1"/>
      <c r="Z224" s="1"/>
      <c r="AA224" s="1"/>
      <c r="AB224" s="1"/>
      <c r="AC224" s="1"/>
      <c r="AD224" s="1"/>
      <c r="AE224" s="615">
        <f>X224/$X$7*100</f>
        <v>0</v>
      </c>
      <c r="AF224" s="8">
        <f t="shared" si="279"/>
        <v>0</v>
      </c>
      <c r="AG224" s="2">
        <f t="shared" si="290"/>
        <v>0</v>
      </c>
      <c r="AH224" s="309"/>
      <c r="AI224" s="13"/>
      <c r="AJ224" s="35"/>
      <c r="AK224" s="35"/>
      <c r="AL224" s="614"/>
      <c r="AM224" s="614">
        <f>AG224/1000</f>
        <v>0</v>
      </c>
      <c r="AN224" s="30">
        <f t="shared" si="291"/>
        <v>0</v>
      </c>
      <c r="AO224" s="35"/>
      <c r="AP224" s="613">
        <f t="shared" si="292"/>
        <v>0</v>
      </c>
      <c r="AQ224" s="305"/>
      <c r="AR224" s="35"/>
      <c r="AS224" s="35"/>
      <c r="AT224" s="35"/>
      <c r="AU224" s="612">
        <f t="shared" si="294"/>
        <v>0</v>
      </c>
      <c r="AV224" s="611">
        <f t="shared" si="280"/>
        <v>0</v>
      </c>
      <c r="AW224" s="610">
        <f t="shared" si="281"/>
        <v>0</v>
      </c>
      <c r="AX224" s="609"/>
      <c r="AY224" s="608">
        <f t="shared" si="276"/>
        <v>0</v>
      </c>
      <c r="AZ224" s="606">
        <f t="shared" si="288"/>
        <v>0</v>
      </c>
      <c r="BA224" s="608">
        <f t="shared" si="282"/>
        <v>0</v>
      </c>
      <c r="BB224" s="560">
        <f t="shared" si="283"/>
        <v>0</v>
      </c>
      <c r="BC224" s="607" t="e">
        <f>+BB224/AZ224</f>
        <v>#DIV/0!</v>
      </c>
      <c r="BD224" s="606">
        <v>0</v>
      </c>
      <c r="BE224" s="605">
        <f t="shared" si="272"/>
        <v>0</v>
      </c>
      <c r="BF224" s="560">
        <f t="shared" si="277"/>
        <v>0</v>
      </c>
      <c r="BG224" s="604">
        <v>0</v>
      </c>
      <c r="BH224" s="555"/>
    </row>
    <row r="225" spans="1:60" ht="15.75" hidden="1" customHeight="1" x14ac:dyDescent="0.3">
      <c r="A225" s="645" t="str">
        <f>+'[2]Egresos -2015 '!$A$224</f>
        <v>5.02.06.59</v>
      </c>
      <c r="B225" s="634" t="str">
        <f>+'[2]Egresos -2015 '!$B$224</f>
        <v>Bono Colectivo Finca San Juan</v>
      </c>
      <c r="C225" s="635"/>
      <c r="D225" s="20">
        <f t="shared" si="284"/>
        <v>883557297.63</v>
      </c>
      <c r="E225" s="620">
        <f t="shared" si="293"/>
        <v>883557297.63</v>
      </c>
      <c r="F225" s="558">
        <v>0</v>
      </c>
      <c r="G225" s="21"/>
      <c r="H225" s="341"/>
      <c r="I225" s="341"/>
      <c r="J225" s="341"/>
      <c r="K225" s="341"/>
      <c r="L225" s="341"/>
      <c r="M225" s="1"/>
      <c r="N225" s="341"/>
      <c r="O225" s="341"/>
      <c r="P225" s="341"/>
      <c r="Q225" s="341"/>
      <c r="R225" s="1"/>
      <c r="S225" s="1"/>
      <c r="T225" s="1"/>
      <c r="U225" s="1"/>
      <c r="V225" s="1"/>
      <c r="W225" s="1"/>
      <c r="X225" s="617">
        <f t="shared" si="278"/>
        <v>0</v>
      </c>
      <c r="Y225" s="1"/>
      <c r="Z225" s="1"/>
      <c r="AA225" s="1"/>
      <c r="AB225" s="1"/>
      <c r="AC225" s="1"/>
      <c r="AD225" s="1"/>
      <c r="AE225" s="615"/>
      <c r="AF225" s="8">
        <f t="shared" si="279"/>
        <v>0</v>
      </c>
      <c r="AG225" s="2">
        <f t="shared" si="290"/>
        <v>883557297.63</v>
      </c>
      <c r="AH225" s="309"/>
      <c r="AI225" s="13">
        <f>883557297.54+0.09</f>
        <v>883557297.63</v>
      </c>
      <c r="AJ225" s="35"/>
      <c r="AK225" s="35"/>
      <c r="AL225" s="614"/>
      <c r="AM225" s="614">
        <f>+'[2]Egresos -2015 '!$AM$224</f>
        <v>200000</v>
      </c>
      <c r="AN225" s="30">
        <f t="shared" si="291"/>
        <v>0</v>
      </c>
      <c r="AO225" s="35"/>
      <c r="AP225" s="613">
        <f t="shared" si="292"/>
        <v>0</v>
      </c>
      <c r="AQ225" s="305"/>
      <c r="AR225" s="35"/>
      <c r="AS225" s="35"/>
      <c r="AT225" s="35"/>
      <c r="AU225" s="612">
        <f t="shared" si="294"/>
        <v>883557297.63</v>
      </c>
      <c r="AV225" s="611">
        <f t="shared" si="280"/>
        <v>1.7434891183119815E-2</v>
      </c>
      <c r="AW225" s="610">
        <f t="shared" si="281"/>
        <v>0</v>
      </c>
      <c r="AX225" s="609"/>
      <c r="AY225" s="608">
        <f t="shared" si="276"/>
        <v>0</v>
      </c>
      <c r="AZ225" s="606">
        <f t="shared" si="288"/>
        <v>0</v>
      </c>
      <c r="BA225" s="608">
        <f t="shared" si="282"/>
        <v>0</v>
      </c>
      <c r="BB225" s="560">
        <f t="shared" si="283"/>
        <v>0</v>
      </c>
      <c r="BC225" s="607">
        <v>0</v>
      </c>
      <c r="BD225" s="606">
        <v>0</v>
      </c>
      <c r="BE225" s="605">
        <f t="shared" si="272"/>
        <v>0</v>
      </c>
      <c r="BF225" s="560">
        <f t="shared" si="277"/>
        <v>0</v>
      </c>
      <c r="BG225" s="604">
        <v>0</v>
      </c>
      <c r="BH225" s="555"/>
    </row>
    <row r="226" spans="1:60" ht="15.75" customHeight="1" x14ac:dyDescent="0.3">
      <c r="A226" s="645" t="str">
        <f>+'[2]Egresos -2015 '!$A$225</f>
        <v>5.02.06.60</v>
      </c>
      <c r="B226" s="634" t="str">
        <f>+'[2]Egresos -2015 '!$B$225</f>
        <v>Finca Boschini Obras de Estabilización</v>
      </c>
      <c r="C226" s="635"/>
      <c r="D226" s="20">
        <f t="shared" si="284"/>
        <v>778938014.09000003</v>
      </c>
      <c r="E226" s="620">
        <f t="shared" si="293"/>
        <v>778938014.09000003</v>
      </c>
      <c r="F226" s="558">
        <f>390000000/1000</f>
        <v>390000</v>
      </c>
      <c r="G226" s="21"/>
      <c r="H226" s="341"/>
      <c r="I226" s="341"/>
      <c r="J226" s="341"/>
      <c r="K226" s="341"/>
      <c r="L226" s="341"/>
      <c r="M226" s="1"/>
      <c r="N226" s="341"/>
      <c r="O226" s="341"/>
      <c r="P226" s="341"/>
      <c r="Q226" s="341"/>
      <c r="R226" s="1"/>
      <c r="S226" s="1"/>
      <c r="T226" s="1"/>
      <c r="U226" s="1"/>
      <c r="V226" s="1"/>
      <c r="W226" s="1"/>
      <c r="X226" s="617">
        <f t="shared" si="278"/>
        <v>0</v>
      </c>
      <c r="Y226" s="1"/>
      <c r="Z226" s="1"/>
      <c r="AA226" s="1"/>
      <c r="AB226" s="1"/>
      <c r="AC226" s="1"/>
      <c r="AD226" s="1"/>
      <c r="AE226" s="615"/>
      <c r="AF226" s="8">
        <f t="shared" si="279"/>
        <v>0</v>
      </c>
      <c r="AG226" s="2">
        <f t="shared" si="290"/>
        <v>778938014.09000003</v>
      </c>
      <c r="AH226" s="309"/>
      <c r="AI226" s="13">
        <v>778938014.09000003</v>
      </c>
      <c r="AJ226" s="35"/>
      <c r="AK226" s="35"/>
      <c r="AL226" s="614"/>
      <c r="AM226" s="614">
        <f>+'[2]Egresos -2015 '!$AM$225</f>
        <v>390000</v>
      </c>
      <c r="AN226" s="30">
        <f t="shared" si="291"/>
        <v>0</v>
      </c>
      <c r="AO226" s="35"/>
      <c r="AP226" s="613">
        <f t="shared" si="292"/>
        <v>0</v>
      </c>
      <c r="AQ226" s="305"/>
      <c r="AR226" s="35"/>
      <c r="AS226" s="35"/>
      <c r="AT226" s="35"/>
      <c r="AU226" s="612"/>
      <c r="AV226" s="611">
        <f t="shared" si="280"/>
        <v>3.3998037807083645E-2</v>
      </c>
      <c r="AW226" s="610">
        <f t="shared" si="281"/>
        <v>0</v>
      </c>
      <c r="AX226" s="609"/>
      <c r="AY226" s="608">
        <f t="shared" si="276"/>
        <v>5.9939748250605347E-3</v>
      </c>
      <c r="AZ226" s="606">
        <f t="shared" si="288"/>
        <v>0</v>
      </c>
      <c r="BA226" s="608">
        <f t="shared" si="282"/>
        <v>0</v>
      </c>
      <c r="BB226" s="560">
        <f t="shared" si="283"/>
        <v>390000</v>
      </c>
      <c r="BC226" s="607">
        <v>0</v>
      </c>
      <c r="BD226" s="606">
        <v>0</v>
      </c>
      <c r="BE226" s="605">
        <f t="shared" si="272"/>
        <v>0</v>
      </c>
      <c r="BF226" s="560">
        <f t="shared" si="277"/>
        <v>0</v>
      </c>
      <c r="BG226" s="604">
        <v>0</v>
      </c>
      <c r="BH226" s="555"/>
    </row>
    <row r="227" spans="1:60" ht="15.75" hidden="1" customHeight="1" x14ac:dyDescent="0.3">
      <c r="A227" s="645" t="str">
        <f>+'[2]Egresos -2015 '!$A$226</f>
        <v>5.02.06.61</v>
      </c>
      <c r="B227" s="634" t="str">
        <f>+'[2]Egresos -2015 '!$B$226</f>
        <v>Finca Boschini Etapa 1-BANHVI</v>
      </c>
      <c r="C227" s="635"/>
      <c r="D227" s="20">
        <f t="shared" si="284"/>
        <v>1200000000</v>
      </c>
      <c r="E227" s="620">
        <f t="shared" si="293"/>
        <v>1200000000</v>
      </c>
      <c r="F227" s="558">
        <v>0</v>
      </c>
      <c r="G227" s="21">
        <f>SUM(H227:W227)</f>
        <v>0</v>
      </c>
      <c r="H227" s="341"/>
      <c r="I227" s="341"/>
      <c r="J227" s="341"/>
      <c r="K227" s="341"/>
      <c r="L227" s="341"/>
      <c r="M227" s="1"/>
      <c r="N227" s="341"/>
      <c r="O227" s="341"/>
      <c r="P227" s="341"/>
      <c r="Q227" s="341"/>
      <c r="R227" s="1"/>
      <c r="S227" s="1"/>
      <c r="T227" s="1"/>
      <c r="U227" s="1"/>
      <c r="V227" s="1"/>
      <c r="W227" s="1"/>
      <c r="X227" s="617">
        <f t="shared" si="278"/>
        <v>0</v>
      </c>
      <c r="Y227" s="1"/>
      <c r="Z227" s="1"/>
      <c r="AA227" s="1"/>
      <c r="AB227" s="1"/>
      <c r="AC227" s="1"/>
      <c r="AD227" s="1"/>
      <c r="AE227" s="615"/>
      <c r="AF227" s="8">
        <f t="shared" si="279"/>
        <v>0</v>
      </c>
      <c r="AG227" s="2">
        <f t="shared" si="290"/>
        <v>1200000000</v>
      </c>
      <c r="AH227" s="309"/>
      <c r="AI227" s="13">
        <v>1200000000</v>
      </c>
      <c r="AJ227" s="35"/>
      <c r="AK227" s="35"/>
      <c r="AL227" s="614"/>
      <c r="AM227" s="614">
        <f>+'[2]Egresos -2015 '!$AM$226</f>
        <v>1649715.513</v>
      </c>
      <c r="AN227" s="30">
        <f t="shared" si="291"/>
        <v>0</v>
      </c>
      <c r="AO227" s="35"/>
      <c r="AP227" s="613">
        <f t="shared" si="292"/>
        <v>0</v>
      </c>
      <c r="AQ227" s="305"/>
      <c r="AR227" s="35"/>
      <c r="AS227" s="35"/>
      <c r="AT227" s="35"/>
      <c r="AU227" s="612">
        <f>SUM(AN227+AG227+Y227+G227)</f>
        <v>1200000000</v>
      </c>
      <c r="AV227" s="611">
        <f t="shared" si="280"/>
        <v>0.14381305226129842</v>
      </c>
      <c r="AW227" s="610">
        <f t="shared" si="281"/>
        <v>0</v>
      </c>
      <c r="AX227" s="609"/>
      <c r="AY227" s="608">
        <f t="shared" si="276"/>
        <v>0</v>
      </c>
      <c r="AZ227" s="606">
        <f t="shared" si="288"/>
        <v>0</v>
      </c>
      <c r="BA227" s="608">
        <f t="shared" si="282"/>
        <v>0</v>
      </c>
      <c r="BB227" s="560">
        <f t="shared" si="283"/>
        <v>0</v>
      </c>
      <c r="BC227" s="607">
        <v>0</v>
      </c>
      <c r="BD227" s="606">
        <v>0</v>
      </c>
      <c r="BE227" s="605">
        <f t="shared" si="272"/>
        <v>0</v>
      </c>
      <c r="BF227" s="560">
        <f t="shared" si="277"/>
        <v>0</v>
      </c>
      <c r="BG227" s="604">
        <v>0</v>
      </c>
      <c r="BH227" s="555"/>
    </row>
    <row r="228" spans="1:60" ht="15.75" hidden="1" customHeight="1" x14ac:dyDescent="0.3">
      <c r="A228" s="645"/>
      <c r="B228" s="634" t="str">
        <f>+'[2]Egresos -2015 '!$B$227</f>
        <v>El Estero</v>
      </c>
      <c r="C228" s="635"/>
      <c r="D228" s="20"/>
      <c r="E228" s="620"/>
      <c r="F228" s="558">
        <v>0</v>
      </c>
      <c r="G228" s="21"/>
      <c r="H228" s="341"/>
      <c r="I228" s="341"/>
      <c r="J228" s="341"/>
      <c r="K228" s="341"/>
      <c r="L228" s="341"/>
      <c r="M228" s="1"/>
      <c r="N228" s="341"/>
      <c r="O228" s="341"/>
      <c r="P228" s="341"/>
      <c r="Q228" s="341"/>
      <c r="R228" s="1"/>
      <c r="S228" s="1"/>
      <c r="T228" s="1"/>
      <c r="U228" s="1"/>
      <c r="V228" s="1"/>
      <c r="W228" s="1"/>
      <c r="X228" s="617"/>
      <c r="Y228" s="1"/>
      <c r="Z228" s="1"/>
      <c r="AA228" s="1"/>
      <c r="AB228" s="1"/>
      <c r="AC228" s="1"/>
      <c r="AD228" s="1"/>
      <c r="AE228" s="615"/>
      <c r="AF228" s="8"/>
      <c r="AG228" s="2"/>
      <c r="AH228" s="309"/>
      <c r="AI228" s="13"/>
      <c r="AJ228" s="35"/>
      <c r="AK228" s="35"/>
      <c r="AL228" s="614"/>
      <c r="AM228" s="614">
        <f>+'[2]Egresos -2015 '!$AM$227</f>
        <v>1458000</v>
      </c>
      <c r="AN228" s="30"/>
      <c r="AO228" s="35"/>
      <c r="AP228" s="613"/>
      <c r="AQ228" s="305"/>
      <c r="AR228" s="35"/>
      <c r="AS228" s="35"/>
      <c r="AT228" s="35"/>
      <c r="AU228" s="612"/>
      <c r="AV228" s="611"/>
      <c r="AW228" s="610"/>
      <c r="AX228" s="609"/>
      <c r="AY228" s="608">
        <f t="shared" si="276"/>
        <v>0</v>
      </c>
      <c r="AZ228" s="606">
        <f t="shared" si="288"/>
        <v>0</v>
      </c>
      <c r="BA228" s="608">
        <f t="shared" si="282"/>
        <v>0</v>
      </c>
      <c r="BB228" s="560">
        <f t="shared" si="283"/>
        <v>0</v>
      </c>
      <c r="BC228" s="607">
        <v>0</v>
      </c>
      <c r="BD228" s="606">
        <v>0</v>
      </c>
      <c r="BE228" s="605">
        <f t="shared" si="272"/>
        <v>0</v>
      </c>
      <c r="BF228" s="560">
        <f t="shared" si="277"/>
        <v>0</v>
      </c>
      <c r="BG228" s="604">
        <v>0</v>
      </c>
      <c r="BH228" s="555"/>
    </row>
    <row r="229" spans="1:60" ht="15.75" hidden="1" customHeight="1" x14ac:dyDescent="0.3">
      <c r="A229" s="645"/>
      <c r="B229" s="634" t="str">
        <f>+'[2]Egresos -2015 '!$B$228</f>
        <v>Duarco-Cocorí</v>
      </c>
      <c r="C229" s="635"/>
      <c r="D229" s="20"/>
      <c r="E229" s="620"/>
      <c r="F229" s="558">
        <v>0</v>
      </c>
      <c r="G229" s="21"/>
      <c r="H229" s="341"/>
      <c r="I229" s="341"/>
      <c r="J229" s="341"/>
      <c r="K229" s="341"/>
      <c r="L229" s="341"/>
      <c r="M229" s="1"/>
      <c r="N229" s="341"/>
      <c r="O229" s="341"/>
      <c r="P229" s="341"/>
      <c r="Q229" s="341"/>
      <c r="R229" s="1"/>
      <c r="S229" s="1"/>
      <c r="T229" s="1"/>
      <c r="U229" s="1"/>
      <c r="V229" s="1"/>
      <c r="W229" s="1"/>
      <c r="X229" s="617"/>
      <c r="Y229" s="1"/>
      <c r="Z229" s="1"/>
      <c r="AA229" s="1"/>
      <c r="AB229" s="1"/>
      <c r="AC229" s="1"/>
      <c r="AD229" s="1"/>
      <c r="AE229" s="615"/>
      <c r="AF229" s="8"/>
      <c r="AG229" s="2"/>
      <c r="AH229" s="309"/>
      <c r="AI229" s="13"/>
      <c r="AJ229" s="35"/>
      <c r="AK229" s="35"/>
      <c r="AL229" s="614"/>
      <c r="AM229" s="614">
        <f>+'[2]Egresos -2015 '!$AM$228</f>
        <v>1140000</v>
      </c>
      <c r="AN229" s="30"/>
      <c r="AO229" s="35"/>
      <c r="AP229" s="613"/>
      <c r="AQ229" s="305"/>
      <c r="AR229" s="35"/>
      <c r="AS229" s="35"/>
      <c r="AT229" s="35"/>
      <c r="AU229" s="612"/>
      <c r="AV229" s="611"/>
      <c r="AW229" s="610"/>
      <c r="AX229" s="609"/>
      <c r="AY229" s="608">
        <f t="shared" si="276"/>
        <v>0</v>
      </c>
      <c r="AZ229" s="606">
        <f t="shared" si="288"/>
        <v>0</v>
      </c>
      <c r="BA229" s="608">
        <f t="shared" si="282"/>
        <v>0</v>
      </c>
      <c r="BB229" s="560">
        <f t="shared" si="283"/>
        <v>0</v>
      </c>
      <c r="BC229" s="607">
        <v>0</v>
      </c>
      <c r="BD229" s="606">
        <v>0</v>
      </c>
      <c r="BE229" s="605">
        <f t="shared" si="272"/>
        <v>0</v>
      </c>
      <c r="BF229" s="560">
        <f t="shared" si="277"/>
        <v>0</v>
      </c>
      <c r="BG229" s="604">
        <v>0</v>
      </c>
      <c r="BH229" s="555"/>
    </row>
    <row r="230" spans="1:60" ht="15.75" customHeight="1" x14ac:dyDescent="0.3">
      <c r="A230" s="645"/>
      <c r="B230" s="634" t="str">
        <f>+'[2]Egresos -2015 '!$B$229</f>
        <v xml:space="preserve">Premio Nobel </v>
      </c>
      <c r="C230" s="635"/>
      <c r="D230" s="20"/>
      <c r="E230" s="620"/>
      <c r="F230" s="558">
        <f>600500000/1000</f>
        <v>600500</v>
      </c>
      <c r="G230" s="21"/>
      <c r="H230" s="341"/>
      <c r="I230" s="341"/>
      <c r="J230" s="341"/>
      <c r="K230" s="341"/>
      <c r="L230" s="341"/>
      <c r="M230" s="1"/>
      <c r="N230" s="341"/>
      <c r="O230" s="341"/>
      <c r="P230" s="341"/>
      <c r="Q230" s="341"/>
      <c r="R230" s="1"/>
      <c r="S230" s="1"/>
      <c r="T230" s="1"/>
      <c r="U230" s="1"/>
      <c r="V230" s="1"/>
      <c r="W230" s="1"/>
      <c r="X230" s="617"/>
      <c r="Y230" s="1"/>
      <c r="Z230" s="1"/>
      <c r="AA230" s="1"/>
      <c r="AB230" s="1"/>
      <c r="AC230" s="1"/>
      <c r="AD230" s="1"/>
      <c r="AE230" s="615"/>
      <c r="AF230" s="8"/>
      <c r="AG230" s="2"/>
      <c r="AH230" s="309"/>
      <c r="AI230" s="13"/>
      <c r="AJ230" s="35"/>
      <c r="AK230" s="35"/>
      <c r="AL230" s="614"/>
      <c r="AM230" s="614">
        <f>+'[2]Egresos -2015 '!$AM$229</f>
        <v>304000</v>
      </c>
      <c r="AN230" s="30"/>
      <c r="AO230" s="35"/>
      <c r="AP230" s="613"/>
      <c r="AQ230" s="305"/>
      <c r="AR230" s="35"/>
      <c r="AS230" s="35"/>
      <c r="AT230" s="35"/>
      <c r="AU230" s="612"/>
      <c r="AV230" s="611"/>
      <c r="AW230" s="610"/>
      <c r="AX230" s="609"/>
      <c r="AY230" s="608">
        <f t="shared" si="276"/>
        <v>9.2291843139714128E-3</v>
      </c>
      <c r="AZ230" s="606">
        <f t="shared" si="288"/>
        <v>0</v>
      </c>
      <c r="BA230" s="608">
        <f t="shared" si="282"/>
        <v>0</v>
      </c>
      <c r="BB230" s="560">
        <f t="shared" si="283"/>
        <v>600500</v>
      </c>
      <c r="BC230" s="607">
        <v>0</v>
      </c>
      <c r="BD230" s="606">
        <v>0</v>
      </c>
      <c r="BE230" s="605">
        <f t="shared" si="272"/>
        <v>0</v>
      </c>
      <c r="BF230" s="560">
        <f t="shared" si="277"/>
        <v>0</v>
      </c>
      <c r="BG230" s="604">
        <v>0</v>
      </c>
      <c r="BH230" s="555"/>
    </row>
    <row r="231" spans="1:60" ht="15.75" customHeight="1" x14ac:dyDescent="0.3">
      <c r="A231" s="559" t="s">
        <v>306</v>
      </c>
      <c r="B231" s="1967" t="s">
        <v>307</v>
      </c>
      <c r="C231" s="1983"/>
      <c r="D231" s="20">
        <f>+G231+Y231+AG231+AN231</f>
        <v>35624320</v>
      </c>
      <c r="E231" s="620">
        <f>SUM(G231+Y231+AG231+AN231)</f>
        <v>35624320</v>
      </c>
      <c r="F231" s="558">
        <f>10000000/1000</f>
        <v>10000</v>
      </c>
      <c r="G231" s="20">
        <f>SUM(H231:W231)</f>
        <v>35624320</v>
      </c>
      <c r="H231" s="375"/>
      <c r="I231" s="375"/>
      <c r="J231" s="375"/>
      <c r="K231" s="375"/>
      <c r="L231" s="341">
        <v>30000000</v>
      </c>
      <c r="M231" s="1">
        <v>0</v>
      </c>
      <c r="N231" s="375"/>
      <c r="O231" s="375"/>
      <c r="P231" s="341"/>
      <c r="Q231" s="375"/>
      <c r="R231" s="1"/>
      <c r="S231" s="1">
        <v>5624320</v>
      </c>
      <c r="T231" s="1"/>
      <c r="U231" s="1"/>
      <c r="V231" s="1"/>
      <c r="W231" s="1"/>
      <c r="X231" s="617">
        <f>+'[3]Egresos -2015 '!$Z$231</f>
        <v>0</v>
      </c>
      <c r="Y231" s="8">
        <f>SUM(Z231:AD231)</f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642">
        <f>X231/$X$7*100</f>
        <v>0</v>
      </c>
      <c r="AF231" s="8">
        <f>Y231/1000</f>
        <v>0</v>
      </c>
      <c r="AG231" s="2">
        <f>SUM(AH231:AK231)</f>
        <v>0</v>
      </c>
      <c r="AH231" s="309"/>
      <c r="AI231" s="13"/>
      <c r="AJ231" s="35">
        <v>0</v>
      </c>
      <c r="AK231" s="35">
        <v>0</v>
      </c>
      <c r="AL231" s="614"/>
      <c r="AM231" s="614">
        <f>+'[2]Egresos -2015 '!$AM$231</f>
        <v>10000</v>
      </c>
      <c r="AN231" s="30">
        <f>SUM(AO231+AP231)</f>
        <v>0</v>
      </c>
      <c r="AO231" s="35">
        <v>0</v>
      </c>
      <c r="AP231" s="613">
        <f>SUM(AQ231:AT231)</f>
        <v>0</v>
      </c>
      <c r="AQ231" s="305">
        <v>0</v>
      </c>
      <c r="AR231" s="35">
        <v>0</v>
      </c>
      <c r="AS231" s="35">
        <v>0</v>
      </c>
      <c r="AT231" s="35">
        <v>0</v>
      </c>
      <c r="AU231" s="612">
        <f>SUM(AN231+AG231+Y231+G231)</f>
        <v>35624320</v>
      </c>
      <c r="AV231" s="611">
        <f>AM231/$AM$7</f>
        <v>8.7174455915599086E-4</v>
      </c>
      <c r="AW231" s="610">
        <f>AN231/1000</f>
        <v>0</v>
      </c>
      <c r="AX231" s="609"/>
      <c r="AY231" s="608">
        <f t="shared" si="276"/>
        <v>1.5369166218103935E-4</v>
      </c>
      <c r="AZ231" s="606">
        <f t="shared" si="288"/>
        <v>0</v>
      </c>
      <c r="BA231" s="608">
        <f t="shared" si="282"/>
        <v>0</v>
      </c>
      <c r="BB231" s="560">
        <f t="shared" si="283"/>
        <v>10000</v>
      </c>
      <c r="BC231" s="607">
        <v>0</v>
      </c>
      <c r="BD231" s="606">
        <v>0</v>
      </c>
      <c r="BE231" s="605">
        <f t="shared" si="272"/>
        <v>0</v>
      </c>
      <c r="BF231" s="560">
        <f t="shared" si="277"/>
        <v>0</v>
      </c>
      <c r="BG231" s="604">
        <v>0</v>
      </c>
      <c r="BH231" s="555"/>
    </row>
    <row r="232" spans="1:60" ht="15.75" customHeight="1" x14ac:dyDescent="0.3">
      <c r="A232" s="559"/>
      <c r="B232" s="634"/>
      <c r="C232" s="693"/>
      <c r="D232" s="20"/>
      <c r="E232" s="620"/>
      <c r="F232" s="558"/>
      <c r="G232" s="20"/>
      <c r="H232" s="375"/>
      <c r="I232" s="375"/>
      <c r="J232" s="375"/>
      <c r="K232" s="375"/>
      <c r="L232" s="341"/>
      <c r="M232" s="1"/>
      <c r="N232" s="375"/>
      <c r="O232" s="375"/>
      <c r="P232" s="341"/>
      <c r="Q232" s="375"/>
      <c r="R232" s="1"/>
      <c r="S232" s="1"/>
      <c r="T232" s="1"/>
      <c r="U232" s="1"/>
      <c r="V232" s="1"/>
      <c r="W232" s="1"/>
      <c r="X232" s="617"/>
      <c r="Y232" s="1"/>
      <c r="Z232" s="1"/>
      <c r="AA232" s="1"/>
      <c r="AB232" s="1"/>
      <c r="AC232" s="1"/>
      <c r="AD232" s="1"/>
      <c r="AE232" s="615"/>
      <c r="AF232" s="8"/>
      <c r="AG232" s="11"/>
      <c r="AH232" s="309"/>
      <c r="AI232" s="667"/>
      <c r="AJ232" s="13"/>
      <c r="AK232" s="13"/>
      <c r="AL232" s="669"/>
      <c r="AM232" s="614"/>
      <c r="AN232" s="34"/>
      <c r="AO232" s="13"/>
      <c r="AP232" s="115"/>
      <c r="AQ232" s="309"/>
      <c r="AR232" s="13"/>
      <c r="AS232" s="13"/>
      <c r="AT232" s="13"/>
      <c r="AU232" s="612"/>
      <c r="AV232" s="611"/>
      <c r="AW232" s="610"/>
      <c r="AX232" s="609"/>
      <c r="AY232" s="608"/>
      <c r="AZ232" s="606"/>
      <c r="BA232" s="608"/>
      <c r="BB232" s="560"/>
      <c r="BC232" s="607"/>
      <c r="BD232" s="606"/>
      <c r="BE232" s="605"/>
      <c r="BF232" s="560"/>
      <c r="BG232" s="604"/>
      <c r="BH232" s="555"/>
    </row>
    <row r="233" spans="1:60" ht="15" customHeight="1" x14ac:dyDescent="0.3">
      <c r="A233" s="562" t="s">
        <v>308</v>
      </c>
      <c r="B233" s="1973" t="s">
        <v>309</v>
      </c>
      <c r="C233" s="1974"/>
      <c r="D233" s="21">
        <f>SUM(D234:D236)</f>
        <v>2267500000</v>
      </c>
      <c r="E233" s="628">
        <f>SUM(G233+Y233+AG233+AN233)</f>
        <v>2267500000</v>
      </c>
      <c r="F233" s="561">
        <f>F234</f>
        <v>1780000</v>
      </c>
      <c r="G233" s="21">
        <f>SUM(H233:W233)</f>
        <v>0</v>
      </c>
      <c r="H233" s="374">
        <f t="shared" ref="H233:W233" si="295">SUM(H234:H236)</f>
        <v>0</v>
      </c>
      <c r="I233" s="374">
        <f t="shared" si="295"/>
        <v>0</v>
      </c>
      <c r="J233" s="374">
        <f t="shared" si="295"/>
        <v>0</v>
      </c>
      <c r="K233" s="374">
        <f t="shared" si="295"/>
        <v>0</v>
      </c>
      <c r="L233" s="23">
        <f t="shared" si="295"/>
        <v>0</v>
      </c>
      <c r="M233" s="23">
        <f t="shared" si="295"/>
        <v>0</v>
      </c>
      <c r="N233" s="374">
        <f t="shared" si="295"/>
        <v>0</v>
      </c>
      <c r="O233" s="374">
        <f t="shared" si="295"/>
        <v>0</v>
      </c>
      <c r="P233" s="23">
        <f t="shared" si="295"/>
        <v>0</v>
      </c>
      <c r="Q233" s="374">
        <f t="shared" si="295"/>
        <v>0</v>
      </c>
      <c r="R233" s="23">
        <f t="shared" si="295"/>
        <v>0</v>
      </c>
      <c r="S233" s="23">
        <f t="shared" si="295"/>
        <v>0</v>
      </c>
      <c r="T233" s="23">
        <f t="shared" si="295"/>
        <v>0</v>
      </c>
      <c r="U233" s="23">
        <f t="shared" si="295"/>
        <v>0</v>
      </c>
      <c r="V233" s="23">
        <f t="shared" si="295"/>
        <v>0</v>
      </c>
      <c r="W233" s="23">
        <f t="shared" si="295"/>
        <v>0</v>
      </c>
      <c r="X233" s="350">
        <f>G233/1000</f>
        <v>0</v>
      </c>
      <c r="Y233" s="23">
        <f t="shared" ref="Y233:AD233" si="296">SUM(Y234:Y236)</f>
        <v>0</v>
      </c>
      <c r="Z233" s="23">
        <f t="shared" si="296"/>
        <v>0</v>
      </c>
      <c r="AA233" s="23">
        <f t="shared" si="296"/>
        <v>0</v>
      </c>
      <c r="AB233" s="23">
        <f t="shared" si="296"/>
        <v>0</v>
      </c>
      <c r="AC233" s="23">
        <f t="shared" si="296"/>
        <v>0</v>
      </c>
      <c r="AD233" s="23">
        <f t="shared" si="296"/>
        <v>0</v>
      </c>
      <c r="AE233" s="615"/>
      <c r="AF233" s="10">
        <f>Y233/1000</f>
        <v>0</v>
      </c>
      <c r="AG233" s="2">
        <f>SUM(AG234:AG235)</f>
        <v>2267500000</v>
      </c>
      <c r="AH233" s="308">
        <f>SUM(AH234:AH236)</f>
        <v>0</v>
      </c>
      <c r="AI233" s="33">
        <f>SUM(AI234:AI236)</f>
        <v>0</v>
      </c>
      <c r="AJ233" s="33">
        <f>SUM(AJ234:AJ236)</f>
        <v>0</v>
      </c>
      <c r="AK233" s="33">
        <f>SUM(AK234:AK236)</f>
        <v>2267500000</v>
      </c>
      <c r="AL233" s="623"/>
      <c r="AM233" s="623">
        <f>+AM234</f>
        <v>1100000</v>
      </c>
      <c r="AN233" s="34">
        <f t="shared" ref="AN233:AU233" si="297">SUM(AN234:AN236)</f>
        <v>0</v>
      </c>
      <c r="AO233" s="35">
        <f t="shared" si="297"/>
        <v>0</v>
      </c>
      <c r="AP233" s="34">
        <f t="shared" si="297"/>
        <v>0</v>
      </c>
      <c r="AQ233" s="305">
        <f t="shared" si="297"/>
        <v>0</v>
      </c>
      <c r="AR233" s="35">
        <f t="shared" si="297"/>
        <v>0</v>
      </c>
      <c r="AS233" s="35">
        <f t="shared" si="297"/>
        <v>0</v>
      </c>
      <c r="AT233" s="35">
        <f t="shared" si="297"/>
        <v>0</v>
      </c>
      <c r="AU233" s="622">
        <f t="shared" si="297"/>
        <v>2267500000</v>
      </c>
      <c r="AV233" s="611">
        <f>AM233/$AM$7</f>
        <v>9.5891901507158983E-2</v>
      </c>
      <c r="AW233" s="610">
        <f>AN233/1000</f>
        <v>0</v>
      </c>
      <c r="AX233" s="609"/>
      <c r="AY233" s="608">
        <f>+F233/$F$7</f>
        <v>2.7357115868225004E-2</v>
      </c>
      <c r="AZ233" s="561">
        <f>AZ234</f>
        <v>0</v>
      </c>
      <c r="BA233" s="608">
        <f>+AZ233/$AZ$7</f>
        <v>0</v>
      </c>
      <c r="BB233" s="560">
        <f>+F233-AZ233</f>
        <v>1780000</v>
      </c>
      <c r="BC233" s="607">
        <v>0</v>
      </c>
      <c r="BD233" s="561">
        <f>BD234</f>
        <v>0</v>
      </c>
      <c r="BE233" s="605">
        <f>+BD233/$BD$7</f>
        <v>0</v>
      </c>
      <c r="BF233" s="560">
        <f>AZ233-BD233</f>
        <v>0</v>
      </c>
      <c r="BG233" s="604">
        <v>0</v>
      </c>
      <c r="BH233" s="555"/>
    </row>
    <row r="234" spans="1:60" ht="15.75" customHeight="1" x14ac:dyDescent="0.3">
      <c r="A234" s="559" t="s">
        <v>310</v>
      </c>
      <c r="B234" s="1967" t="s">
        <v>311</v>
      </c>
      <c r="C234" s="1968"/>
      <c r="D234" s="20">
        <f>+G234+Y234+AG234+AN234</f>
        <v>2267500000</v>
      </c>
      <c r="E234" s="620">
        <f>SUM(G234+Y234+AG234+AN234)</f>
        <v>2267500000</v>
      </c>
      <c r="F234" s="558">
        <f>1780000000/1000</f>
        <v>1780000</v>
      </c>
      <c r="G234" s="20">
        <f>SUM(H234:W234)</f>
        <v>0</v>
      </c>
      <c r="H234" s="375"/>
      <c r="I234" s="375"/>
      <c r="J234" s="375"/>
      <c r="K234" s="375"/>
      <c r="L234" s="341"/>
      <c r="M234" s="1"/>
      <c r="N234" s="375"/>
      <c r="O234" s="375"/>
      <c r="P234" s="341"/>
      <c r="Q234" s="375"/>
      <c r="R234" s="1"/>
      <c r="S234" s="1"/>
      <c r="T234" s="1"/>
      <c r="U234" s="1"/>
      <c r="V234" s="1"/>
      <c r="W234" s="1"/>
      <c r="X234" s="617">
        <f>G234/1000</f>
        <v>0</v>
      </c>
      <c r="Y234" s="8">
        <f>SUM(Z234:AD234)</f>
        <v>0</v>
      </c>
      <c r="Z234" s="1"/>
      <c r="AA234" s="1"/>
      <c r="AB234" s="1"/>
      <c r="AC234" s="1"/>
      <c r="AD234" s="1"/>
      <c r="AE234" s="615"/>
      <c r="AF234" s="8">
        <f>Y234/1000</f>
        <v>0</v>
      </c>
      <c r="AG234" s="2">
        <f>SUM(AH234:AK234)</f>
        <v>2267500000</v>
      </c>
      <c r="AH234" s="309"/>
      <c r="AI234" s="13"/>
      <c r="AJ234" s="35">
        <v>0</v>
      </c>
      <c r="AK234" s="35">
        <v>2267500000</v>
      </c>
      <c r="AL234" s="614"/>
      <c r="AM234" s="614">
        <f>+'[2]Egresos -2015 '!$AM$234</f>
        <v>1100000</v>
      </c>
      <c r="AN234" s="30">
        <f>SUM(AO234+AP234)</f>
        <v>0</v>
      </c>
      <c r="AO234" s="35">
        <v>0</v>
      </c>
      <c r="AP234" s="613">
        <f>SUM(AQ234:AT234)</f>
        <v>0</v>
      </c>
      <c r="AQ234" s="305">
        <v>0</v>
      </c>
      <c r="AR234" s="35">
        <v>0</v>
      </c>
      <c r="AS234" s="35">
        <v>0</v>
      </c>
      <c r="AT234" s="35">
        <v>0</v>
      </c>
      <c r="AU234" s="612">
        <f>SUM(AN234+AG234+Y234+G234)</f>
        <v>2267500000</v>
      </c>
      <c r="AV234" s="611">
        <f>AM234/$AM$7</f>
        <v>9.5891901507158983E-2</v>
      </c>
      <c r="AW234" s="610">
        <f>AN234/1000</f>
        <v>0</v>
      </c>
      <c r="AX234" s="609"/>
      <c r="AY234" s="608">
        <f>+F234/$F$7</f>
        <v>2.7357115868225004E-2</v>
      </c>
      <c r="AZ234" s="606">
        <f>+((0/7))*12/1000</f>
        <v>0</v>
      </c>
      <c r="BA234" s="608">
        <f>+AZ234/$AZ$7</f>
        <v>0</v>
      </c>
      <c r="BB234" s="560">
        <f>+F234-AZ234</f>
        <v>1780000</v>
      </c>
      <c r="BC234" s="607">
        <v>0</v>
      </c>
      <c r="BD234" s="606">
        <v>0</v>
      </c>
      <c r="BE234" s="605">
        <f>+BD234/$BD$7</f>
        <v>0</v>
      </c>
      <c r="BF234" s="560">
        <f>AZ234-BD234</f>
        <v>0</v>
      </c>
      <c r="BG234" s="604">
        <v>0</v>
      </c>
      <c r="BH234" s="555"/>
    </row>
    <row r="235" spans="1:60" ht="15.75" hidden="1" customHeight="1" x14ac:dyDescent="0.3">
      <c r="A235" s="645" t="s">
        <v>312</v>
      </c>
      <c r="B235" s="1967" t="s">
        <v>313</v>
      </c>
      <c r="C235" s="1968"/>
      <c r="D235" s="20">
        <f>+G235+Y235+AG235+AN235</f>
        <v>0</v>
      </c>
      <c r="E235" s="620">
        <f>SUM(G235+Y235+AG235+AN235)</f>
        <v>0</v>
      </c>
      <c r="F235" s="558">
        <f>+X235+AF235+AM235+AW235</f>
        <v>0</v>
      </c>
      <c r="G235" s="20">
        <f>SUM(H235:W235)</f>
        <v>0</v>
      </c>
      <c r="H235" s="341"/>
      <c r="I235" s="341"/>
      <c r="J235" s="341"/>
      <c r="K235" s="341"/>
      <c r="L235" s="341"/>
      <c r="M235" s="1"/>
      <c r="N235" s="341"/>
      <c r="O235" s="341"/>
      <c r="P235" s="341"/>
      <c r="Q235" s="341"/>
      <c r="R235" s="1"/>
      <c r="S235" s="1"/>
      <c r="T235" s="1"/>
      <c r="U235" s="1"/>
      <c r="V235" s="1"/>
      <c r="W235" s="1"/>
      <c r="X235" s="617">
        <f>G235/1000</f>
        <v>0</v>
      </c>
      <c r="Y235" s="8">
        <f>SUM(Z235:AD235)</f>
        <v>0</v>
      </c>
      <c r="Z235" s="1"/>
      <c r="AA235" s="1"/>
      <c r="AB235" s="1"/>
      <c r="AC235" s="1"/>
      <c r="AD235" s="1"/>
      <c r="AE235" s="615">
        <f>X235/$X$7*100</f>
        <v>0</v>
      </c>
      <c r="AF235" s="8">
        <f>Y235/1000</f>
        <v>0</v>
      </c>
      <c r="AG235" s="2">
        <f>SUM(AH235:AK235)</f>
        <v>0</v>
      </c>
      <c r="AH235" s="309"/>
      <c r="AI235" s="13">
        <v>0</v>
      </c>
      <c r="AJ235" s="35">
        <v>0</v>
      </c>
      <c r="AK235" s="35">
        <v>0</v>
      </c>
      <c r="AL235" s="614"/>
      <c r="AM235" s="614">
        <f>AG235/1000</f>
        <v>0</v>
      </c>
      <c r="AN235" s="30">
        <f>SUM(AO235+AP235)</f>
        <v>0</v>
      </c>
      <c r="AO235" s="35">
        <v>0</v>
      </c>
      <c r="AP235" s="613">
        <f>SUM(AQ235:AT235)</f>
        <v>0</v>
      </c>
      <c r="AQ235" s="305">
        <v>0</v>
      </c>
      <c r="AR235" s="35">
        <v>0</v>
      </c>
      <c r="AS235" s="35">
        <v>0</v>
      </c>
      <c r="AT235" s="35">
        <v>0</v>
      </c>
      <c r="AU235" s="612">
        <f>SUM(AN235+AG235+Y235+G235)</f>
        <v>0</v>
      </c>
      <c r="AV235" s="611">
        <f>AM235/$AM$7</f>
        <v>0</v>
      </c>
      <c r="AW235" s="610">
        <f>AN235/1000</f>
        <v>0</v>
      </c>
      <c r="AX235" s="609">
        <f>AW235/$AW$7</f>
        <v>0</v>
      </c>
      <c r="AY235" s="608">
        <f>+F235/$F$7</f>
        <v>0</v>
      </c>
      <c r="AZ235" s="606">
        <f>+((0/7))*12/1000</f>
        <v>0</v>
      </c>
      <c r="BA235" s="608">
        <f>+AZ235/$AZ$7</f>
        <v>0</v>
      </c>
      <c r="BB235" s="560">
        <f>+F235-AZ235</f>
        <v>0</v>
      </c>
      <c r="BC235" s="607" t="e">
        <f>+BB235/AZ235</f>
        <v>#DIV/0!</v>
      </c>
      <c r="BD235" s="606"/>
      <c r="BE235" s="605">
        <f>+BD235/$BD$7</f>
        <v>0</v>
      </c>
      <c r="BF235" s="560">
        <f>AZ235-BD235</f>
        <v>0</v>
      </c>
      <c r="BG235" s="604" t="e">
        <f>+BF235/BD235</f>
        <v>#DIV/0!</v>
      </c>
      <c r="BH235" s="555"/>
    </row>
    <row r="236" spans="1:60" ht="15.75" hidden="1" customHeight="1" x14ac:dyDescent="0.3">
      <c r="A236" s="645" t="s">
        <v>314</v>
      </c>
      <c r="B236" s="1967" t="s">
        <v>315</v>
      </c>
      <c r="C236" s="1968"/>
      <c r="D236" s="20">
        <f>+G236+Y236+AG236+AN236</f>
        <v>0</v>
      </c>
      <c r="E236" s="620">
        <f>SUM(G236+Y236+AG236+AN236)</f>
        <v>0</v>
      </c>
      <c r="F236" s="558">
        <f>+X236+AF236+AM236+AW236</f>
        <v>0</v>
      </c>
      <c r="G236" s="20">
        <f>SUM(H236:W236)</f>
        <v>0</v>
      </c>
      <c r="H236" s="341"/>
      <c r="I236" s="341"/>
      <c r="J236" s="341"/>
      <c r="K236" s="341"/>
      <c r="L236" s="341"/>
      <c r="M236" s="1"/>
      <c r="N236" s="341"/>
      <c r="O236" s="341"/>
      <c r="P236" s="341"/>
      <c r="Q236" s="341"/>
      <c r="R236" s="1"/>
      <c r="S236" s="1"/>
      <c r="T236" s="1"/>
      <c r="U236" s="1"/>
      <c r="V236" s="1"/>
      <c r="W236" s="1"/>
      <c r="X236" s="617">
        <f>G236/1000</f>
        <v>0</v>
      </c>
      <c r="Y236" s="1"/>
      <c r="Z236" s="1"/>
      <c r="AA236" s="1"/>
      <c r="AB236" s="1"/>
      <c r="AC236" s="1"/>
      <c r="AD236" s="1"/>
      <c r="AE236" s="615">
        <f>X236/$X$7*100</f>
        <v>0</v>
      </c>
      <c r="AF236" s="8">
        <f>Y236/1000</f>
        <v>0</v>
      </c>
      <c r="AG236" s="11">
        <f>SUM(AH236:AJ236)</f>
        <v>0</v>
      </c>
      <c r="AH236" s="309"/>
      <c r="AI236" s="13">
        <v>0</v>
      </c>
      <c r="AJ236" s="35">
        <v>0</v>
      </c>
      <c r="AK236" s="35">
        <v>0</v>
      </c>
      <c r="AL236" s="614"/>
      <c r="AM236" s="614">
        <f>AG236/1000</f>
        <v>0</v>
      </c>
      <c r="AN236" s="34">
        <v>0</v>
      </c>
      <c r="AO236" s="35">
        <v>0</v>
      </c>
      <c r="AP236" s="34">
        <v>0</v>
      </c>
      <c r="AQ236" s="305">
        <v>0</v>
      </c>
      <c r="AR236" s="35">
        <v>0</v>
      </c>
      <c r="AS236" s="35">
        <v>0</v>
      </c>
      <c r="AT236" s="35">
        <v>0</v>
      </c>
      <c r="AU236" s="612">
        <v>0</v>
      </c>
      <c r="AV236" s="611">
        <f>AM236/$AM$7</f>
        <v>0</v>
      </c>
      <c r="AW236" s="610">
        <f>AN236/1000</f>
        <v>0</v>
      </c>
      <c r="AX236" s="609">
        <f>AW236/$AW$7</f>
        <v>0</v>
      </c>
      <c r="AY236" s="608">
        <f>+F236/$F$7</f>
        <v>0</v>
      </c>
      <c r="AZ236" s="606">
        <f>+((0/7))*12/1000</f>
        <v>0</v>
      </c>
      <c r="BA236" s="608">
        <f>+AZ236/$AZ$7</f>
        <v>0</v>
      </c>
      <c r="BB236" s="560">
        <f>+F236-AZ236</f>
        <v>0</v>
      </c>
      <c r="BC236" s="607" t="e">
        <f>+BB236/AZ236</f>
        <v>#DIV/0!</v>
      </c>
      <c r="BD236" s="606"/>
      <c r="BE236" s="605">
        <f>+BD236/$BD$7</f>
        <v>0</v>
      </c>
      <c r="BF236" s="560">
        <f>AZ236-BD236</f>
        <v>0</v>
      </c>
      <c r="BG236" s="604" t="e">
        <f>+BF236/BD236</f>
        <v>#DIV/0!</v>
      </c>
      <c r="BH236" s="555"/>
    </row>
    <row r="237" spans="1:60" ht="15.75" customHeight="1" x14ac:dyDescent="0.3">
      <c r="A237" s="645"/>
      <c r="B237" s="634"/>
      <c r="C237" s="635"/>
      <c r="D237" s="20"/>
      <c r="E237" s="620"/>
      <c r="F237" s="558"/>
      <c r="G237" s="20"/>
      <c r="H237" s="341"/>
      <c r="I237" s="341"/>
      <c r="J237" s="341"/>
      <c r="K237" s="341"/>
      <c r="L237" s="341"/>
      <c r="M237" s="1"/>
      <c r="N237" s="341"/>
      <c r="O237" s="341"/>
      <c r="P237" s="341"/>
      <c r="Q237" s="341"/>
      <c r="R237" s="1"/>
      <c r="S237" s="1"/>
      <c r="T237" s="1"/>
      <c r="U237" s="1"/>
      <c r="V237" s="1"/>
      <c r="W237" s="1"/>
      <c r="X237" s="617"/>
      <c r="Y237" s="1"/>
      <c r="Z237" s="1"/>
      <c r="AA237" s="1"/>
      <c r="AB237" s="1"/>
      <c r="AC237" s="1"/>
      <c r="AD237" s="1"/>
      <c r="AE237" s="615"/>
      <c r="AF237" s="8"/>
      <c r="AG237" s="11"/>
      <c r="AH237" s="309"/>
      <c r="AI237" s="13"/>
      <c r="AJ237" s="35"/>
      <c r="AK237" s="35"/>
      <c r="AL237" s="614"/>
      <c r="AM237" s="614"/>
      <c r="AN237" s="34"/>
      <c r="AO237" s="35"/>
      <c r="AP237" s="34"/>
      <c r="AQ237" s="305"/>
      <c r="AR237" s="35"/>
      <c r="AS237" s="35"/>
      <c r="AT237" s="35"/>
      <c r="AU237" s="612"/>
      <c r="AV237" s="611"/>
      <c r="AW237" s="610"/>
      <c r="AX237" s="609"/>
      <c r="AY237" s="608"/>
      <c r="AZ237" s="606"/>
      <c r="BA237" s="608"/>
      <c r="BB237" s="560"/>
      <c r="BC237" s="607"/>
      <c r="BD237" s="606"/>
      <c r="BE237" s="605"/>
      <c r="BF237" s="560"/>
      <c r="BG237" s="604"/>
      <c r="BH237" s="555"/>
    </row>
    <row r="238" spans="1:60" ht="15.75" hidden="1" customHeight="1" x14ac:dyDescent="0.3">
      <c r="A238" s="645"/>
      <c r="B238" s="634"/>
      <c r="C238" s="635"/>
      <c r="D238" s="20"/>
      <c r="E238" s="620"/>
      <c r="F238" s="558"/>
      <c r="G238" s="20"/>
      <c r="H238" s="341"/>
      <c r="I238" s="341"/>
      <c r="J238" s="341"/>
      <c r="K238" s="341"/>
      <c r="L238" s="341"/>
      <c r="M238" s="1"/>
      <c r="N238" s="341"/>
      <c r="O238" s="341"/>
      <c r="P238" s="341"/>
      <c r="Q238" s="341"/>
      <c r="R238" s="1"/>
      <c r="S238" s="1"/>
      <c r="T238" s="1"/>
      <c r="U238" s="1"/>
      <c r="V238" s="1"/>
      <c r="W238" s="1"/>
      <c r="X238" s="617"/>
      <c r="Y238" s="1"/>
      <c r="Z238" s="1"/>
      <c r="AA238" s="1"/>
      <c r="AB238" s="1"/>
      <c r="AC238" s="1"/>
      <c r="AD238" s="1"/>
      <c r="AE238" s="615"/>
      <c r="AF238" s="8"/>
      <c r="AG238" s="11"/>
      <c r="AH238" s="309"/>
      <c r="AI238" s="13"/>
      <c r="AJ238" s="35"/>
      <c r="AK238" s="35"/>
      <c r="AL238" s="614"/>
      <c r="AM238" s="614"/>
      <c r="AN238" s="34"/>
      <c r="AO238" s="35"/>
      <c r="AP238" s="34"/>
      <c r="AQ238" s="305"/>
      <c r="AR238" s="35"/>
      <c r="AS238" s="35"/>
      <c r="AT238" s="35"/>
      <c r="AU238" s="612"/>
      <c r="AV238" s="611"/>
      <c r="AW238" s="610"/>
      <c r="AX238" s="609"/>
      <c r="AY238" s="608"/>
      <c r="AZ238" s="606"/>
      <c r="BA238" s="608"/>
      <c r="BB238" s="560"/>
      <c r="BC238" s="607"/>
      <c r="BD238" s="606"/>
      <c r="BE238" s="605"/>
      <c r="BF238" s="560"/>
      <c r="BG238" s="604"/>
      <c r="BH238" s="555"/>
    </row>
    <row r="239" spans="1:60" ht="15.75" customHeight="1" x14ac:dyDescent="0.3">
      <c r="A239" s="676" t="s">
        <v>316</v>
      </c>
      <c r="B239" s="1973" t="s">
        <v>317</v>
      </c>
      <c r="C239" s="1974"/>
      <c r="D239" s="21">
        <f>SUM(D240:D241)</f>
        <v>497438250.24000001</v>
      </c>
      <c r="E239" s="628">
        <f>SUM(G239+Y239+AG239+AN239)</f>
        <v>497438250.24000001</v>
      </c>
      <c r="F239" s="561">
        <f>F241</f>
        <v>348800</v>
      </c>
      <c r="G239" s="21">
        <f>SUM(H239:W239)</f>
        <v>465038250.24000001</v>
      </c>
      <c r="H239" s="23">
        <f t="shared" ref="H239:W239" si="298">SUM(H240:H241)</f>
        <v>0</v>
      </c>
      <c r="I239" s="23">
        <f t="shared" si="298"/>
        <v>1200000</v>
      </c>
      <c r="J239" s="23">
        <f t="shared" si="298"/>
        <v>1040000</v>
      </c>
      <c r="K239" s="23">
        <f t="shared" si="298"/>
        <v>4000000</v>
      </c>
      <c r="L239" s="23">
        <f t="shared" si="298"/>
        <v>0</v>
      </c>
      <c r="M239" s="23">
        <f t="shared" si="298"/>
        <v>97198250.239999995</v>
      </c>
      <c r="N239" s="23">
        <f t="shared" si="298"/>
        <v>2000000</v>
      </c>
      <c r="O239" s="23">
        <f t="shared" si="298"/>
        <v>1000000</v>
      </c>
      <c r="P239" s="23">
        <f t="shared" si="298"/>
        <v>5000000</v>
      </c>
      <c r="Q239" s="23">
        <f t="shared" si="298"/>
        <v>0</v>
      </c>
      <c r="R239" s="23">
        <f t="shared" si="298"/>
        <v>2000000</v>
      </c>
      <c r="S239" s="23">
        <f t="shared" si="298"/>
        <v>20000000</v>
      </c>
      <c r="T239" s="23">
        <f t="shared" si="298"/>
        <v>5000000</v>
      </c>
      <c r="U239" s="23">
        <f t="shared" si="298"/>
        <v>5200000</v>
      </c>
      <c r="V239" s="23">
        <f t="shared" si="298"/>
        <v>321000000</v>
      </c>
      <c r="W239" s="23">
        <f t="shared" si="298"/>
        <v>400000</v>
      </c>
      <c r="X239" s="350">
        <f>+X241</f>
        <v>142300</v>
      </c>
      <c r="Y239" s="23">
        <f t="shared" ref="Y239:AD239" si="299">SUM(Y240:Y241)</f>
        <v>9900000</v>
      </c>
      <c r="Z239" s="23">
        <f t="shared" si="299"/>
        <v>3500000</v>
      </c>
      <c r="AA239" s="23">
        <f t="shared" si="299"/>
        <v>1500000</v>
      </c>
      <c r="AB239" s="23">
        <f t="shared" si="299"/>
        <v>1000000</v>
      </c>
      <c r="AC239" s="23">
        <f t="shared" si="299"/>
        <v>900000</v>
      </c>
      <c r="AD239" s="23">
        <f t="shared" si="299"/>
        <v>3000000</v>
      </c>
      <c r="AE239" s="615">
        <f>X239/$X$7*100</f>
        <v>2.7912094385112396</v>
      </c>
      <c r="AF239" s="10">
        <f>+AF241</f>
        <v>3500</v>
      </c>
      <c r="AG239" s="2">
        <f>SUM(AG241)</f>
        <v>12500000</v>
      </c>
      <c r="AH239" s="308">
        <f>SUM(AH240:AH241)</f>
        <v>3500000</v>
      </c>
      <c r="AI239" s="33">
        <f>SUM(AI240:AI241)</f>
        <v>5000000</v>
      </c>
      <c r="AJ239" s="33">
        <f>SUM(AJ240:AJ241)</f>
        <v>0</v>
      </c>
      <c r="AK239" s="33">
        <f>SUM(AK240:AK241)</f>
        <v>4000000</v>
      </c>
      <c r="AL239" s="623">
        <f>(AF239/AF7)*100</f>
        <v>0.24174351746040074</v>
      </c>
      <c r="AM239" s="623">
        <f>+AM241</f>
        <v>0</v>
      </c>
      <c r="AN239" s="34">
        <f t="shared" ref="AN239:AU239" si="300">SUM(AN240:AN241)</f>
        <v>10000000</v>
      </c>
      <c r="AO239" s="35">
        <f t="shared" si="300"/>
        <v>3000000</v>
      </c>
      <c r="AP239" s="34">
        <f t="shared" si="300"/>
        <v>7000000</v>
      </c>
      <c r="AQ239" s="305">
        <f t="shared" si="300"/>
        <v>1050000</v>
      </c>
      <c r="AR239" s="35">
        <f t="shared" si="300"/>
        <v>1050000</v>
      </c>
      <c r="AS239" s="35">
        <f t="shared" si="300"/>
        <v>2450000</v>
      </c>
      <c r="AT239" s="35">
        <f t="shared" si="300"/>
        <v>2450000</v>
      </c>
      <c r="AU239" s="622">
        <f t="shared" si="300"/>
        <v>497438250.24000001</v>
      </c>
      <c r="AV239" s="611">
        <f>AM239/$AM$7</f>
        <v>0</v>
      </c>
      <c r="AW239" s="621">
        <f>+AW241</f>
        <v>3000</v>
      </c>
      <c r="AX239" s="609">
        <f>AW239/$AW$7</f>
        <v>5.8011382480572365E-5</v>
      </c>
      <c r="AY239" s="608">
        <f>+F239/$F$7</f>
        <v>5.3607651768746521E-3</v>
      </c>
      <c r="AZ239" s="561">
        <f>AZ241</f>
        <v>33613.258000000002</v>
      </c>
      <c r="BA239" s="608">
        <f>+AZ239/$AZ$7</f>
        <v>9.2031868039178658E-4</v>
      </c>
      <c r="BB239" s="560">
        <f>+F239-AZ239</f>
        <v>315186.74199999997</v>
      </c>
      <c r="BC239" s="607">
        <f>+BB239/AZ239</f>
        <v>9.3768578457940599</v>
      </c>
      <c r="BD239" s="561">
        <f>BD241</f>
        <v>101043.51</v>
      </c>
      <c r="BE239" s="605">
        <f>+BD239/$BD$7</f>
        <v>2.3273015079619242E-3</v>
      </c>
      <c r="BF239" s="560">
        <f>AZ239-BD239</f>
        <v>-67430.251999999993</v>
      </c>
      <c r="BG239" s="604">
        <f>+BF239/BD239</f>
        <v>-0.66733877316811341</v>
      </c>
      <c r="BH239" s="555"/>
    </row>
    <row r="240" spans="1:60" ht="15.75" hidden="1" customHeight="1" x14ac:dyDescent="0.3">
      <c r="A240" s="645" t="s">
        <v>466</v>
      </c>
      <c r="B240" s="1967" t="s">
        <v>318</v>
      </c>
      <c r="C240" s="1968"/>
      <c r="D240" s="20">
        <f>+G240+Y240+AG240+AN240</f>
        <v>0</v>
      </c>
      <c r="E240" s="620"/>
      <c r="F240" s="558">
        <f>+X240+AF240+AM240+AW240</f>
        <v>0</v>
      </c>
      <c r="G240" s="20">
        <f>SUM(H240:W240)</f>
        <v>0</v>
      </c>
      <c r="H240" s="341"/>
      <c r="I240" s="341"/>
      <c r="J240" s="341"/>
      <c r="K240" s="341"/>
      <c r="L240" s="341"/>
      <c r="M240" s="1"/>
      <c r="N240" s="341"/>
      <c r="O240" s="341"/>
      <c r="P240" s="341"/>
      <c r="Q240" s="341"/>
      <c r="R240" s="1"/>
      <c r="S240" s="1"/>
      <c r="T240" s="1"/>
      <c r="U240" s="1"/>
      <c r="V240" s="1"/>
      <c r="W240" s="1"/>
      <c r="X240" s="617">
        <f>G240/1000</f>
        <v>0</v>
      </c>
      <c r="Y240" s="1"/>
      <c r="Z240" s="1"/>
      <c r="AA240" s="1"/>
      <c r="AB240" s="1"/>
      <c r="AC240" s="1"/>
      <c r="AD240" s="1"/>
      <c r="AE240" s="615">
        <f>X240/$X$7*100</f>
        <v>0</v>
      </c>
      <c r="AF240" s="8">
        <f>Y240/1000</f>
        <v>0</v>
      </c>
      <c r="AG240" s="2">
        <f>SUM(AH240:AJ240)</f>
        <v>0</v>
      </c>
      <c r="AH240" s="309">
        <v>0</v>
      </c>
      <c r="AI240" s="13">
        <v>0</v>
      </c>
      <c r="AJ240" s="35">
        <v>0</v>
      </c>
      <c r="AK240" s="35">
        <v>0</v>
      </c>
      <c r="AL240" s="614"/>
      <c r="AM240" s="614">
        <f>AG240/1000</f>
        <v>0</v>
      </c>
      <c r="AN240" s="34">
        <v>0</v>
      </c>
      <c r="AO240" s="35">
        <v>0</v>
      </c>
      <c r="AP240" s="34">
        <v>0</v>
      </c>
      <c r="AQ240" s="305">
        <v>0</v>
      </c>
      <c r="AR240" s="35">
        <v>0</v>
      </c>
      <c r="AS240" s="35">
        <v>0</v>
      </c>
      <c r="AT240" s="35">
        <v>0</v>
      </c>
      <c r="AU240" s="612">
        <f>SUM(AN240+AG240+Y240+G240)</f>
        <v>0</v>
      </c>
      <c r="AV240" s="611">
        <f>AM240/$AM$7</f>
        <v>0</v>
      </c>
      <c r="AW240" s="610">
        <f>AN240/1000</f>
        <v>0</v>
      </c>
      <c r="AX240" s="609">
        <f>AW240/$AW$7</f>
        <v>0</v>
      </c>
      <c r="AY240" s="608">
        <f>+F240/$F$7</f>
        <v>0</v>
      </c>
      <c r="AZ240" s="606">
        <f>+((0/7))*12/1000</f>
        <v>0</v>
      </c>
      <c r="BA240" s="608">
        <f>+AZ240/$AZ$7</f>
        <v>0</v>
      </c>
      <c r="BB240" s="560">
        <f>+F240-AZ240</f>
        <v>0</v>
      </c>
      <c r="BC240" s="607" t="e">
        <f>+BB240/AZ240</f>
        <v>#DIV/0!</v>
      </c>
      <c r="BD240" s="606"/>
      <c r="BE240" s="605">
        <f>+BD240/$BD$7</f>
        <v>0</v>
      </c>
      <c r="BF240" s="560">
        <f>AZ240-BD240</f>
        <v>0</v>
      </c>
      <c r="BG240" s="604" t="e">
        <f>+BF240/BD240</f>
        <v>#DIV/0!</v>
      </c>
      <c r="BH240" s="555"/>
    </row>
    <row r="241" spans="1:60" ht="15.75" customHeight="1" x14ac:dyDescent="0.3">
      <c r="A241" s="645" t="s">
        <v>467</v>
      </c>
      <c r="B241" s="641" t="s">
        <v>465</v>
      </c>
      <c r="D241" s="20">
        <f>+G241+Y241+AG241+AN241</f>
        <v>497438250.24000001</v>
      </c>
      <c r="E241" s="620">
        <f>SUM(G241+Y241+AG241+AN241)</f>
        <v>497438250.24000001</v>
      </c>
      <c r="F241" s="558">
        <f>348800000/1000</f>
        <v>348800</v>
      </c>
      <c r="G241" s="20">
        <f>SUM(H241:W241)</f>
        <v>465038250.24000001</v>
      </c>
      <c r="H241" s="341"/>
      <c r="I241" s="341">
        <v>1200000</v>
      </c>
      <c r="J241" s="341">
        <v>1040000</v>
      </c>
      <c r="K241" s="341">
        <v>4000000</v>
      </c>
      <c r="L241" s="341"/>
      <c r="M241" s="1">
        <v>97198250.239999995</v>
      </c>
      <c r="N241" s="375">
        <f>2000000</f>
        <v>2000000</v>
      </c>
      <c r="O241" s="341">
        <v>1000000</v>
      </c>
      <c r="P241" s="341">
        <v>5000000</v>
      </c>
      <c r="Q241" s="341"/>
      <c r="R241" s="1">
        <v>2000000</v>
      </c>
      <c r="S241" s="1">
        <v>20000000</v>
      </c>
      <c r="T241" s="1">
        <v>5000000</v>
      </c>
      <c r="U241" s="1">
        <v>5200000</v>
      </c>
      <c r="V241" s="1">
        <f>21000000+300000000</f>
        <v>321000000</v>
      </c>
      <c r="W241" s="1">
        <v>400000</v>
      </c>
      <c r="X241" s="617">
        <f>+'[3]Egresos -2015 '!$Z$241</f>
        <v>142300</v>
      </c>
      <c r="Y241" s="8">
        <f>SUM(Z241:AD241)</f>
        <v>9900000</v>
      </c>
      <c r="Z241" s="1">
        <v>3500000</v>
      </c>
      <c r="AA241" s="1">
        <v>1500000</v>
      </c>
      <c r="AB241" s="1">
        <v>1000000</v>
      </c>
      <c r="AC241" s="1">
        <v>900000</v>
      </c>
      <c r="AD241" s="1">
        <v>3000000</v>
      </c>
      <c r="AE241" s="642">
        <f>X241/$X$7*100</f>
        <v>2.7912094385112396</v>
      </c>
      <c r="AF241" s="8">
        <f>+'[2]Egresos -2015 '!$AG$241</f>
        <v>3500</v>
      </c>
      <c r="AG241" s="2">
        <f>SUM(AH241:AK241)</f>
        <v>12500000</v>
      </c>
      <c r="AH241" s="309">
        <v>3500000</v>
      </c>
      <c r="AI241" s="13">
        <v>5000000</v>
      </c>
      <c r="AJ241" s="35"/>
      <c r="AK241" s="35">
        <v>4000000</v>
      </c>
      <c r="AL241" s="614">
        <f>(AF241/AF7)*100</f>
        <v>0.24174351746040074</v>
      </c>
      <c r="AM241" s="614">
        <v>0</v>
      </c>
      <c r="AN241" s="30">
        <f>SUM(AO241+AP241)</f>
        <v>10000000</v>
      </c>
      <c r="AO241" s="35">
        <f>3000000</f>
        <v>3000000</v>
      </c>
      <c r="AP241" s="613">
        <f>SUM(AQ241:AT241)</f>
        <v>7000000</v>
      </c>
      <c r="AQ241" s="679">
        <v>1050000</v>
      </c>
      <c r="AR241" s="678">
        <v>1050000</v>
      </c>
      <c r="AS241" s="678">
        <v>2450000</v>
      </c>
      <c r="AT241" s="678">
        <v>2450000</v>
      </c>
      <c r="AU241" s="612">
        <f>SUM(AN241+AG241+Y241+G241)</f>
        <v>497438250.24000001</v>
      </c>
      <c r="AV241" s="611">
        <f>AM241/$AM$7</f>
        <v>0</v>
      </c>
      <c r="AW241" s="610">
        <f>+'[2]Egresos -2015 '!$AO$241</f>
        <v>3000</v>
      </c>
      <c r="AX241" s="609">
        <f>AW241/$AW$7</f>
        <v>5.8011382480572365E-5</v>
      </c>
      <c r="AY241" s="608">
        <f>+F241/$F$7</f>
        <v>5.3607651768746521E-3</v>
      </c>
      <c r="AZ241" s="606">
        <f>+(((7964668.4+8841960.6)/6))*12/1000</f>
        <v>33613.258000000002</v>
      </c>
      <c r="BA241" s="608">
        <f>+AZ241/$AZ$7</f>
        <v>9.2031868039178658E-4</v>
      </c>
      <c r="BB241" s="560">
        <f>+F241-AZ241</f>
        <v>315186.74199999997</v>
      </c>
      <c r="BC241" s="607">
        <f>+BB241/AZ241</f>
        <v>9.3768578457940599</v>
      </c>
      <c r="BD241" s="606">
        <f>101043.51</f>
        <v>101043.51</v>
      </c>
      <c r="BE241" s="605">
        <f>+BD241/$BD$7</f>
        <v>2.3273015079619242E-3</v>
      </c>
      <c r="BF241" s="560">
        <f>AZ241-BD241</f>
        <v>-67430.251999999993</v>
      </c>
      <c r="BG241" s="604">
        <f>+BF241/BD241</f>
        <v>-0.66733877316811341</v>
      </c>
      <c r="BH241" s="555"/>
    </row>
    <row r="242" spans="1:60" ht="15.75" hidden="1" customHeight="1" x14ac:dyDescent="0.3">
      <c r="A242" s="645"/>
      <c r="B242" s="634"/>
      <c r="C242" s="635"/>
      <c r="D242" s="20"/>
      <c r="E242" s="620"/>
      <c r="F242" s="558" t="e">
        <f>+X242+AF242+AM242+AW242</f>
        <v>#VALUE!</v>
      </c>
      <c r="G242" s="20"/>
      <c r="H242" s="341"/>
      <c r="I242" s="341"/>
      <c r="J242" s="341"/>
      <c r="K242" s="341"/>
      <c r="L242" s="341"/>
      <c r="M242" s="1"/>
      <c r="N242" s="341"/>
      <c r="O242" s="341"/>
      <c r="P242" s="341"/>
      <c r="Q242" s="341"/>
      <c r="R242" s="1"/>
      <c r="S242" s="1"/>
      <c r="T242" s="1"/>
      <c r="U242" s="1"/>
      <c r="V242" s="1"/>
      <c r="W242" s="1"/>
      <c r="X242" s="617">
        <f>G242/1000</f>
        <v>0</v>
      </c>
      <c r="Y242" s="1"/>
      <c r="Z242" s="1"/>
      <c r="AA242" s="1"/>
      <c r="AB242" s="1"/>
      <c r="AC242" s="1"/>
      <c r="AD242" s="1"/>
      <c r="AE242" s="642">
        <f>X242/$X$7*100</f>
        <v>0</v>
      </c>
      <c r="AF242" s="8">
        <f>Y242/1000</f>
        <v>0</v>
      </c>
      <c r="AG242" s="2" t="s">
        <v>0</v>
      </c>
      <c r="AH242" s="692" t="s">
        <v>0</v>
      </c>
      <c r="AI242" s="26" t="s">
        <v>0</v>
      </c>
      <c r="AJ242" s="26"/>
      <c r="AK242" s="26"/>
      <c r="AL242" s="691"/>
      <c r="AM242" s="614" t="e">
        <f>AG242/1000</f>
        <v>#VALUE!</v>
      </c>
      <c r="AN242" s="34"/>
      <c r="AO242" s="1"/>
      <c r="AP242" s="70"/>
      <c r="AQ242" s="304"/>
      <c r="AR242" s="1"/>
      <c r="AS242" s="1"/>
      <c r="AT242" s="1"/>
      <c r="AU242" s="612"/>
      <c r="AV242" s="611" t="e">
        <f>AM242/$AM$7</f>
        <v>#VALUE!</v>
      </c>
      <c r="AW242" s="610">
        <f>AN242/1000</f>
        <v>0</v>
      </c>
      <c r="AX242" s="609">
        <f>AW242/$AW$7</f>
        <v>0</v>
      </c>
      <c r="AY242" s="608" t="e">
        <f>+F242/$F$7</f>
        <v>#VALUE!</v>
      </c>
      <c r="AZ242" s="606">
        <f>+((0/7))*12/1000</f>
        <v>0</v>
      </c>
      <c r="BA242" s="608">
        <f>+AZ242/$AZ$7</f>
        <v>0</v>
      </c>
      <c r="BB242" s="560" t="e">
        <f>+F242-AZ242</f>
        <v>#VALUE!</v>
      </c>
      <c r="BC242" s="607" t="e">
        <f>+BB242/AZ242</f>
        <v>#VALUE!</v>
      </c>
      <c r="BD242" s="606"/>
      <c r="BE242" s="605">
        <f>+BD242/$BD$7</f>
        <v>0</v>
      </c>
      <c r="BF242" s="560">
        <f>AZ242-BD242</f>
        <v>0</v>
      </c>
      <c r="BG242" s="604" t="e">
        <f>+BF242/BD242</f>
        <v>#DIV/0!</v>
      </c>
      <c r="BH242" s="555"/>
    </row>
    <row r="243" spans="1:60" ht="15.75" hidden="1" customHeight="1" x14ac:dyDescent="0.3">
      <c r="A243" s="645"/>
      <c r="B243" s="634"/>
      <c r="C243" s="635"/>
      <c r="D243" s="20"/>
      <c r="E243" s="620"/>
      <c r="F243" s="558">
        <f>+X243+AF243+AM243+AW243</f>
        <v>0</v>
      </c>
      <c r="G243" s="20"/>
      <c r="H243" s="341"/>
      <c r="I243" s="341"/>
      <c r="J243" s="341"/>
      <c r="K243" s="341"/>
      <c r="L243" s="341"/>
      <c r="M243" s="1"/>
      <c r="N243" s="341"/>
      <c r="O243" s="341"/>
      <c r="P243" s="341"/>
      <c r="Q243" s="341"/>
      <c r="R243" s="1"/>
      <c r="S243" s="1"/>
      <c r="T243" s="1"/>
      <c r="U243" s="1"/>
      <c r="V243" s="1"/>
      <c r="W243" s="1"/>
      <c r="X243" s="617">
        <f>G243/1000</f>
        <v>0</v>
      </c>
      <c r="Y243" s="1"/>
      <c r="Z243" s="1"/>
      <c r="AA243" s="1"/>
      <c r="AB243" s="1"/>
      <c r="AC243" s="1"/>
      <c r="AD243" s="1"/>
      <c r="AE243" s="642">
        <f>X243/$X$7*100</f>
        <v>0</v>
      </c>
      <c r="AF243" s="8">
        <f>Y243/1000</f>
        <v>0</v>
      </c>
      <c r="AG243" s="2"/>
      <c r="AH243" s="692"/>
      <c r="AI243" s="26"/>
      <c r="AJ243" s="26"/>
      <c r="AK243" s="26"/>
      <c r="AL243" s="691"/>
      <c r="AM243" s="614">
        <f>AG243/1000</f>
        <v>0</v>
      </c>
      <c r="AN243" s="34"/>
      <c r="AO243" s="1"/>
      <c r="AP243" s="70"/>
      <c r="AQ243" s="304"/>
      <c r="AR243" s="1"/>
      <c r="AS243" s="1"/>
      <c r="AT243" s="1"/>
      <c r="AU243" s="612"/>
      <c r="AV243" s="611">
        <f>AM243/$AM$7</f>
        <v>0</v>
      </c>
      <c r="AW243" s="610">
        <f>AN243/1000</f>
        <v>0</v>
      </c>
      <c r="AX243" s="609">
        <f>AW243/$AW$7</f>
        <v>0</v>
      </c>
      <c r="AY243" s="608">
        <f>+F243/$F$7</f>
        <v>0</v>
      </c>
      <c r="AZ243" s="606">
        <f>+((0/7))*12/1000</f>
        <v>0</v>
      </c>
      <c r="BA243" s="608">
        <f>+AZ243/$AZ$7</f>
        <v>0</v>
      </c>
      <c r="BB243" s="560">
        <f>+F243-AZ243</f>
        <v>0</v>
      </c>
      <c r="BC243" s="607" t="e">
        <f>+BB243/AZ243</f>
        <v>#DIV/0!</v>
      </c>
      <c r="BD243" s="606"/>
      <c r="BE243" s="605">
        <f>+BD243/$BD$7</f>
        <v>0</v>
      </c>
      <c r="BF243" s="560">
        <f>AZ243-BD243</f>
        <v>0</v>
      </c>
      <c r="BG243" s="604" t="e">
        <f>+BF243/BD243</f>
        <v>#DIV/0!</v>
      </c>
      <c r="BH243" s="555"/>
    </row>
    <row r="244" spans="1:60" ht="15.75" customHeight="1" x14ac:dyDescent="0.3">
      <c r="A244" s="645"/>
      <c r="B244" s="634"/>
      <c r="C244" s="635"/>
      <c r="D244" s="20"/>
      <c r="E244" s="620"/>
      <c r="F244" s="558"/>
      <c r="G244" s="20"/>
      <c r="H244" s="341"/>
      <c r="I244" s="341"/>
      <c r="J244" s="341"/>
      <c r="K244" s="341"/>
      <c r="L244" s="341"/>
      <c r="M244" s="1"/>
      <c r="N244" s="341"/>
      <c r="O244" s="341"/>
      <c r="P244" s="341"/>
      <c r="Q244" s="341"/>
      <c r="R244" s="1"/>
      <c r="S244" s="1"/>
      <c r="T244" s="1"/>
      <c r="U244" s="1"/>
      <c r="V244" s="1"/>
      <c r="W244" s="1"/>
      <c r="X244" s="617"/>
      <c r="Y244" s="1"/>
      <c r="Z244" s="1"/>
      <c r="AA244" s="1"/>
      <c r="AB244" s="1"/>
      <c r="AC244" s="1"/>
      <c r="AD244" s="1"/>
      <c r="AE244" s="642"/>
      <c r="AF244" s="8"/>
      <c r="AG244" s="2"/>
      <c r="AH244" s="692"/>
      <c r="AI244" s="26"/>
      <c r="AJ244" s="26"/>
      <c r="AK244" s="26"/>
      <c r="AL244" s="691"/>
      <c r="AM244" s="614"/>
      <c r="AN244" s="34"/>
      <c r="AO244" s="1"/>
      <c r="AP244" s="70"/>
      <c r="AQ244" s="304"/>
      <c r="AR244" s="1"/>
      <c r="AS244" s="1"/>
      <c r="AT244" s="1"/>
      <c r="AU244" s="612"/>
      <c r="AV244" s="611"/>
      <c r="AW244" s="610"/>
      <c r="AX244" s="609"/>
      <c r="AY244" s="608"/>
      <c r="AZ244" s="606"/>
      <c r="BA244" s="608"/>
      <c r="BB244" s="560"/>
      <c r="BC244" s="607"/>
      <c r="BD244" s="606"/>
      <c r="BE244" s="605"/>
      <c r="BF244" s="560"/>
      <c r="BG244" s="604"/>
      <c r="BH244" s="555"/>
    </row>
    <row r="245" spans="1:60" ht="15.75" customHeight="1" x14ac:dyDescent="0.3">
      <c r="A245" s="643">
        <v>6</v>
      </c>
      <c r="B245" s="1973" t="s">
        <v>319</v>
      </c>
      <c r="C245" s="1979"/>
      <c r="D245" s="25">
        <f>D247+D253+D258+D264+D268</f>
        <v>768671493.42999995</v>
      </c>
      <c r="E245" s="628">
        <f>SUM(E247+E253+E258+E264+E268)</f>
        <v>768671493.42999995</v>
      </c>
      <c r="F245" s="561">
        <f t="shared" ref="F245:S245" si="301">F247+F253+F258+F264+F268</f>
        <v>956576.38</v>
      </c>
      <c r="G245" s="25">
        <f t="shared" si="301"/>
        <v>497902358.06</v>
      </c>
      <c r="H245" s="25">
        <f t="shared" si="301"/>
        <v>0</v>
      </c>
      <c r="I245" s="25">
        <f t="shared" si="301"/>
        <v>6167794</v>
      </c>
      <c r="J245" s="25">
        <f t="shared" si="301"/>
        <v>10574266.58</v>
      </c>
      <c r="K245" s="25">
        <f t="shared" si="301"/>
        <v>15100000</v>
      </c>
      <c r="L245" s="25">
        <f t="shared" si="301"/>
        <v>0</v>
      </c>
      <c r="M245" s="25">
        <f t="shared" si="301"/>
        <v>6300000</v>
      </c>
      <c r="N245" s="25">
        <f t="shared" si="301"/>
        <v>0</v>
      </c>
      <c r="O245" s="25">
        <f t="shared" si="301"/>
        <v>348795</v>
      </c>
      <c r="P245" s="25">
        <f t="shared" si="301"/>
        <v>7225950</v>
      </c>
      <c r="Q245" s="25">
        <f t="shared" si="301"/>
        <v>63300000</v>
      </c>
      <c r="R245" s="25">
        <f t="shared" si="301"/>
        <v>96674978.469999999</v>
      </c>
      <c r="S245" s="25">
        <f t="shared" si="301"/>
        <v>26672117.370000001</v>
      </c>
      <c r="T245" s="25">
        <f>SUM(T247+T253+T258+T264+T268)</f>
        <v>206278907.69999999</v>
      </c>
      <c r="U245" s="25">
        <f>U247+U253+U258+U264+U268</f>
        <v>6300000</v>
      </c>
      <c r="V245" s="25">
        <f>V247+V253+V258+V264+V268</f>
        <v>49959548.939999998</v>
      </c>
      <c r="W245" s="25">
        <f>W247+W253+W258+W264+W268</f>
        <v>3000000</v>
      </c>
      <c r="X245" s="350">
        <f>+'[3]Egresos -2015 '!$Z$245</f>
        <v>534614.99800000002</v>
      </c>
      <c r="Y245" s="25">
        <f t="shared" ref="Y245:AD245" si="302">Y247+Y253+Y258+Y264+Y268</f>
        <v>22020726.09</v>
      </c>
      <c r="Z245" s="25">
        <f t="shared" si="302"/>
        <v>6020726.0899999999</v>
      </c>
      <c r="AA245" s="25">
        <f t="shared" si="302"/>
        <v>4000000</v>
      </c>
      <c r="AB245" s="25">
        <f t="shared" si="302"/>
        <v>4000000</v>
      </c>
      <c r="AC245" s="25">
        <f t="shared" si="302"/>
        <v>4000000</v>
      </c>
      <c r="AD245" s="25">
        <f t="shared" si="302"/>
        <v>4000000</v>
      </c>
      <c r="AE245" s="615">
        <f>X245/$X$7*100</f>
        <v>10.48645416997377</v>
      </c>
      <c r="AF245" s="10">
        <f>+AF247</f>
        <v>12300</v>
      </c>
      <c r="AG245" s="2">
        <f>SUM(AG247+AG253+AG258+AG264+AG268)</f>
        <v>36352773.979999997</v>
      </c>
      <c r="AH245" s="308">
        <f>AH247+AH253+AH258+AH264+AH268</f>
        <v>4455350.38</v>
      </c>
      <c r="AI245" s="33">
        <f>AI247+AI253+AI258+AI264+AI268</f>
        <v>3000000</v>
      </c>
      <c r="AJ245" s="33">
        <f>AJ247+AJ253+AJ258+AJ264+AJ268</f>
        <v>3000000</v>
      </c>
      <c r="AK245" s="33">
        <f>AK247+AK253+AK258+AK264+AK268</f>
        <v>25897423.600000001</v>
      </c>
      <c r="AL245" s="623">
        <f>(AF245/AF7)*100</f>
        <v>0.84955578993226555</v>
      </c>
      <c r="AM245" s="623">
        <f>+AM258+AM264</f>
        <v>8000</v>
      </c>
      <c r="AN245" s="34">
        <f t="shared" ref="AN245:AU245" si="303">AN247+AN253+AN258+AN264+AN268</f>
        <v>212395635.30000001</v>
      </c>
      <c r="AO245" s="35">
        <f t="shared" si="303"/>
        <v>195750000</v>
      </c>
      <c r="AP245" s="34">
        <f t="shared" si="303"/>
        <v>16645635.299999997</v>
      </c>
      <c r="AQ245" s="305">
        <f t="shared" si="303"/>
        <v>4645635.299999997</v>
      </c>
      <c r="AR245" s="35">
        <f t="shared" si="303"/>
        <v>3000000</v>
      </c>
      <c r="AS245" s="35">
        <f t="shared" si="303"/>
        <v>5000000</v>
      </c>
      <c r="AT245" s="35">
        <f t="shared" si="303"/>
        <v>4000000</v>
      </c>
      <c r="AU245" s="622">
        <f t="shared" si="303"/>
        <v>768671493.43000007</v>
      </c>
      <c r="AV245" s="611">
        <f>AM245/$AM$7</f>
        <v>6.9739564732479269E-4</v>
      </c>
      <c r="AW245" s="621">
        <f>+AW258+AW264+AW253</f>
        <v>917300</v>
      </c>
      <c r="AX245" s="609">
        <f>AW245/$AW$7</f>
        <v>1.7737947049809678E-2</v>
      </c>
      <c r="AY245" s="608">
        <f>+F245/$F$7</f>
        <v>1.4701781384532153E-2</v>
      </c>
      <c r="AZ245" s="561">
        <f>AZ247+AZ253+AZ258+AZ264+AZ268</f>
        <v>806572.12662</v>
      </c>
      <c r="BA245" s="608">
        <f>+AZ245/$AZ$7</f>
        <v>2.2083649112850511E-2</v>
      </c>
      <c r="BB245" s="560">
        <f>+F245-AZ245</f>
        <v>150004.25338000001</v>
      </c>
      <c r="BC245" s="607">
        <f>+BB245/AZ245</f>
        <v>0.18597748227254504</v>
      </c>
      <c r="BD245" s="561">
        <f>BD247+BD253+BD258+BD264+BD268</f>
        <v>950223.95699999994</v>
      </c>
      <c r="BE245" s="605">
        <f>+BD245/$BD$7</f>
        <v>2.1886191879395785E-2</v>
      </c>
      <c r="BF245" s="560">
        <f>AZ245-BD245</f>
        <v>-143651.83037999994</v>
      </c>
      <c r="BG245" s="604">
        <f>+BF245/BD245</f>
        <v>-0.15117681397291896</v>
      </c>
      <c r="BH245" s="555"/>
    </row>
    <row r="246" spans="1:60" ht="15.75" hidden="1" customHeight="1" x14ac:dyDescent="0.3">
      <c r="A246" s="645"/>
      <c r="B246" s="634"/>
      <c r="C246" s="635"/>
      <c r="D246" s="20"/>
      <c r="E246" s="620"/>
      <c r="F246" s="558">
        <f>+X246+AF246+AM246+AW246</f>
        <v>0</v>
      </c>
      <c r="G246" s="20"/>
      <c r="H246" s="341"/>
      <c r="I246" s="341"/>
      <c r="J246" s="341"/>
      <c r="K246" s="341"/>
      <c r="L246" s="341"/>
      <c r="M246" s="1"/>
      <c r="N246" s="341"/>
      <c r="O246" s="341"/>
      <c r="P246" s="341"/>
      <c r="Q246" s="341"/>
      <c r="R246" s="1"/>
      <c r="S246" s="1"/>
      <c r="T246" s="1"/>
      <c r="U246" s="1"/>
      <c r="V246" s="1"/>
      <c r="W246" s="1"/>
      <c r="X246" s="617">
        <f>G246/1000</f>
        <v>0</v>
      </c>
      <c r="Y246" s="1"/>
      <c r="Z246" s="1"/>
      <c r="AA246" s="1"/>
      <c r="AB246" s="1"/>
      <c r="AC246" s="1"/>
      <c r="AD246" s="1"/>
      <c r="AE246" s="615">
        <f>X246/$X$7*100</f>
        <v>0</v>
      </c>
      <c r="AF246" s="8">
        <f>Y246/1000</f>
        <v>0</v>
      </c>
      <c r="AG246" s="2">
        <f>SUM(AH246:AJ246)</f>
        <v>0</v>
      </c>
      <c r="AH246" s="309"/>
      <c r="AI246" s="13"/>
      <c r="AJ246" s="13"/>
      <c r="AK246" s="13"/>
      <c r="AL246" s="669"/>
      <c r="AM246" s="614">
        <f>AG246/1000</f>
        <v>0</v>
      </c>
      <c r="AN246" s="34"/>
      <c r="AO246" s="13"/>
      <c r="AP246" s="115"/>
      <c r="AQ246" s="309"/>
      <c r="AR246" s="13"/>
      <c r="AS246" s="13"/>
      <c r="AT246" s="13"/>
      <c r="AU246" s="612"/>
      <c r="AV246" s="611">
        <f>AM246/$AM$7</f>
        <v>0</v>
      </c>
      <c r="AW246" s="610">
        <f>AN246/1000</f>
        <v>0</v>
      </c>
      <c r="AX246" s="609">
        <f>AW246/$AW$7</f>
        <v>0</v>
      </c>
      <c r="AY246" s="608">
        <f>+F246/$F$7</f>
        <v>0</v>
      </c>
      <c r="AZ246" s="606">
        <f>+((0/7))*12/1000</f>
        <v>0</v>
      </c>
      <c r="BA246" s="608">
        <f>+AZ246/$AZ$7</f>
        <v>0</v>
      </c>
      <c r="BB246" s="560">
        <f>+F246-AZ246</f>
        <v>0</v>
      </c>
      <c r="BC246" s="607" t="e">
        <f>+BB246/AZ246</f>
        <v>#DIV/0!</v>
      </c>
      <c r="BD246" s="606"/>
      <c r="BE246" s="605">
        <f>+BD246/$BD$7</f>
        <v>0</v>
      </c>
      <c r="BF246" s="560">
        <f>AZ246-BD246</f>
        <v>0</v>
      </c>
      <c r="BG246" s="604" t="e">
        <f>+BF246/BD246</f>
        <v>#DIV/0!</v>
      </c>
      <c r="BH246" s="555"/>
    </row>
    <row r="247" spans="1:60" ht="15.75" customHeight="1" x14ac:dyDescent="0.3">
      <c r="A247" s="562" t="s">
        <v>320</v>
      </c>
      <c r="B247" s="1973" t="s">
        <v>321</v>
      </c>
      <c r="C247" s="1974"/>
      <c r="D247" s="21">
        <f>SUM(D248:D251)</f>
        <v>96304589.769999996</v>
      </c>
      <c r="E247" s="628">
        <f>SUM(G247+Y247+AG247+AN247)</f>
        <v>96304589.769999996</v>
      </c>
      <c r="F247" s="558">
        <f>F250</f>
        <v>133000</v>
      </c>
      <c r="G247" s="21">
        <f>SUM(H247:W247)</f>
        <v>96304589.769999996</v>
      </c>
      <c r="H247" s="374">
        <f>SUM(H248:H250)</f>
        <v>0</v>
      </c>
      <c r="I247" s="374">
        <f>SUM(I248:I250)</f>
        <v>0</v>
      </c>
      <c r="J247" s="374">
        <f>SUM(J248:J251)</f>
        <v>0</v>
      </c>
      <c r="K247" s="374">
        <f>SUM(K248:K251)</f>
        <v>0</v>
      </c>
      <c r="L247" s="23">
        <f t="shared" ref="L247:T247" si="304">SUM(L248:L250)</f>
        <v>0</v>
      </c>
      <c r="M247" s="23">
        <f t="shared" si="304"/>
        <v>0</v>
      </c>
      <c r="N247" s="374">
        <f t="shared" si="304"/>
        <v>0</v>
      </c>
      <c r="O247" s="374">
        <f t="shared" si="304"/>
        <v>0</v>
      </c>
      <c r="P247" s="23">
        <f t="shared" si="304"/>
        <v>0</v>
      </c>
      <c r="Q247" s="374">
        <f t="shared" si="304"/>
        <v>0</v>
      </c>
      <c r="R247" s="23">
        <f t="shared" si="304"/>
        <v>96304589.769999996</v>
      </c>
      <c r="S247" s="23">
        <f t="shared" si="304"/>
        <v>0</v>
      </c>
      <c r="T247" s="23">
        <f t="shared" si="304"/>
        <v>0</v>
      </c>
      <c r="U247" s="23"/>
      <c r="V247" s="23">
        <f>SUM(V248:V250)</f>
        <v>0</v>
      </c>
      <c r="W247" s="23">
        <f>SUM(W248:W250)</f>
        <v>0</v>
      </c>
      <c r="X247" s="350">
        <f>+'[3]Egresos -2015 '!$Z$247</f>
        <v>100000</v>
      </c>
      <c r="Y247" s="23">
        <f t="shared" ref="Y247:AD247" si="305">SUM(Y248:Y250)</f>
        <v>0</v>
      </c>
      <c r="Z247" s="23">
        <f t="shared" si="305"/>
        <v>0</v>
      </c>
      <c r="AA247" s="23">
        <f t="shared" si="305"/>
        <v>0</v>
      </c>
      <c r="AB247" s="23">
        <f t="shared" si="305"/>
        <v>0</v>
      </c>
      <c r="AC247" s="23">
        <f t="shared" si="305"/>
        <v>0</v>
      </c>
      <c r="AD247" s="23">
        <f t="shared" si="305"/>
        <v>0</v>
      </c>
      <c r="AE247" s="615">
        <f>X247/$X$7*100</f>
        <v>1.9614964430859028</v>
      </c>
      <c r="AF247" s="10">
        <f>+AF253+AF258+AF264+AF268</f>
        <v>12300</v>
      </c>
      <c r="AG247" s="2">
        <f>SUM(AG248:AG251)</f>
        <v>0</v>
      </c>
      <c r="AH247" s="308">
        <f>SUM(AH248:AH250)</f>
        <v>0</v>
      </c>
      <c r="AI247" s="33">
        <f>SUM(AI251)</f>
        <v>0</v>
      </c>
      <c r="AJ247" s="33">
        <f>SUM(AJ248:AJ250)</f>
        <v>0</v>
      </c>
      <c r="AK247" s="33">
        <f>SUM(AK248:AK250)</f>
        <v>0</v>
      </c>
      <c r="AL247" s="623"/>
      <c r="AM247" s="623">
        <f>AG247/1000</f>
        <v>0</v>
      </c>
      <c r="AN247" s="34">
        <f>SUM(AN248:AN251)</f>
        <v>0</v>
      </c>
      <c r="AO247" s="35">
        <f>SUM(AO248:AO250)</f>
        <v>0</v>
      </c>
      <c r="AP247" s="613">
        <f>SUM(AQ247:AT247)</f>
        <v>0</v>
      </c>
      <c r="AQ247" s="305">
        <f>SUM(AQ248:AQ250)</f>
        <v>0</v>
      </c>
      <c r="AR247" s="35">
        <f>SUM(AR248:AR250)</f>
        <v>0</v>
      </c>
      <c r="AS247" s="35">
        <f>SUM(AS248:AS250)</f>
        <v>0</v>
      </c>
      <c r="AT247" s="35">
        <f>SUM(AT248:AT250)</f>
        <v>0</v>
      </c>
      <c r="AU247" s="622">
        <f>SUM(AU248:AU250)</f>
        <v>96304589.769999996</v>
      </c>
      <c r="AV247" s="611">
        <f>AM247/$AM$7</f>
        <v>0</v>
      </c>
      <c r="AW247" s="610">
        <f>AN247/1000</f>
        <v>0</v>
      </c>
      <c r="AX247" s="609"/>
      <c r="AY247" s="608">
        <f>+F247/$F$7</f>
        <v>2.0440991070078234E-3</v>
      </c>
      <c r="AZ247" s="558">
        <f>AZ249+AZ250</f>
        <v>184510.82980000001</v>
      </c>
      <c r="BA247" s="608">
        <f>+AZ247/$AZ$7</f>
        <v>5.0518388726117991E-3</v>
      </c>
      <c r="BB247" s="560">
        <f>+F247-AZ247</f>
        <v>-51510.829800000007</v>
      </c>
      <c r="BC247" s="607">
        <f>+BB247/AZ247</f>
        <v>-0.27917510238198495</v>
      </c>
      <c r="BD247" s="558">
        <f>BD250+BD249</f>
        <v>100034.39</v>
      </c>
      <c r="BE247" s="605">
        <f>+BD247/$BD$7</f>
        <v>2.3040587831425416E-3</v>
      </c>
      <c r="BF247" s="560">
        <f>AZ247-BD247</f>
        <v>84476.439800000007</v>
      </c>
      <c r="BG247" s="604">
        <f>+BF247/BD247</f>
        <v>0.84447398339710977</v>
      </c>
      <c r="BH247" s="555"/>
    </row>
    <row r="248" spans="1:60" ht="15.75" customHeight="1" x14ac:dyDescent="0.3">
      <c r="A248" s="645"/>
      <c r="B248" s="1967"/>
      <c r="C248" s="1968"/>
      <c r="D248" s="20"/>
      <c r="E248" s="620"/>
      <c r="F248" s="558"/>
      <c r="G248" s="20"/>
      <c r="H248" s="690"/>
      <c r="I248" s="690"/>
      <c r="J248" s="690"/>
      <c r="K248" s="690"/>
      <c r="L248" s="341"/>
      <c r="M248" s="1"/>
      <c r="N248" s="690"/>
      <c r="O248" s="690"/>
      <c r="P248" s="341"/>
      <c r="Q248" s="690"/>
      <c r="R248" s="1"/>
      <c r="S248" s="1"/>
      <c r="T248" s="1"/>
      <c r="U248" s="1"/>
      <c r="V248" s="1"/>
      <c r="W248" s="1"/>
      <c r="X248" s="617"/>
      <c r="Y248" s="8"/>
      <c r="Z248" s="1"/>
      <c r="AA248" s="1"/>
      <c r="AB248" s="1"/>
      <c r="AC248" s="1"/>
      <c r="AD248" s="1"/>
      <c r="AE248" s="615"/>
      <c r="AF248" s="8"/>
      <c r="AG248" s="2"/>
      <c r="AH248" s="309"/>
      <c r="AI248" s="13"/>
      <c r="AJ248" s="35"/>
      <c r="AK248" s="35"/>
      <c r="AL248" s="614"/>
      <c r="AM248" s="614"/>
      <c r="AN248" s="30"/>
      <c r="AO248" s="35"/>
      <c r="AP248" s="613"/>
      <c r="AQ248" s="305"/>
      <c r="AR248" s="35"/>
      <c r="AS248" s="35"/>
      <c r="AT248" s="35"/>
      <c r="AU248" s="612"/>
      <c r="AV248" s="611"/>
      <c r="AW248" s="610"/>
      <c r="AX248" s="609"/>
      <c r="AY248" s="608"/>
      <c r="AZ248" s="606"/>
      <c r="BA248" s="608"/>
      <c r="BB248" s="560"/>
      <c r="BC248" s="607"/>
      <c r="BD248" s="606"/>
      <c r="BE248" s="605"/>
      <c r="BF248" s="560"/>
      <c r="BG248" s="604"/>
      <c r="BH248" s="555"/>
    </row>
    <row r="249" spans="1:60" ht="15.75" customHeight="1" x14ac:dyDescent="0.3">
      <c r="A249" s="645" t="s">
        <v>322</v>
      </c>
      <c r="B249" s="1981" t="s">
        <v>946</v>
      </c>
      <c r="C249" s="1982"/>
      <c r="D249" s="20"/>
      <c r="E249" s="620"/>
      <c r="F249" s="558">
        <v>0</v>
      </c>
      <c r="G249" s="20"/>
      <c r="H249" s="690"/>
      <c r="I249" s="690"/>
      <c r="J249" s="690"/>
      <c r="K249" s="690"/>
      <c r="L249" s="341"/>
      <c r="M249" s="1"/>
      <c r="N249" s="690"/>
      <c r="O249" s="690"/>
      <c r="P249" s="341"/>
      <c r="Q249" s="690"/>
      <c r="R249" s="1"/>
      <c r="S249" s="1"/>
      <c r="T249" s="1"/>
      <c r="U249" s="1"/>
      <c r="V249" s="1"/>
      <c r="W249" s="1"/>
      <c r="X249" s="617"/>
      <c r="Y249" s="8"/>
      <c r="Z249" s="1"/>
      <c r="AA249" s="1"/>
      <c r="AB249" s="1"/>
      <c r="AC249" s="1"/>
      <c r="AD249" s="1"/>
      <c r="AE249" s="615"/>
      <c r="AF249" s="8"/>
      <c r="AG249" s="2"/>
      <c r="AH249" s="309"/>
      <c r="AI249" s="13"/>
      <c r="AJ249" s="35"/>
      <c r="AK249" s="35"/>
      <c r="AL249" s="614"/>
      <c r="AM249" s="614"/>
      <c r="AN249" s="30"/>
      <c r="AO249" s="35"/>
      <c r="AP249" s="613"/>
      <c r="AQ249" s="305"/>
      <c r="AR249" s="35"/>
      <c r="AS249" s="35"/>
      <c r="AT249" s="35"/>
      <c r="AU249" s="612"/>
      <c r="AV249" s="611"/>
      <c r="AW249" s="610"/>
      <c r="AX249" s="609"/>
      <c r="AY249" s="608"/>
      <c r="AZ249" s="606">
        <f>+((304983/6))*12/1000</f>
        <v>609.96600000000001</v>
      </c>
      <c r="BA249" s="608">
        <f>+AZ249/$AZ$7</f>
        <v>1.6700645447812777E-5</v>
      </c>
      <c r="BB249" s="560">
        <f>+F249-AZ249</f>
        <v>-609.96600000000001</v>
      </c>
      <c r="BC249" s="607">
        <f>+BB249/AZ249</f>
        <v>-1</v>
      </c>
      <c r="BD249" s="606"/>
      <c r="BE249" s="605">
        <f t="shared" ref="BE249:BE256" si="306">+BD249/$BD$7</f>
        <v>0</v>
      </c>
      <c r="BF249" s="560">
        <f>AZ249-BD249</f>
        <v>609.96600000000001</v>
      </c>
      <c r="BG249" s="604"/>
      <c r="BH249" s="555"/>
    </row>
    <row r="250" spans="1:60" ht="15.75" customHeight="1" x14ac:dyDescent="0.3">
      <c r="A250" s="645" t="s">
        <v>324</v>
      </c>
      <c r="B250" s="1967" t="s">
        <v>325</v>
      </c>
      <c r="C250" s="1968"/>
      <c r="D250" s="127">
        <f>+G250+Y250+AG250+AN250</f>
        <v>96304589.769999996</v>
      </c>
      <c r="E250" s="620">
        <f>SUM(G250+Y250+AG250+AN250)</f>
        <v>96304589.769999996</v>
      </c>
      <c r="F250" s="558">
        <f>133000000/1000</f>
        <v>133000</v>
      </c>
      <c r="G250" s="20">
        <f>SUM(H250:W250)</f>
        <v>96304589.769999996</v>
      </c>
      <c r="H250" s="690"/>
      <c r="I250" s="690"/>
      <c r="J250" s="690"/>
      <c r="K250" s="690"/>
      <c r="L250" s="341"/>
      <c r="M250" s="1"/>
      <c r="N250" s="690"/>
      <c r="O250" s="690"/>
      <c r="P250" s="341"/>
      <c r="Q250" s="690"/>
      <c r="R250" s="1">
        <v>96304589.769999996</v>
      </c>
      <c r="S250" s="1"/>
      <c r="T250" s="1"/>
      <c r="U250" s="1"/>
      <c r="V250" s="1"/>
      <c r="W250" s="1"/>
      <c r="X250" s="617">
        <f>+'[3]Egresos -2015 '!$Z$249</f>
        <v>100000</v>
      </c>
      <c r="Y250" s="8">
        <f>SUM(Z250:AD250)</f>
        <v>0</v>
      </c>
      <c r="Z250" s="1"/>
      <c r="AA250" s="1"/>
      <c r="AB250" s="1"/>
      <c r="AC250" s="1"/>
      <c r="AD250" s="1"/>
      <c r="AE250" s="642">
        <f>X250/$X$7*100</f>
        <v>1.9614964430859028</v>
      </c>
      <c r="AF250" s="8">
        <f>Y250/1000</f>
        <v>0</v>
      </c>
      <c r="AG250" s="2">
        <f>SUM(AH250:AK250)</f>
        <v>0</v>
      </c>
      <c r="AH250" s="304">
        <v>0</v>
      </c>
      <c r="AI250" s="1">
        <v>0</v>
      </c>
      <c r="AJ250" s="35">
        <v>0</v>
      </c>
      <c r="AK250" s="35">
        <v>0</v>
      </c>
      <c r="AL250" s="614"/>
      <c r="AM250" s="614">
        <f>AG250/1000</f>
        <v>0</v>
      </c>
      <c r="AN250" s="30">
        <f>SUM(AO250+AP250)</f>
        <v>0</v>
      </c>
      <c r="AO250" s="35">
        <v>0</v>
      </c>
      <c r="AP250" s="613">
        <f>SUM(AQ250:AT250)</f>
        <v>0</v>
      </c>
      <c r="AQ250" s="305">
        <v>0</v>
      </c>
      <c r="AR250" s="35">
        <v>0</v>
      </c>
      <c r="AS250" s="35">
        <v>0</v>
      </c>
      <c r="AT250" s="35">
        <v>0</v>
      </c>
      <c r="AU250" s="612">
        <f>SUM(AN250+AG250+Y250+G250)</f>
        <v>96304589.769999996</v>
      </c>
      <c r="AV250" s="611">
        <f>AM250/$AM$7</f>
        <v>0</v>
      </c>
      <c r="AW250" s="610">
        <f>AN250/1000</f>
        <v>0</v>
      </c>
      <c r="AX250" s="609"/>
      <c r="AY250" s="608">
        <f>+F250/$F$7</f>
        <v>2.0440991070078234E-3</v>
      </c>
      <c r="AZ250" s="606">
        <f>+((91950431.9/6))*12/1000</f>
        <v>183900.86380000002</v>
      </c>
      <c r="BA250" s="608">
        <f>+AZ250/$AZ$7</f>
        <v>5.0351382271639862E-3</v>
      </c>
      <c r="BB250" s="560">
        <f>+F250-AZ250</f>
        <v>-50900.863800000021</v>
      </c>
      <c r="BC250" s="607">
        <f>+BB250/AZ250</f>
        <v>-0.27678425619227576</v>
      </c>
      <c r="BD250" s="606">
        <v>100034.39</v>
      </c>
      <c r="BE250" s="605">
        <f t="shared" si="306"/>
        <v>2.3040587831425416E-3</v>
      </c>
      <c r="BF250" s="560">
        <f>AZ250-BD250</f>
        <v>83866.473800000022</v>
      </c>
      <c r="BG250" s="604">
        <f>+BF250/BD250</f>
        <v>0.83837642034904214</v>
      </c>
      <c r="BH250" s="555"/>
    </row>
    <row r="251" spans="1:60" ht="15.75" hidden="1" customHeight="1" x14ac:dyDescent="0.3">
      <c r="A251" s="645" t="s">
        <v>588</v>
      </c>
      <c r="B251" s="634" t="s">
        <v>589</v>
      </c>
      <c r="C251" s="635"/>
      <c r="D251" s="127">
        <f>+G251+Y251+AG251+AN251</f>
        <v>0</v>
      </c>
      <c r="E251" s="620">
        <f>SUM(G251)</f>
        <v>0</v>
      </c>
      <c r="F251" s="558">
        <f>+X251+AF251+AM251+AW251</f>
        <v>0</v>
      </c>
      <c r="G251" s="20">
        <f>SUM(H251:W251)</f>
        <v>0</v>
      </c>
      <c r="H251" s="689"/>
      <c r="I251" s="689"/>
      <c r="J251" s="689"/>
      <c r="K251" s="689"/>
      <c r="L251" s="359"/>
      <c r="M251" s="360"/>
      <c r="N251" s="689"/>
      <c r="O251" s="689"/>
      <c r="P251" s="359"/>
      <c r="Q251" s="689"/>
      <c r="R251" s="360"/>
      <c r="S251" s="360"/>
      <c r="T251" s="360"/>
      <c r="U251" s="360"/>
      <c r="V251" s="360"/>
      <c r="W251" s="360"/>
      <c r="X251" s="617">
        <f>G251/1000</f>
        <v>0</v>
      </c>
      <c r="Y251" s="8">
        <f>SUM(Z251:AD251)</f>
        <v>0</v>
      </c>
      <c r="Z251" s="360"/>
      <c r="AA251" s="360"/>
      <c r="AB251" s="360"/>
      <c r="AC251" s="360"/>
      <c r="AD251" s="360"/>
      <c r="AE251" s="615"/>
      <c r="AF251" s="8">
        <f>Y251/1000</f>
        <v>0</v>
      </c>
      <c r="AG251" s="2">
        <f>SUM(AH251:AK251)</f>
        <v>0</v>
      </c>
      <c r="AH251" s="688" t="s">
        <v>0</v>
      </c>
      <c r="AI251" s="360"/>
      <c r="AJ251" s="363" t="s">
        <v>0</v>
      </c>
      <c r="AK251" s="363" t="s">
        <v>0</v>
      </c>
      <c r="AL251" s="681"/>
      <c r="AM251" s="614">
        <f>AG251/1000</f>
        <v>0</v>
      </c>
      <c r="AN251" s="30"/>
      <c r="AO251" s="329" t="s">
        <v>0</v>
      </c>
      <c r="AP251" s="687" t="s">
        <v>0</v>
      </c>
      <c r="AQ251" s="328" t="s">
        <v>0</v>
      </c>
      <c r="AR251" s="329" t="s">
        <v>0</v>
      </c>
      <c r="AS251" s="329" t="s">
        <v>0</v>
      </c>
      <c r="AT251" s="329" t="s">
        <v>0</v>
      </c>
      <c r="AU251" s="612"/>
      <c r="AV251" s="611">
        <f>AM251/$AM$7</f>
        <v>0</v>
      </c>
      <c r="AW251" s="610">
        <f>AN251/1000</f>
        <v>0</v>
      </c>
      <c r="AX251" s="609"/>
      <c r="AY251" s="608">
        <f>+F251/$F$7</f>
        <v>0</v>
      </c>
      <c r="AZ251" s="606">
        <f>+((0/7))*12/1000</f>
        <v>0</v>
      </c>
      <c r="BA251" s="608">
        <f>+AZ251/$AZ$7</f>
        <v>0</v>
      </c>
      <c r="BB251" s="560">
        <f>+F251-AZ251</f>
        <v>0</v>
      </c>
      <c r="BC251" s="607" t="e">
        <f>+BB251/AZ251</f>
        <v>#DIV/0!</v>
      </c>
      <c r="BD251" s="606"/>
      <c r="BE251" s="605">
        <f t="shared" si="306"/>
        <v>0</v>
      </c>
      <c r="BF251" s="560">
        <f>AZ251-BD251</f>
        <v>0</v>
      </c>
      <c r="BG251" s="604" t="e">
        <f>+BF251/BD251</f>
        <v>#DIV/0!</v>
      </c>
      <c r="BH251" s="555"/>
    </row>
    <row r="252" spans="1:60" ht="15.75" customHeight="1" thickBot="1" x14ac:dyDescent="0.35">
      <c r="A252" s="686"/>
      <c r="B252" s="634"/>
      <c r="C252" s="635"/>
      <c r="D252" s="20"/>
      <c r="E252" s="620"/>
      <c r="F252" s="558"/>
      <c r="G252" s="419"/>
      <c r="H252" s="685"/>
      <c r="I252" s="685"/>
      <c r="J252" s="685"/>
      <c r="K252" s="685"/>
      <c r="L252" s="230"/>
      <c r="M252" s="421"/>
      <c r="N252" s="685"/>
      <c r="O252" s="685"/>
      <c r="P252" s="230"/>
      <c r="Q252" s="685"/>
      <c r="R252" s="421"/>
      <c r="S252" s="421"/>
      <c r="T252" s="421"/>
      <c r="U252" s="421"/>
      <c r="V252" s="421"/>
      <c r="W252" s="421"/>
      <c r="X252" s="617"/>
      <c r="Y252" s="421"/>
      <c r="Z252" s="421"/>
      <c r="AA252" s="421"/>
      <c r="AB252" s="421"/>
      <c r="AC252" s="421"/>
      <c r="AD252" s="421"/>
      <c r="AE252" s="615"/>
      <c r="AF252" s="8"/>
      <c r="AG252" s="684"/>
      <c r="AH252" s="683"/>
      <c r="AI252" s="682"/>
      <c r="AJ252" s="682"/>
      <c r="AK252" s="682"/>
      <c r="AL252" s="681"/>
      <c r="AM252" s="614"/>
      <c r="AN252" s="429"/>
      <c r="AO252" s="97"/>
      <c r="AP252" s="120"/>
      <c r="AQ252" s="330"/>
      <c r="AR252" s="97"/>
      <c r="AS252" s="97"/>
      <c r="AT252" s="97"/>
      <c r="AU252" s="612"/>
      <c r="AV252" s="611"/>
      <c r="AW252" s="610"/>
      <c r="AX252" s="609"/>
      <c r="AY252" s="608"/>
      <c r="AZ252" s="606"/>
      <c r="BA252" s="608"/>
      <c r="BB252" s="560"/>
      <c r="BC252" s="607"/>
      <c r="BD252" s="606"/>
      <c r="BE252" s="605">
        <f t="shared" si="306"/>
        <v>0</v>
      </c>
      <c r="BF252" s="560"/>
      <c r="BG252" s="604"/>
      <c r="BH252" s="555"/>
    </row>
    <row r="253" spans="1:60" ht="15.75" customHeight="1" x14ac:dyDescent="0.3">
      <c r="A253" s="562" t="s">
        <v>326</v>
      </c>
      <c r="B253" s="1973" t="s">
        <v>327</v>
      </c>
      <c r="C253" s="1974"/>
      <c r="D253" s="21">
        <f>SUM(D254:D256)</f>
        <v>363830903.65999997</v>
      </c>
      <c r="E253" s="628">
        <f>SUM(G253+Y253+AG253+AN253)</f>
        <v>363830903.65999997</v>
      </c>
      <c r="F253" s="561">
        <f>F254+F255+F256</f>
        <v>98264.035000000003</v>
      </c>
      <c r="G253" s="21">
        <f>SUM(H253:W253)</f>
        <v>122061768.29000001</v>
      </c>
      <c r="H253" s="374">
        <f t="shared" ref="H253:W253" si="307">SUM(H254:H256)</f>
        <v>0</v>
      </c>
      <c r="I253" s="374">
        <f t="shared" si="307"/>
        <v>6167794</v>
      </c>
      <c r="J253" s="374">
        <f t="shared" si="307"/>
        <v>10574266.58</v>
      </c>
      <c r="K253" s="374">
        <f t="shared" si="307"/>
        <v>15100000</v>
      </c>
      <c r="L253" s="23">
        <f t="shared" si="307"/>
        <v>0</v>
      </c>
      <c r="M253" s="23">
        <f t="shared" si="307"/>
        <v>6300000</v>
      </c>
      <c r="N253" s="374">
        <f t="shared" si="307"/>
        <v>0</v>
      </c>
      <c r="O253" s="374">
        <f t="shared" si="307"/>
        <v>348795</v>
      </c>
      <c r="P253" s="23">
        <f t="shared" si="307"/>
        <v>7225950</v>
      </c>
      <c r="Q253" s="374">
        <f t="shared" si="307"/>
        <v>6300000</v>
      </c>
      <c r="R253" s="23">
        <f t="shared" si="307"/>
        <v>370388.7</v>
      </c>
      <c r="S253" s="23">
        <f t="shared" si="307"/>
        <v>23136117.370000001</v>
      </c>
      <c r="T253" s="23">
        <f t="shared" si="307"/>
        <v>6278907.7000000002</v>
      </c>
      <c r="U253" s="23">
        <f t="shared" si="307"/>
        <v>6300000</v>
      </c>
      <c r="V253" s="23">
        <f t="shared" si="307"/>
        <v>31959548.940000001</v>
      </c>
      <c r="W253" s="23">
        <f t="shared" si="307"/>
        <v>2000000</v>
      </c>
      <c r="X253" s="350">
        <f>+X254+X255+X256</f>
        <v>9414.9979999999996</v>
      </c>
      <c r="Y253" s="23">
        <f t="shared" ref="Y253:AD253" si="308">SUM(Y254:Y256)</f>
        <v>22020726.09</v>
      </c>
      <c r="Z253" s="23">
        <f t="shared" si="308"/>
        <v>6020726.0899999999</v>
      </c>
      <c r="AA253" s="23">
        <f t="shared" si="308"/>
        <v>4000000</v>
      </c>
      <c r="AB253" s="23">
        <f t="shared" si="308"/>
        <v>4000000</v>
      </c>
      <c r="AC253" s="23">
        <f t="shared" si="308"/>
        <v>4000000</v>
      </c>
      <c r="AD253" s="23">
        <f t="shared" si="308"/>
        <v>4000000</v>
      </c>
      <c r="AE253" s="615">
        <f>X253/$X$7*100</f>
        <v>0.18467485088660887</v>
      </c>
      <c r="AF253" s="10">
        <f>+AF254+AF255+AF256</f>
        <v>0</v>
      </c>
      <c r="AG253" s="2">
        <f>SUM(AG254:AG256)</f>
        <v>21352773.979999997</v>
      </c>
      <c r="AH253" s="308">
        <f>SUM(AH254:AH256)</f>
        <v>4455350.38</v>
      </c>
      <c r="AI253" s="33">
        <f>SUM(AI254:AI256)</f>
        <v>3000000</v>
      </c>
      <c r="AJ253" s="33">
        <f>SUM(AJ254:AJ256)</f>
        <v>3000000</v>
      </c>
      <c r="AK253" s="33">
        <f>SUM(AK254:AK256)</f>
        <v>10897423.6</v>
      </c>
      <c r="AL253" s="623">
        <f>(AF253/AF7)*100</f>
        <v>0</v>
      </c>
      <c r="AM253" s="623">
        <f>+AM254+AM255+AM256</f>
        <v>0</v>
      </c>
      <c r="AN253" s="34">
        <f t="shared" ref="AN253:AU253" si="309">SUM(AN254:AN256)</f>
        <v>198395635.30000001</v>
      </c>
      <c r="AO253" s="35">
        <f t="shared" si="309"/>
        <v>181750000</v>
      </c>
      <c r="AP253" s="34">
        <f t="shared" si="309"/>
        <v>16645635.299999997</v>
      </c>
      <c r="AQ253" s="305">
        <f t="shared" si="309"/>
        <v>4645635.299999997</v>
      </c>
      <c r="AR253" s="35">
        <f t="shared" si="309"/>
        <v>3000000</v>
      </c>
      <c r="AS253" s="35">
        <f t="shared" si="309"/>
        <v>5000000</v>
      </c>
      <c r="AT253" s="35">
        <f t="shared" si="309"/>
        <v>4000000</v>
      </c>
      <c r="AU253" s="622">
        <f t="shared" si="309"/>
        <v>363830903.66000003</v>
      </c>
      <c r="AV253" s="611">
        <f>AM253/$AM$7</f>
        <v>0</v>
      </c>
      <c r="AW253" s="621">
        <f>+AW254+AW255+AW256</f>
        <v>900000</v>
      </c>
      <c r="AX253" s="609">
        <f>AW253/$AW$7</f>
        <v>1.7403414744171709E-2</v>
      </c>
      <c r="AY253" s="608">
        <f>+F253/$F$7</f>
        <v>1.5102362871765827E-3</v>
      </c>
      <c r="AZ253" s="561">
        <f>AZ254+AZ255+AZ256</f>
        <v>53726.048299999995</v>
      </c>
      <c r="BA253" s="608">
        <f>+AZ253/$AZ$7</f>
        <v>1.4709995048418508E-3</v>
      </c>
      <c r="BB253" s="560">
        <f>+F253-AZ253</f>
        <v>44537.986700000009</v>
      </c>
      <c r="BC253" s="607">
        <f>+BB253/AZ253</f>
        <v>0.82898311171715211</v>
      </c>
      <c r="BD253" s="561">
        <f>BD254+BD255+BD256</f>
        <v>184516.73</v>
      </c>
      <c r="BE253" s="605">
        <f t="shared" si="306"/>
        <v>4.2499123790652495E-3</v>
      </c>
      <c r="BF253" s="560">
        <f>AZ253-BD253</f>
        <v>-130790.68170000002</v>
      </c>
      <c r="BG253" s="604">
        <f>+BF253/BD253</f>
        <v>-0.70882830895604976</v>
      </c>
      <c r="BH253" s="555"/>
    </row>
    <row r="254" spans="1:60" ht="15.75" customHeight="1" x14ac:dyDescent="0.3">
      <c r="A254" s="559" t="s">
        <v>328</v>
      </c>
      <c r="B254" s="1967" t="s">
        <v>329</v>
      </c>
      <c r="C254" s="1968"/>
      <c r="D254" s="20">
        <f>+G254+Y254+AG254+AN254</f>
        <v>5430000</v>
      </c>
      <c r="E254" s="620">
        <f>SUM(G254+Y254+AG254+AN254)</f>
        <v>5430000</v>
      </c>
      <c r="F254" s="558">
        <f>3000000/1000</f>
        <v>3000</v>
      </c>
      <c r="G254" s="20">
        <f>SUM(H254:W254)</f>
        <v>2080000</v>
      </c>
      <c r="H254" s="375"/>
      <c r="I254" s="375"/>
      <c r="J254" s="375"/>
      <c r="K254" s="375"/>
      <c r="L254" s="341"/>
      <c r="M254" s="1"/>
      <c r="N254" s="375"/>
      <c r="O254" s="375"/>
      <c r="P254" s="341"/>
      <c r="Q254" s="375"/>
      <c r="R254" s="1"/>
      <c r="S254" s="1"/>
      <c r="T254" s="1">
        <v>2080000</v>
      </c>
      <c r="U254" s="1"/>
      <c r="V254" s="1"/>
      <c r="W254" s="1"/>
      <c r="X254" s="617">
        <f>+'[3]Egresos -2015 '!$Z$253</f>
        <v>2000</v>
      </c>
      <c r="Y254" s="8">
        <f>SUM(Z254:AD254)</f>
        <v>0</v>
      </c>
      <c r="Z254" s="1"/>
      <c r="AA254" s="1"/>
      <c r="AB254" s="1"/>
      <c r="AC254" s="1"/>
      <c r="AD254" s="1"/>
      <c r="AE254" s="642">
        <f>X254/$X$7*100</f>
        <v>3.9229928861718055E-2</v>
      </c>
      <c r="AF254" s="8">
        <f>Y254/1000</f>
        <v>0</v>
      </c>
      <c r="AG254" s="2">
        <f>SUM(AH254:AK254)</f>
        <v>0</v>
      </c>
      <c r="AH254" s="636">
        <v>0</v>
      </c>
      <c r="AI254" s="9">
        <v>0</v>
      </c>
      <c r="AJ254" s="35">
        <v>0</v>
      </c>
      <c r="AK254" s="35">
        <v>0</v>
      </c>
      <c r="AL254" s="614"/>
      <c r="AM254" s="614">
        <f>AG254/1000</f>
        <v>0</v>
      </c>
      <c r="AN254" s="30">
        <f>SUM(AO254+AP254)</f>
        <v>3350000</v>
      </c>
      <c r="AO254" s="35">
        <v>2150000</v>
      </c>
      <c r="AP254" s="613">
        <f>SUM(AQ254:AT254)</f>
        <v>1200000</v>
      </c>
      <c r="AQ254" s="305">
        <v>1200000</v>
      </c>
      <c r="AR254" s="35">
        <v>0</v>
      </c>
      <c r="AS254" s="35">
        <v>0</v>
      </c>
      <c r="AT254" s="35">
        <v>0</v>
      </c>
      <c r="AU254" s="612">
        <f>SUM(AN254+AG254+Y254+G254)</f>
        <v>5430000</v>
      </c>
      <c r="AV254" s="611">
        <f>AM254/$AM$7</f>
        <v>0</v>
      </c>
      <c r="AW254" s="610">
        <v>0</v>
      </c>
      <c r="AX254" s="609">
        <f>AW254/$AW$7</f>
        <v>0</v>
      </c>
      <c r="AY254" s="608">
        <f>+F254/$F$7</f>
        <v>4.6107498654311803E-5</v>
      </c>
      <c r="AZ254" s="606">
        <f>+((2037805.5/6))*12/1000</f>
        <v>4075.6109999999999</v>
      </c>
      <c r="BA254" s="608">
        <f>+AZ254/$AZ$7</f>
        <v>1.1158873493638282E-4</v>
      </c>
      <c r="BB254" s="560">
        <f>+F254-AZ254</f>
        <v>-1075.6109999999999</v>
      </c>
      <c r="BC254" s="607">
        <v>0</v>
      </c>
      <c r="BD254" s="606">
        <v>0</v>
      </c>
      <c r="BE254" s="605">
        <f t="shared" si="306"/>
        <v>0</v>
      </c>
      <c r="BF254" s="560">
        <f>AZ254-BD254</f>
        <v>4075.6109999999999</v>
      </c>
      <c r="BG254" s="604">
        <v>0</v>
      </c>
      <c r="BH254" s="555"/>
    </row>
    <row r="255" spans="1:60" ht="15.75" customHeight="1" x14ac:dyDescent="0.3">
      <c r="A255" s="559" t="s">
        <v>330</v>
      </c>
      <c r="B255" s="1967" t="s">
        <v>331</v>
      </c>
      <c r="C255" s="1968"/>
      <c r="D255" s="20">
        <f>+G255+Y255+AG255+AN255</f>
        <v>7000000</v>
      </c>
      <c r="E255" s="620">
        <f>SUM(G255+Y255+AG255+AN255)</f>
        <v>7000000</v>
      </c>
      <c r="F255" s="558">
        <f>4000000/1000</f>
        <v>4000</v>
      </c>
      <c r="G255" s="20">
        <f>SUM(H255:W255)</f>
        <v>7000000</v>
      </c>
      <c r="H255" s="375"/>
      <c r="I255" s="375"/>
      <c r="J255" s="375"/>
      <c r="K255" s="375">
        <v>7000000</v>
      </c>
      <c r="L255" s="341">
        <v>0</v>
      </c>
      <c r="M255" s="1"/>
      <c r="N255" s="375"/>
      <c r="O255" s="375"/>
      <c r="P255" s="341"/>
      <c r="Q255" s="375"/>
      <c r="R255" s="1"/>
      <c r="S255" s="1"/>
      <c r="T255" s="1"/>
      <c r="U255" s="1"/>
      <c r="V255" s="1"/>
      <c r="W255" s="1"/>
      <c r="X255" s="617">
        <f>+'[3]Egresos -2015 '!$Z$254</f>
        <v>7000</v>
      </c>
      <c r="Y255" s="8">
        <f>SUM(Z255:AD255)</f>
        <v>0</v>
      </c>
      <c r="Z255" s="1"/>
      <c r="AA255" s="1"/>
      <c r="AB255" s="1"/>
      <c r="AC255" s="1"/>
      <c r="AD255" s="1"/>
      <c r="AE255" s="642">
        <f>X255/$X$7*100</f>
        <v>0.13730475101601319</v>
      </c>
      <c r="AF255" s="8">
        <f>Y255/1000</f>
        <v>0</v>
      </c>
      <c r="AG255" s="2">
        <f>SUM(AH255:AK255)</f>
        <v>0</v>
      </c>
      <c r="AH255" s="309">
        <v>0</v>
      </c>
      <c r="AI255" s="13">
        <v>0</v>
      </c>
      <c r="AJ255" s="35">
        <v>0</v>
      </c>
      <c r="AK255" s="35">
        <v>0</v>
      </c>
      <c r="AL255" s="614"/>
      <c r="AM255" s="614">
        <f>AG255/1000</f>
        <v>0</v>
      </c>
      <c r="AN255" s="30">
        <f>SUM(AO255+AP255)</f>
        <v>0</v>
      </c>
      <c r="AO255" s="35">
        <v>0</v>
      </c>
      <c r="AP255" s="613">
        <f>SUM(AQ255:AT255)</f>
        <v>0</v>
      </c>
      <c r="AQ255" s="305">
        <v>0</v>
      </c>
      <c r="AR255" s="35">
        <v>0</v>
      </c>
      <c r="AS255" s="35">
        <v>0</v>
      </c>
      <c r="AT255" s="35">
        <v>0</v>
      </c>
      <c r="AU255" s="612">
        <f>SUM(AN255+AG255+Y255+G255)</f>
        <v>7000000</v>
      </c>
      <c r="AV255" s="611">
        <f>AM255/$AM$7</f>
        <v>0</v>
      </c>
      <c r="AW255" s="610">
        <v>0</v>
      </c>
      <c r="AX255" s="609"/>
      <c r="AY255" s="608">
        <f>+F255/$F$7</f>
        <v>6.1476664872415742E-5</v>
      </c>
      <c r="AZ255" s="606">
        <f>+((1011188.95/6))*12/1000</f>
        <v>2022.3779</v>
      </c>
      <c r="BA255" s="608">
        <f>+AZ255/$AZ$7</f>
        <v>5.5371965436421321E-5</v>
      </c>
      <c r="BB255" s="560">
        <f>+F255-AZ255</f>
        <v>1977.6221</v>
      </c>
      <c r="BC255" s="607">
        <f>+BB255/AZ255</f>
        <v>0.97786971465619754</v>
      </c>
      <c r="BD255" s="606">
        <v>3018.45</v>
      </c>
      <c r="BE255" s="605">
        <f t="shared" si="306"/>
        <v>6.9522953396093128E-5</v>
      </c>
      <c r="BF255" s="560">
        <f>AZ255-BD255</f>
        <v>-996.07209999999986</v>
      </c>
      <c r="BG255" s="604">
        <f>+BF255/BD255</f>
        <v>-0.32999456674783412</v>
      </c>
      <c r="BH255" s="555"/>
    </row>
    <row r="256" spans="1:60" s="567" customFormat="1" ht="15.75" customHeight="1" x14ac:dyDescent="0.3">
      <c r="A256" s="645" t="s">
        <v>332</v>
      </c>
      <c r="B256" s="1903" t="s">
        <v>333</v>
      </c>
      <c r="C256" s="1980"/>
      <c r="D256" s="20">
        <f>+G256+Y256+AG256+AN256</f>
        <v>351400903.65999997</v>
      </c>
      <c r="E256" s="98">
        <f>SUM(G256+Y256+AG256+AN256)</f>
        <v>351400903.65999997</v>
      </c>
      <c r="F256" s="558">
        <f>91264035/1000</f>
        <v>91264.035000000003</v>
      </c>
      <c r="G256" s="20">
        <f>SUM(H256:W256)</f>
        <v>112981768.29000001</v>
      </c>
      <c r="H256" s="341"/>
      <c r="I256" s="341">
        <v>6167794</v>
      </c>
      <c r="J256" s="341">
        <v>10574266.58</v>
      </c>
      <c r="K256" s="341">
        <v>8100000</v>
      </c>
      <c r="L256" s="341">
        <v>0</v>
      </c>
      <c r="M256" s="1">
        <v>6300000</v>
      </c>
      <c r="N256" s="341"/>
      <c r="O256" s="341">
        <v>348795</v>
      </c>
      <c r="P256" s="341">
        <v>7225950</v>
      </c>
      <c r="Q256" s="341">
        <v>6300000</v>
      </c>
      <c r="R256" s="1">
        <v>370388.7</v>
      </c>
      <c r="S256" s="1">
        <v>23136117.370000001</v>
      </c>
      <c r="T256" s="1">
        <v>4198907.7</v>
      </c>
      <c r="U256" s="1">
        <v>6300000</v>
      </c>
      <c r="V256" s="1">
        <v>31959548.940000001</v>
      </c>
      <c r="W256" s="1">
        <v>2000000</v>
      </c>
      <c r="X256" s="617">
        <f>+'[3]Egresos -2015 '!$Z$255</f>
        <v>414.99799999999999</v>
      </c>
      <c r="Y256" s="8">
        <f>SUM(Z256:AD256)</f>
        <v>22020726.09</v>
      </c>
      <c r="Z256" s="1">
        <f>22020726.09-16000000</f>
        <v>6020726.0899999999</v>
      </c>
      <c r="AA256" s="1">
        <v>4000000</v>
      </c>
      <c r="AB256" s="1">
        <v>4000000</v>
      </c>
      <c r="AC256" s="1">
        <v>4000000</v>
      </c>
      <c r="AD256" s="1">
        <v>4000000</v>
      </c>
      <c r="AE256" s="642">
        <f>X256/$X$7*100</f>
        <v>8.1401710088776346E-3</v>
      </c>
      <c r="AF256" s="8">
        <v>0</v>
      </c>
      <c r="AG256" s="2">
        <f>SUM(AH256:AK256)</f>
        <v>21352773.979999997</v>
      </c>
      <c r="AH256" s="309">
        <v>4455350.38</v>
      </c>
      <c r="AI256" s="13">
        <v>3000000</v>
      </c>
      <c r="AJ256" s="35">
        <v>3000000</v>
      </c>
      <c r="AK256" s="35">
        <v>10897423.6</v>
      </c>
      <c r="AL256" s="614">
        <f>(AF256/AF7)*100</f>
        <v>0</v>
      </c>
      <c r="AM256" s="614">
        <v>0</v>
      </c>
      <c r="AN256" s="30">
        <f>SUM(AO256+AP256)</f>
        <v>195045635.30000001</v>
      </c>
      <c r="AO256" s="678">
        <v>179600000</v>
      </c>
      <c r="AP256" s="613">
        <f>SUM(AQ256:AT256)</f>
        <v>15445635.299999997</v>
      </c>
      <c r="AQ256" s="679">
        <f>65445635.3-50000000-8000000-4000000</f>
        <v>3445635.299999997</v>
      </c>
      <c r="AR256" s="678">
        <v>3000000</v>
      </c>
      <c r="AS256" s="35">
        <v>5000000</v>
      </c>
      <c r="AT256" s="35">
        <v>4000000</v>
      </c>
      <c r="AU256" s="612">
        <f>SUM(AN256+AG256+Y256+G256)</f>
        <v>351400903.66000003</v>
      </c>
      <c r="AV256" s="611">
        <f>AM256/$AM$7</f>
        <v>0</v>
      </c>
      <c r="AW256" s="610">
        <f>+'[2]Egresos -2015 '!$AO$255</f>
        <v>900000</v>
      </c>
      <c r="AX256" s="609">
        <f>AW256/$AW$7</f>
        <v>1.7403414744171709E-2</v>
      </c>
      <c r="AY256" s="608">
        <f>+F256/$F$7</f>
        <v>1.4026521236498552E-3</v>
      </c>
      <c r="AZ256" s="606">
        <f>+((23814029.7/6))*12/1000</f>
        <v>47628.059399999998</v>
      </c>
      <c r="BA256" s="608">
        <f>+AZ256/$AZ$7</f>
        <v>1.3040388044690467E-3</v>
      </c>
      <c r="BB256" s="560">
        <f>+F256-AZ256</f>
        <v>43635.975600000005</v>
      </c>
      <c r="BC256" s="607">
        <f>+BB256/AZ256</f>
        <v>0.91618210251917187</v>
      </c>
      <c r="BD256" s="606">
        <v>181498.28</v>
      </c>
      <c r="BE256" s="605">
        <f t="shared" si="306"/>
        <v>4.1803894256691558E-3</v>
      </c>
      <c r="BF256" s="560">
        <f>AZ256-BD256</f>
        <v>-133870.2206</v>
      </c>
      <c r="BG256" s="604">
        <f>+BF256/BD256</f>
        <v>-0.73758396277915139</v>
      </c>
      <c r="BH256" s="666"/>
    </row>
    <row r="257" spans="1:60" ht="15.75" customHeight="1" x14ac:dyDescent="0.3">
      <c r="A257" s="645"/>
      <c r="B257" s="463"/>
      <c r="C257" s="644"/>
      <c r="D257" s="20"/>
      <c r="E257" s="98"/>
      <c r="F257" s="558"/>
      <c r="G257" s="20"/>
      <c r="H257" s="341"/>
      <c r="I257" s="341"/>
      <c r="J257" s="341"/>
      <c r="K257" s="341"/>
      <c r="L257" s="341"/>
      <c r="M257" s="1"/>
      <c r="N257" s="341"/>
      <c r="O257" s="341"/>
      <c r="P257" s="341"/>
      <c r="Q257" s="341"/>
      <c r="R257" s="1"/>
      <c r="S257" s="1"/>
      <c r="T257" s="1"/>
      <c r="U257" s="1"/>
      <c r="V257" s="1"/>
      <c r="W257" s="1"/>
      <c r="X257" s="617"/>
      <c r="Y257" s="1"/>
      <c r="Z257" s="1"/>
      <c r="AA257" s="1"/>
      <c r="AB257" s="1"/>
      <c r="AC257" s="1"/>
      <c r="AD257" s="1"/>
      <c r="AE257" s="615"/>
      <c r="AF257" s="8"/>
      <c r="AG257" s="2"/>
      <c r="AH257" s="309"/>
      <c r="AI257" s="13"/>
      <c r="AJ257" s="35"/>
      <c r="AK257" s="35"/>
      <c r="AL257" s="614"/>
      <c r="AM257" s="614"/>
      <c r="AN257" s="34"/>
      <c r="AO257" s="35"/>
      <c r="AP257" s="34"/>
      <c r="AQ257" s="305"/>
      <c r="AR257" s="35"/>
      <c r="AS257" s="35"/>
      <c r="AT257" s="35"/>
      <c r="AU257" s="612"/>
      <c r="AV257" s="611"/>
      <c r="AW257" s="610"/>
      <c r="AX257" s="609"/>
      <c r="AY257" s="608"/>
      <c r="AZ257" s="606"/>
      <c r="BA257" s="608"/>
      <c r="BB257" s="560"/>
      <c r="BC257" s="607"/>
      <c r="BD257" s="606"/>
      <c r="BE257" s="605"/>
      <c r="BF257" s="560"/>
      <c r="BG257" s="604"/>
      <c r="BH257" s="555"/>
    </row>
    <row r="258" spans="1:60" s="567" customFormat="1" ht="15.75" customHeight="1" x14ac:dyDescent="0.3">
      <c r="A258" s="676" t="s">
        <v>334</v>
      </c>
      <c r="B258" s="1912" t="s">
        <v>335</v>
      </c>
      <c r="C258" s="1986"/>
      <c r="D258" s="21">
        <f>SUM(D260:D262)</f>
        <v>214000000</v>
      </c>
      <c r="E258" s="71">
        <f>SUM(G258+Y258+AG258+AN258)</f>
        <v>214000000</v>
      </c>
      <c r="F258" s="561">
        <f>F259+F260</f>
        <v>355994.34499999997</v>
      </c>
      <c r="G258" s="21">
        <f>SUM(H258:W258)</f>
        <v>200000000</v>
      </c>
      <c r="H258" s="23">
        <f t="shared" ref="H258:W258" si="310">SUM(H260:H262)</f>
        <v>0</v>
      </c>
      <c r="I258" s="23">
        <f t="shared" si="310"/>
        <v>0</v>
      </c>
      <c r="J258" s="23">
        <f t="shared" si="310"/>
        <v>0</v>
      </c>
      <c r="K258" s="23">
        <f t="shared" si="310"/>
        <v>0</v>
      </c>
      <c r="L258" s="23">
        <f t="shared" si="310"/>
        <v>0</v>
      </c>
      <c r="M258" s="23">
        <f t="shared" si="310"/>
        <v>0</v>
      </c>
      <c r="N258" s="23">
        <f t="shared" si="310"/>
        <v>0</v>
      </c>
      <c r="O258" s="23">
        <f t="shared" si="310"/>
        <v>0</v>
      </c>
      <c r="P258" s="23">
        <f t="shared" si="310"/>
        <v>0</v>
      </c>
      <c r="Q258" s="23">
        <f t="shared" si="310"/>
        <v>0</v>
      </c>
      <c r="R258" s="23">
        <f t="shared" si="310"/>
        <v>0</v>
      </c>
      <c r="S258" s="23">
        <f t="shared" si="310"/>
        <v>0</v>
      </c>
      <c r="T258" s="23">
        <f t="shared" si="310"/>
        <v>200000000</v>
      </c>
      <c r="U258" s="23">
        <f t="shared" si="310"/>
        <v>0</v>
      </c>
      <c r="V258" s="23">
        <f t="shared" si="310"/>
        <v>0</v>
      </c>
      <c r="W258" s="23">
        <f t="shared" si="310"/>
        <v>0</v>
      </c>
      <c r="X258" s="350">
        <f>+X260</f>
        <v>33800</v>
      </c>
      <c r="Y258" s="23">
        <f t="shared" ref="Y258:AD258" si="311">SUM(Y260:Y262)</f>
        <v>0</v>
      </c>
      <c r="Z258" s="23">
        <f t="shared" si="311"/>
        <v>0</v>
      </c>
      <c r="AA258" s="23">
        <f t="shared" si="311"/>
        <v>0</v>
      </c>
      <c r="AB258" s="23">
        <f t="shared" si="311"/>
        <v>0</v>
      </c>
      <c r="AC258" s="23">
        <f t="shared" si="311"/>
        <v>0</v>
      </c>
      <c r="AD258" s="23">
        <f t="shared" si="311"/>
        <v>0</v>
      </c>
      <c r="AE258" s="615">
        <f>X258/$X$7*100</f>
        <v>0.66298579776303512</v>
      </c>
      <c r="AF258" s="10">
        <f>+AF260</f>
        <v>12300</v>
      </c>
      <c r="AG258" s="2">
        <f>SUM(AG260)</f>
        <v>0</v>
      </c>
      <c r="AH258" s="309">
        <v>0</v>
      </c>
      <c r="AI258" s="13">
        <v>0</v>
      </c>
      <c r="AJ258" s="33">
        <f>SUM(AJ260:AJ262)</f>
        <v>0</v>
      </c>
      <c r="AK258" s="33">
        <f>SUM(AK260:AK262)</f>
        <v>0</v>
      </c>
      <c r="AL258" s="623"/>
      <c r="AM258" s="623">
        <f>+AM260</f>
        <v>5500</v>
      </c>
      <c r="AN258" s="34">
        <f t="shared" ref="AN258:AU258" si="312">SUM(AN260:AN262)</f>
        <v>14000000</v>
      </c>
      <c r="AO258" s="678">
        <f t="shared" si="312"/>
        <v>14000000</v>
      </c>
      <c r="AP258" s="675">
        <f t="shared" si="312"/>
        <v>0</v>
      </c>
      <c r="AQ258" s="679">
        <f t="shared" si="312"/>
        <v>0</v>
      </c>
      <c r="AR258" s="678">
        <f t="shared" si="312"/>
        <v>0</v>
      </c>
      <c r="AS258" s="678">
        <f t="shared" si="312"/>
        <v>0</v>
      </c>
      <c r="AT258" s="678">
        <f t="shared" si="312"/>
        <v>0</v>
      </c>
      <c r="AU258" s="622">
        <f t="shared" si="312"/>
        <v>214000000</v>
      </c>
      <c r="AV258" s="611">
        <f>AM258/$AM$7</f>
        <v>4.7945950753579492E-4</v>
      </c>
      <c r="AW258" s="621">
        <f>+AW260</f>
        <v>12300</v>
      </c>
      <c r="AX258" s="609">
        <f>AW258/$AW$7</f>
        <v>2.3784666817034671E-4</v>
      </c>
      <c r="AY258" s="608">
        <f>+F258/$F$7</f>
        <v>5.4713362610100368E-3</v>
      </c>
      <c r="AZ258" s="561">
        <f>AZ259+AZ260</f>
        <v>71285.468580000001</v>
      </c>
      <c r="BA258" s="608">
        <f>+AZ258/$AZ$7</f>
        <v>1.9517699942878421E-3</v>
      </c>
      <c r="BB258" s="560">
        <f>+F258-AZ258</f>
        <v>284708.87641999999</v>
      </c>
      <c r="BC258" s="607">
        <f>+BB258/AZ258</f>
        <v>3.99392586022614</v>
      </c>
      <c r="BD258" s="561">
        <f>BD259+BD260</f>
        <v>70839.116999999998</v>
      </c>
      <c r="BE258" s="605">
        <f t="shared" ref="BE258:BE269" si="313">+BD258/$BD$7</f>
        <v>1.6316137851584054E-3</v>
      </c>
      <c r="BF258" s="560">
        <f>AZ258-BD258</f>
        <v>446.35158000000229</v>
      </c>
      <c r="BG258" s="604">
        <f>+BF258/BD258</f>
        <v>6.300919589384525E-3</v>
      </c>
      <c r="BH258" s="666"/>
    </row>
    <row r="259" spans="1:60" s="567" customFormat="1" ht="15.75" customHeight="1" x14ac:dyDescent="0.3">
      <c r="A259" s="645" t="s">
        <v>336</v>
      </c>
      <c r="B259" s="463" t="s">
        <v>945</v>
      </c>
      <c r="C259" s="680"/>
      <c r="D259" s="21"/>
      <c r="E259" s="71"/>
      <c r="F259" s="558">
        <f>135500000/1000</f>
        <v>135500</v>
      </c>
      <c r="G259" s="21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350"/>
      <c r="Y259" s="23"/>
      <c r="Z259" s="23"/>
      <c r="AA259" s="23"/>
      <c r="AB259" s="23"/>
      <c r="AC259" s="23"/>
      <c r="AD259" s="23"/>
      <c r="AE259" s="615"/>
      <c r="AF259" s="10"/>
      <c r="AG259" s="2"/>
      <c r="AH259" s="309"/>
      <c r="AI259" s="13"/>
      <c r="AJ259" s="33"/>
      <c r="AK259" s="33"/>
      <c r="AL259" s="623"/>
      <c r="AM259" s="623"/>
      <c r="AN259" s="34"/>
      <c r="AO259" s="678"/>
      <c r="AP259" s="675"/>
      <c r="AQ259" s="679"/>
      <c r="AR259" s="678"/>
      <c r="AS259" s="678"/>
      <c r="AT259" s="678"/>
      <c r="AU259" s="622"/>
      <c r="AV259" s="611"/>
      <c r="AW259" s="621"/>
      <c r="AX259" s="609"/>
      <c r="AY259" s="608">
        <f>+F259/$F$7</f>
        <v>2.0825220225530829E-3</v>
      </c>
      <c r="AZ259" s="606">
        <f>+((21735470.44/6))*12/1000</f>
        <v>43470.940880000002</v>
      </c>
      <c r="BA259" s="608">
        <f>+AZ259/$AZ$7</f>
        <v>1.1902184235182132E-3</v>
      </c>
      <c r="BB259" s="560">
        <v>0</v>
      </c>
      <c r="BC259" s="607">
        <f>+BB259/AZ259</f>
        <v>0</v>
      </c>
      <c r="BD259" s="606">
        <v>57465.711000000003</v>
      </c>
      <c r="BE259" s="605">
        <f t="shared" si="313"/>
        <v>1.3235885794783272E-3</v>
      </c>
      <c r="BF259" s="560">
        <f>AZ259-BD259</f>
        <v>-13994.770120000001</v>
      </c>
      <c r="BG259" s="604">
        <f>+BF259/BD259</f>
        <v>-0.24353253229565019</v>
      </c>
      <c r="BH259" s="666"/>
    </row>
    <row r="260" spans="1:60" s="567" customFormat="1" ht="15.75" customHeight="1" x14ac:dyDescent="0.3">
      <c r="A260" s="645" t="s">
        <v>658</v>
      </c>
      <c r="B260" s="1903" t="s">
        <v>659</v>
      </c>
      <c r="C260" s="1980"/>
      <c r="D260" s="20">
        <f>+G260+Y260+AG260+AN260</f>
        <v>214000000</v>
      </c>
      <c r="E260" s="98">
        <f>SUM(G260+Y260+AG260+AN260)</f>
        <v>214000000</v>
      </c>
      <c r="F260" s="558">
        <f>220494345/1000</f>
        <v>220494.345</v>
      </c>
      <c r="G260" s="20">
        <f>SUM(H260:W260)</f>
        <v>200000000</v>
      </c>
      <c r="H260" s="341"/>
      <c r="I260" s="341"/>
      <c r="J260" s="341"/>
      <c r="K260" s="341"/>
      <c r="L260" s="341"/>
      <c r="M260" s="1"/>
      <c r="N260" s="341"/>
      <c r="O260" s="341"/>
      <c r="P260" s="341"/>
      <c r="Q260" s="341"/>
      <c r="R260" s="1"/>
      <c r="S260" s="1"/>
      <c r="T260" s="1">
        <v>200000000</v>
      </c>
      <c r="U260" s="1"/>
      <c r="V260" s="1"/>
      <c r="W260" s="1"/>
      <c r="X260" s="617">
        <f>+'[3]Egresos -2015 '!$Z$259</f>
        <v>33800</v>
      </c>
      <c r="Y260" s="8">
        <f>SUM(Z260:AD260)</f>
        <v>0</v>
      </c>
      <c r="Z260" s="1"/>
      <c r="AA260" s="1"/>
      <c r="AB260" s="1"/>
      <c r="AC260" s="1"/>
      <c r="AD260" s="1"/>
      <c r="AE260" s="642">
        <f>X260/$X$7*100</f>
        <v>0.66298579776303512</v>
      </c>
      <c r="AF260" s="8">
        <f>+'[2]Egresos -2015 '!$AG$259</f>
        <v>12300</v>
      </c>
      <c r="AG260" s="2">
        <f>SUM(AH260:AK260)</f>
        <v>0</v>
      </c>
      <c r="AH260" s="309">
        <v>0</v>
      </c>
      <c r="AI260" s="13">
        <v>0</v>
      </c>
      <c r="AJ260" s="35">
        <v>0</v>
      </c>
      <c r="AK260" s="35">
        <v>0</v>
      </c>
      <c r="AL260" s="614"/>
      <c r="AM260" s="614">
        <f>+'[2]Egresos -2015 '!$AM$259</f>
        <v>5500</v>
      </c>
      <c r="AN260" s="30">
        <f>SUM(AO260+AP260)</f>
        <v>14000000</v>
      </c>
      <c r="AO260" s="678">
        <v>14000000</v>
      </c>
      <c r="AP260" s="613">
        <f>SUM(AQ260:AT260)</f>
        <v>0</v>
      </c>
      <c r="AQ260" s="679">
        <v>0</v>
      </c>
      <c r="AR260" s="678">
        <v>0</v>
      </c>
      <c r="AS260" s="678">
        <v>0</v>
      </c>
      <c r="AT260" s="678">
        <v>0</v>
      </c>
      <c r="AU260" s="612">
        <f>SUM(AN260+AG260+Y260+G260)</f>
        <v>214000000</v>
      </c>
      <c r="AV260" s="611">
        <f>AM260/$AM$7</f>
        <v>4.7945950753579492E-4</v>
      </c>
      <c r="AW260" s="610">
        <f>+'[2]Egresos -2015 '!$AO$259</f>
        <v>12300</v>
      </c>
      <c r="AX260" s="609">
        <f>AW260/$AW$7</f>
        <v>2.3784666817034671E-4</v>
      </c>
      <c r="AY260" s="608">
        <f>+F260/$F$7</f>
        <v>3.3888142384569542E-3</v>
      </c>
      <c r="AZ260" s="606">
        <f>+((13907263.85/6))*12/1000</f>
        <v>27814.527699999995</v>
      </c>
      <c r="BA260" s="608">
        <f>+AZ260/$AZ$7</f>
        <v>7.6155157076962868E-4</v>
      </c>
      <c r="BB260" s="560">
        <f>+F260-AZ260</f>
        <v>192679.8173</v>
      </c>
      <c r="BC260" s="607">
        <f>+BB260/AZ260</f>
        <v>6.9273086129015962</v>
      </c>
      <c r="BD260" s="606">
        <v>13373.406000000001</v>
      </c>
      <c r="BE260" s="605">
        <f t="shared" si="313"/>
        <v>3.0802520568007829E-4</v>
      </c>
      <c r="BF260" s="560">
        <f>AZ260-BD260</f>
        <v>14441.121699999994</v>
      </c>
      <c r="BG260" s="604">
        <v>0</v>
      </c>
      <c r="BH260" s="666"/>
    </row>
    <row r="261" spans="1:60" s="567" customFormat="1" ht="15.75" hidden="1" customHeight="1" x14ac:dyDescent="0.3">
      <c r="A261" s="645" t="s">
        <v>926</v>
      </c>
      <c r="B261" s="1903" t="s">
        <v>925</v>
      </c>
      <c r="C261" s="1980"/>
      <c r="D261" s="20">
        <f>+G261+Y261+AG261+AN261</f>
        <v>0</v>
      </c>
      <c r="E261" s="98">
        <f>SUM(G261+Y261+AG261+AN261)</f>
        <v>0</v>
      </c>
      <c r="F261" s="558">
        <f>+X261+AF261+AM261+AW261</f>
        <v>0</v>
      </c>
      <c r="G261" s="21">
        <f>SUM(H261:W261)</f>
        <v>0</v>
      </c>
      <c r="H261" s="341"/>
      <c r="I261" s="341"/>
      <c r="J261" s="341"/>
      <c r="K261" s="341"/>
      <c r="L261" s="341"/>
      <c r="M261" s="1"/>
      <c r="N261" s="341"/>
      <c r="O261" s="341"/>
      <c r="P261" s="341"/>
      <c r="Q261" s="341"/>
      <c r="R261" s="1"/>
      <c r="S261" s="1"/>
      <c r="T261" s="1"/>
      <c r="U261" s="1"/>
      <c r="V261" s="1"/>
      <c r="W261" s="1"/>
      <c r="X261" s="617">
        <f>G261/1000</f>
        <v>0</v>
      </c>
      <c r="Y261" s="1"/>
      <c r="Z261" s="1"/>
      <c r="AA261" s="1"/>
      <c r="AB261" s="1"/>
      <c r="AC261" s="1"/>
      <c r="AD261" s="1"/>
      <c r="AE261" s="615">
        <f>X261/$X$7*100</f>
        <v>0</v>
      </c>
      <c r="AF261" s="8">
        <f>Y261/1000</f>
        <v>0</v>
      </c>
      <c r="AG261" s="2">
        <f>SUM(AH261:AJ261)</f>
        <v>0</v>
      </c>
      <c r="AH261" s="309"/>
      <c r="AI261" s="5"/>
      <c r="AJ261" s="35">
        <v>0</v>
      </c>
      <c r="AK261" s="35">
        <v>0</v>
      </c>
      <c r="AL261" s="614"/>
      <c r="AM261" s="614">
        <f>AG261/1000</f>
        <v>0</v>
      </c>
      <c r="AN261" s="34">
        <v>0</v>
      </c>
      <c r="AO261" s="678">
        <v>0</v>
      </c>
      <c r="AP261" s="675">
        <v>0</v>
      </c>
      <c r="AQ261" s="679">
        <v>0</v>
      </c>
      <c r="AR261" s="678">
        <v>0</v>
      </c>
      <c r="AS261" s="678">
        <v>0</v>
      </c>
      <c r="AT261" s="678">
        <v>0</v>
      </c>
      <c r="AU261" s="612">
        <v>0</v>
      </c>
      <c r="AV261" s="611">
        <f>AM261/$AM$7</f>
        <v>0</v>
      </c>
      <c r="AW261" s="610">
        <f>AN261/1000</f>
        <v>0</v>
      </c>
      <c r="AX261" s="609">
        <f>AW261/$AW$7</f>
        <v>0</v>
      </c>
      <c r="AY261" s="608">
        <f>+F261/$F$7</f>
        <v>0</v>
      </c>
      <c r="AZ261" s="606">
        <f>+((0/7))*12/1000</f>
        <v>0</v>
      </c>
      <c r="BA261" s="608">
        <f>+AZ261/$AZ$7</f>
        <v>0</v>
      </c>
      <c r="BB261" s="560">
        <f>+F261-AZ261</f>
        <v>0</v>
      </c>
      <c r="BC261" s="607" t="e">
        <f>+BB261/AZ261</f>
        <v>#DIV/0!</v>
      </c>
      <c r="BD261" s="606"/>
      <c r="BE261" s="605">
        <f t="shared" si="313"/>
        <v>0</v>
      </c>
      <c r="BF261" s="560">
        <f>AZ261-BD261</f>
        <v>0</v>
      </c>
      <c r="BG261" s="604" t="e">
        <f>+BF261/BD261</f>
        <v>#DIV/0!</v>
      </c>
      <c r="BH261" s="666"/>
    </row>
    <row r="262" spans="1:60" s="567" customFormat="1" ht="15.75" hidden="1" customHeight="1" x14ac:dyDescent="0.3">
      <c r="A262" s="645" t="s">
        <v>924</v>
      </c>
      <c r="B262" s="1903" t="s">
        <v>923</v>
      </c>
      <c r="C262" s="1980"/>
      <c r="D262" s="20">
        <f>+G262+Y262+AG262+AN262</f>
        <v>0</v>
      </c>
      <c r="E262" s="98">
        <f>SUM(G262+Y262+AG262+AN262)</f>
        <v>0</v>
      </c>
      <c r="F262" s="558">
        <f>+X262+AF262+AM262+AW262</f>
        <v>0</v>
      </c>
      <c r="G262" s="21">
        <f>SUM(H262:W262)</f>
        <v>0</v>
      </c>
      <c r="H262" s="341"/>
      <c r="I262" s="341"/>
      <c r="J262" s="341"/>
      <c r="K262" s="341"/>
      <c r="L262" s="341"/>
      <c r="M262" s="1"/>
      <c r="N262" s="341"/>
      <c r="O262" s="341"/>
      <c r="P262" s="341"/>
      <c r="Q262" s="341"/>
      <c r="R262" s="1"/>
      <c r="S262" s="1"/>
      <c r="T262" s="1"/>
      <c r="U262" s="1"/>
      <c r="V262" s="1"/>
      <c r="W262" s="1"/>
      <c r="X262" s="617">
        <f>G262/1000</f>
        <v>0</v>
      </c>
      <c r="Y262" s="1"/>
      <c r="Z262" s="1"/>
      <c r="AA262" s="1"/>
      <c r="AB262" s="1"/>
      <c r="AC262" s="1"/>
      <c r="AD262" s="1"/>
      <c r="AE262" s="615">
        <f>X262/$X$7*100</f>
        <v>0</v>
      </c>
      <c r="AF262" s="8">
        <f>Y262/1000</f>
        <v>0</v>
      </c>
      <c r="AG262" s="2">
        <f>SUM(AH262:AJ262)</f>
        <v>0</v>
      </c>
      <c r="AH262" s="636">
        <f>SUM(AH263:AH265)</f>
        <v>0</v>
      </c>
      <c r="AI262" s="9">
        <f>SUM(AI263:AI265)</f>
        <v>0</v>
      </c>
      <c r="AJ262" s="35">
        <v>0</v>
      </c>
      <c r="AK262" s="35">
        <v>0</v>
      </c>
      <c r="AL262" s="614"/>
      <c r="AM262" s="614">
        <f>AG262/1000</f>
        <v>0</v>
      </c>
      <c r="AN262" s="34">
        <v>0</v>
      </c>
      <c r="AO262" s="678">
        <v>0</v>
      </c>
      <c r="AP262" s="675">
        <v>0</v>
      </c>
      <c r="AQ262" s="679">
        <v>0</v>
      </c>
      <c r="AR262" s="678">
        <v>0</v>
      </c>
      <c r="AS262" s="678">
        <v>0</v>
      </c>
      <c r="AT262" s="678">
        <v>0</v>
      </c>
      <c r="AU262" s="612">
        <v>0</v>
      </c>
      <c r="AV262" s="611">
        <f>AM262/$AM$7</f>
        <v>0</v>
      </c>
      <c r="AW262" s="610">
        <f>AN262/1000</f>
        <v>0</v>
      </c>
      <c r="AX262" s="609">
        <f>AW262/$AW$7</f>
        <v>0</v>
      </c>
      <c r="AY262" s="608">
        <f>+F262/$F$7</f>
        <v>0</v>
      </c>
      <c r="AZ262" s="606">
        <f>+((0/7))*12/1000</f>
        <v>0</v>
      </c>
      <c r="BA262" s="608">
        <f>+AZ262/$AZ$7</f>
        <v>0</v>
      </c>
      <c r="BB262" s="560">
        <f>+F262-AZ262</f>
        <v>0</v>
      </c>
      <c r="BC262" s="607" t="e">
        <f>+BB262/AZ262</f>
        <v>#DIV/0!</v>
      </c>
      <c r="BD262" s="606"/>
      <c r="BE262" s="605">
        <f t="shared" si="313"/>
        <v>0</v>
      </c>
      <c r="BF262" s="560">
        <f>AZ262-BD262</f>
        <v>0</v>
      </c>
      <c r="BG262" s="604" t="e">
        <f>+BF262/BD262</f>
        <v>#DIV/0!</v>
      </c>
      <c r="BH262" s="666"/>
    </row>
    <row r="263" spans="1:60" s="567" customFormat="1" ht="15.75" customHeight="1" x14ac:dyDescent="0.3">
      <c r="A263" s="645"/>
      <c r="B263" s="463"/>
      <c r="C263" s="644"/>
      <c r="D263" s="20"/>
      <c r="E263" s="98"/>
      <c r="F263" s="558"/>
      <c r="G263" s="20"/>
      <c r="H263" s="341"/>
      <c r="I263" s="341"/>
      <c r="J263" s="341"/>
      <c r="K263" s="341"/>
      <c r="L263" s="341"/>
      <c r="M263" s="1"/>
      <c r="N263" s="341"/>
      <c r="O263" s="341"/>
      <c r="P263" s="341"/>
      <c r="Q263" s="341"/>
      <c r="R263" s="1"/>
      <c r="S263" s="1"/>
      <c r="T263" s="1"/>
      <c r="U263" s="1"/>
      <c r="V263" s="1"/>
      <c r="W263" s="1"/>
      <c r="X263" s="617"/>
      <c r="Y263" s="1"/>
      <c r="Z263" s="1"/>
      <c r="AA263" s="1"/>
      <c r="AB263" s="1"/>
      <c r="AC263" s="1"/>
      <c r="AD263" s="1"/>
      <c r="AE263" s="615"/>
      <c r="AF263" s="8"/>
      <c r="AG263" s="2"/>
      <c r="AH263" s="309"/>
      <c r="AI263" s="13"/>
      <c r="AJ263" s="13"/>
      <c r="AK263" s="13"/>
      <c r="AL263" s="669"/>
      <c r="AM263" s="614"/>
      <c r="AN263" s="34"/>
      <c r="AO263" s="667"/>
      <c r="AP263" s="677"/>
      <c r="AQ263" s="668"/>
      <c r="AR263" s="667"/>
      <c r="AS263" s="667"/>
      <c r="AT263" s="667"/>
      <c r="AU263" s="612"/>
      <c r="AV263" s="611"/>
      <c r="AW263" s="610"/>
      <c r="AX263" s="609"/>
      <c r="AY263" s="608"/>
      <c r="AZ263" s="606"/>
      <c r="BA263" s="608"/>
      <c r="BB263" s="560"/>
      <c r="BC263" s="607"/>
      <c r="BD263" s="606"/>
      <c r="BE263" s="605">
        <f t="shared" si="313"/>
        <v>0</v>
      </c>
      <c r="BF263" s="560"/>
      <c r="BG263" s="604"/>
      <c r="BH263" s="666"/>
    </row>
    <row r="264" spans="1:60" s="567" customFormat="1" ht="15.75" customHeight="1" x14ac:dyDescent="0.3">
      <c r="A264" s="676" t="s">
        <v>338</v>
      </c>
      <c r="B264" s="1912" t="s">
        <v>339</v>
      </c>
      <c r="C264" s="1986"/>
      <c r="D264" s="21">
        <f>SUM(D265:D266)</f>
        <v>76536000</v>
      </c>
      <c r="E264" s="71">
        <f>SUM(G264+Y264+AG264+AN264)</f>
        <v>76536000</v>
      </c>
      <c r="F264" s="561">
        <f>F265+F266</f>
        <v>339318</v>
      </c>
      <c r="G264" s="21">
        <f>SUM(H264:W264)</f>
        <v>61536000</v>
      </c>
      <c r="H264" s="23">
        <f t="shared" ref="H264:W264" si="314">SUM(H265:H266)</f>
        <v>0</v>
      </c>
      <c r="I264" s="23">
        <f t="shared" si="314"/>
        <v>0</v>
      </c>
      <c r="J264" s="23">
        <f t="shared" si="314"/>
        <v>0</v>
      </c>
      <c r="K264" s="23">
        <f t="shared" si="314"/>
        <v>0</v>
      </c>
      <c r="L264" s="23">
        <f t="shared" si="314"/>
        <v>0</v>
      </c>
      <c r="M264" s="23">
        <f t="shared" si="314"/>
        <v>0</v>
      </c>
      <c r="N264" s="23">
        <f t="shared" si="314"/>
        <v>0</v>
      </c>
      <c r="O264" s="23">
        <f t="shared" si="314"/>
        <v>0</v>
      </c>
      <c r="P264" s="23">
        <f t="shared" si="314"/>
        <v>0</v>
      </c>
      <c r="Q264" s="23">
        <f t="shared" si="314"/>
        <v>57000000</v>
      </c>
      <c r="R264" s="23">
        <f t="shared" si="314"/>
        <v>0</v>
      </c>
      <c r="S264" s="23">
        <f t="shared" si="314"/>
        <v>3536000</v>
      </c>
      <c r="T264" s="23">
        <f t="shared" si="314"/>
        <v>0</v>
      </c>
      <c r="U264" s="23">
        <f t="shared" si="314"/>
        <v>0</v>
      </c>
      <c r="V264" s="23">
        <f t="shared" si="314"/>
        <v>0</v>
      </c>
      <c r="W264" s="23">
        <f t="shared" si="314"/>
        <v>1000000</v>
      </c>
      <c r="X264" s="350">
        <f>+X265+X266</f>
        <v>366400</v>
      </c>
      <c r="Y264" s="23">
        <f t="shared" ref="Y264:AD264" si="315">SUM(Y265:Y266)</f>
        <v>0</v>
      </c>
      <c r="Z264" s="23">
        <f t="shared" si="315"/>
        <v>0</v>
      </c>
      <c r="AA264" s="23">
        <f t="shared" si="315"/>
        <v>0</v>
      </c>
      <c r="AB264" s="23">
        <f t="shared" si="315"/>
        <v>0</v>
      </c>
      <c r="AC264" s="23">
        <f t="shared" si="315"/>
        <v>0</v>
      </c>
      <c r="AD264" s="23">
        <f t="shared" si="315"/>
        <v>0</v>
      </c>
      <c r="AE264" s="615">
        <f>X264/$X$7*100</f>
        <v>7.1869229674667485</v>
      </c>
      <c r="AF264" s="10">
        <f>Y264/1000</f>
        <v>0</v>
      </c>
      <c r="AG264" s="2">
        <f>SUM(AG265:AG266)</f>
        <v>15000000</v>
      </c>
      <c r="AH264" s="308">
        <f>SUM(AH265:AH266)</f>
        <v>0</v>
      </c>
      <c r="AI264" s="33">
        <f>SUM(AI265:AI266)</f>
        <v>0</v>
      </c>
      <c r="AJ264" s="33">
        <f>SUM(AJ265:AJ266)</f>
        <v>0</v>
      </c>
      <c r="AK264" s="33">
        <f>SUM(AK265:AK266)</f>
        <v>15000000</v>
      </c>
      <c r="AL264" s="623"/>
      <c r="AM264" s="623">
        <f>+AM265+AM266</f>
        <v>2500</v>
      </c>
      <c r="AN264" s="34">
        <f t="shared" ref="AN264:AU264" si="316">SUM(AN265:AN266)</f>
        <v>0</v>
      </c>
      <c r="AO264" s="673">
        <f t="shared" si="316"/>
        <v>0</v>
      </c>
      <c r="AP264" s="675">
        <f t="shared" si="316"/>
        <v>0</v>
      </c>
      <c r="AQ264" s="674">
        <f t="shared" si="316"/>
        <v>0</v>
      </c>
      <c r="AR264" s="673">
        <f t="shared" si="316"/>
        <v>0</v>
      </c>
      <c r="AS264" s="673">
        <f t="shared" si="316"/>
        <v>0</v>
      </c>
      <c r="AT264" s="673">
        <f t="shared" si="316"/>
        <v>0</v>
      </c>
      <c r="AU264" s="622">
        <f t="shared" si="316"/>
        <v>76536000</v>
      </c>
      <c r="AV264" s="611">
        <f>AM264/$AM$7</f>
        <v>2.1793613978899771E-4</v>
      </c>
      <c r="AW264" s="621">
        <f>+AW265+AW266</f>
        <v>5000</v>
      </c>
      <c r="AX264" s="609"/>
      <c r="AY264" s="608">
        <f>+F264/$F$7</f>
        <v>5.2150347427945909E-3</v>
      </c>
      <c r="AZ264" s="561">
        <f>AZ265+AZ266</f>
        <v>441249.77993999998</v>
      </c>
      <c r="BA264" s="608">
        <f>+AZ264/$AZ$7</f>
        <v>1.2081257199095278E-2</v>
      </c>
      <c r="BB264" s="560">
        <f>+F264-AZ264</f>
        <v>-101931.77993999998</v>
      </c>
      <c r="BC264" s="607">
        <f>+BB264/AZ264</f>
        <v>-0.23100698192724403</v>
      </c>
      <c r="BD264" s="561">
        <f>BD265+BD266</f>
        <v>573833.72</v>
      </c>
      <c r="BE264" s="605">
        <f t="shared" si="313"/>
        <v>1.321692092718672E-2</v>
      </c>
      <c r="BF264" s="560">
        <f t="shared" ref="BF264:BF269" si="317">AZ264-BD264</f>
        <v>-132583.94005999999</v>
      </c>
      <c r="BG264" s="604">
        <f>+BF264/BD264</f>
        <v>-0.23104940584530306</v>
      </c>
      <c r="BH264" s="666"/>
    </row>
    <row r="265" spans="1:60" s="567" customFormat="1" ht="15.75" customHeight="1" x14ac:dyDescent="0.3">
      <c r="A265" s="645" t="s">
        <v>340</v>
      </c>
      <c r="B265" s="1903" t="s">
        <v>341</v>
      </c>
      <c r="C265" s="1980"/>
      <c r="D265" s="20">
        <f>+G265+Y265+AG265+AN265</f>
        <v>68644000</v>
      </c>
      <c r="E265" s="98">
        <f>SUM(G265+Y265+AG265+AN265)</f>
        <v>68644000</v>
      </c>
      <c r="F265" s="558">
        <f>330918000/1000</f>
        <v>330918</v>
      </c>
      <c r="G265" s="20">
        <f>SUM(H265:W265)</f>
        <v>58644000</v>
      </c>
      <c r="H265" s="341"/>
      <c r="I265" s="341"/>
      <c r="J265" s="341"/>
      <c r="K265" s="341"/>
      <c r="L265" s="341"/>
      <c r="M265" s="1"/>
      <c r="N265" s="341"/>
      <c r="O265" s="341"/>
      <c r="P265" s="341"/>
      <c r="Q265" s="341">
        <v>57000000</v>
      </c>
      <c r="R265" s="1"/>
      <c r="S265" s="1">
        <v>1144000</v>
      </c>
      <c r="T265" s="1"/>
      <c r="U265" s="1"/>
      <c r="V265" s="1"/>
      <c r="W265" s="1">
        <v>500000</v>
      </c>
      <c r="X265" s="617">
        <f>+'[3]Egresos -2015 '!$Z$262</f>
        <v>365000</v>
      </c>
      <c r="Y265" s="8">
        <f>SUM(Z265:AD265)</f>
        <v>0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642">
        <f>X265/$X$7*100</f>
        <v>7.1594620172635448</v>
      </c>
      <c r="AF265" s="8">
        <f>Y265/1000</f>
        <v>0</v>
      </c>
      <c r="AG265" s="2">
        <f>SUM(AH265:AK265)</f>
        <v>10000000</v>
      </c>
      <c r="AH265" s="304">
        <v>0</v>
      </c>
      <c r="AI265" s="1">
        <v>0</v>
      </c>
      <c r="AJ265" s="1"/>
      <c r="AK265" s="1">
        <v>10000000</v>
      </c>
      <c r="AL265" s="672"/>
      <c r="AM265" s="614">
        <v>0</v>
      </c>
      <c r="AN265" s="30">
        <f>SUM(AO265+AP265)</f>
        <v>0</v>
      </c>
      <c r="AO265" s="670"/>
      <c r="AP265" s="613">
        <f>SUM(AQ265:AT265)</f>
        <v>0</v>
      </c>
      <c r="AQ265" s="671"/>
      <c r="AR265" s="670"/>
      <c r="AS265" s="670"/>
      <c r="AT265" s="670"/>
      <c r="AU265" s="612">
        <f>SUM(AN265+AG265+Y265+G265)</f>
        <v>68644000</v>
      </c>
      <c r="AV265" s="611">
        <f>AM265/$AM$7</f>
        <v>0</v>
      </c>
      <c r="AW265" s="610">
        <f>AN265/1000</f>
        <v>0</v>
      </c>
      <c r="AX265" s="609"/>
      <c r="AY265" s="608">
        <f>+F265/$F$7</f>
        <v>5.0859337465625175E-3</v>
      </c>
      <c r="AZ265" s="606">
        <f>+((217928453.87/6))*12/1000</f>
        <v>435856.90774</v>
      </c>
      <c r="BA265" s="608">
        <f>+AZ265/$AZ$7</f>
        <v>1.1933602335451132E-2</v>
      </c>
      <c r="BB265" s="560">
        <f>+F265-AZ265</f>
        <v>-104938.90774</v>
      </c>
      <c r="BC265" s="607">
        <f>+BB265/AZ265</f>
        <v>-0.240764585524474</v>
      </c>
      <c r="BD265" s="606">
        <v>573833.72</v>
      </c>
      <c r="BE265" s="605">
        <f t="shared" si="313"/>
        <v>1.321692092718672E-2</v>
      </c>
      <c r="BF265" s="560">
        <f t="shared" si="317"/>
        <v>-137976.81225999998</v>
      </c>
      <c r="BG265" s="604">
        <f>+BF265/BD265</f>
        <v>-0.24044737604475383</v>
      </c>
      <c r="BH265" s="666"/>
    </row>
    <row r="266" spans="1:60" s="567" customFormat="1" ht="15.75" customHeight="1" x14ac:dyDescent="0.3">
      <c r="A266" s="645" t="s">
        <v>342</v>
      </c>
      <c r="B266" s="1903" t="s">
        <v>343</v>
      </c>
      <c r="C266" s="1980"/>
      <c r="D266" s="20">
        <f>+G266+Y266+AG266+AN266</f>
        <v>7892000</v>
      </c>
      <c r="E266" s="98">
        <f>SUM(G266+Y266+AG266+AN266)</f>
        <v>7892000</v>
      </c>
      <c r="F266" s="558">
        <f>8400000/1000</f>
        <v>8400</v>
      </c>
      <c r="G266" s="20">
        <f>SUM(H266:W266)</f>
        <v>2892000</v>
      </c>
      <c r="H266" s="341"/>
      <c r="I266" s="341"/>
      <c r="J266" s="341"/>
      <c r="K266" s="341"/>
      <c r="L266" s="341"/>
      <c r="M266" s="1"/>
      <c r="N266" s="341"/>
      <c r="O266" s="341"/>
      <c r="P266" s="341"/>
      <c r="Q266" s="341"/>
      <c r="R266" s="1"/>
      <c r="S266" s="1">
        <v>2392000</v>
      </c>
      <c r="T266" s="1"/>
      <c r="U266" s="1"/>
      <c r="V266" s="1"/>
      <c r="W266" s="1">
        <v>500000</v>
      </c>
      <c r="X266" s="617">
        <f>+'[3]Egresos -2015 '!$Z$263</f>
        <v>1400</v>
      </c>
      <c r="Y266" s="8">
        <f>SUM(Z266:AD266)</f>
        <v>0</v>
      </c>
      <c r="Z266" s="1"/>
      <c r="AA266" s="1"/>
      <c r="AB266" s="1"/>
      <c r="AC266" s="1"/>
      <c r="AD266" s="1"/>
      <c r="AE266" s="642">
        <f>X266/$X$7*100</f>
        <v>2.746095020320264E-2</v>
      </c>
      <c r="AF266" s="8">
        <f>Y266/1000</f>
        <v>0</v>
      </c>
      <c r="AG266" s="2">
        <f>SUM(AH266:AK266)</f>
        <v>5000000</v>
      </c>
      <c r="AH266" s="309">
        <v>0</v>
      </c>
      <c r="AI266" s="13">
        <v>0</v>
      </c>
      <c r="AJ266" s="13"/>
      <c r="AK266" s="13">
        <v>5000000</v>
      </c>
      <c r="AL266" s="669"/>
      <c r="AM266" s="614">
        <f>+'[2]Egresos -2015 '!$AM$263</f>
        <v>2500</v>
      </c>
      <c r="AN266" s="30">
        <f>SUM(AO266+AP266)</f>
        <v>0</v>
      </c>
      <c r="AO266" s="667"/>
      <c r="AP266" s="613">
        <f>SUM(AQ266:AT266)</f>
        <v>0</v>
      </c>
      <c r="AQ266" s="668"/>
      <c r="AR266" s="667"/>
      <c r="AS266" s="667"/>
      <c r="AT266" s="667"/>
      <c r="AU266" s="612">
        <f>SUM(AN266+AG266+Y266+G266)</f>
        <v>7892000</v>
      </c>
      <c r="AV266" s="611">
        <f>AM266/$AM$7</f>
        <v>2.1793613978899771E-4</v>
      </c>
      <c r="AW266" s="610">
        <f>+'[2]Egresos -2015 '!$AO$263</f>
        <v>5000</v>
      </c>
      <c r="AX266" s="609"/>
      <c r="AY266" s="608">
        <f>+F266/$F$7</f>
        <v>1.2910099623207304E-4</v>
      </c>
      <c r="AZ266" s="606">
        <f>+((2696436.1/6))*12/1000</f>
        <v>5392.8721999999998</v>
      </c>
      <c r="BA266" s="608">
        <f>+AZ266/$AZ$7</f>
        <v>1.4765486364414751E-4</v>
      </c>
      <c r="BB266" s="560">
        <f>+F266-AZ266</f>
        <v>3007.1278000000002</v>
      </c>
      <c r="BC266" s="607">
        <v>0</v>
      </c>
      <c r="BD266" s="606">
        <v>0</v>
      </c>
      <c r="BE266" s="605">
        <f t="shared" si="313"/>
        <v>0</v>
      </c>
      <c r="BF266" s="560">
        <f t="shared" si="317"/>
        <v>5392.8721999999998</v>
      </c>
      <c r="BG266" s="604"/>
      <c r="BH266" s="666"/>
    </row>
    <row r="267" spans="1:60" ht="15.75" customHeight="1" x14ac:dyDescent="0.3">
      <c r="A267" s="645"/>
      <c r="B267" s="463"/>
      <c r="C267" s="644"/>
      <c r="D267" s="20"/>
      <c r="E267" s="98"/>
      <c r="F267" s="558"/>
      <c r="G267" s="20"/>
      <c r="H267" s="341"/>
      <c r="I267" s="341"/>
      <c r="J267" s="341"/>
      <c r="K267" s="341"/>
      <c r="L267" s="341"/>
      <c r="M267" s="1"/>
      <c r="N267" s="341"/>
      <c r="O267" s="341"/>
      <c r="P267" s="341"/>
      <c r="Q267" s="341"/>
      <c r="R267" s="1"/>
      <c r="S267" s="1"/>
      <c r="T267" s="1"/>
      <c r="U267" s="1"/>
      <c r="V267" s="1"/>
      <c r="W267" s="1"/>
      <c r="X267" s="617"/>
      <c r="Y267" s="1"/>
      <c r="Z267" s="1"/>
      <c r="AA267" s="1"/>
      <c r="AB267" s="1"/>
      <c r="AC267" s="1"/>
      <c r="AD267" s="1"/>
      <c r="AE267" s="615"/>
      <c r="AF267" s="8"/>
      <c r="AG267" s="2"/>
      <c r="AH267" s="636"/>
      <c r="AI267" s="9"/>
      <c r="AJ267" s="9"/>
      <c r="AK267" s="9"/>
      <c r="AL267" s="665"/>
      <c r="AM267" s="614"/>
      <c r="AN267" s="34"/>
      <c r="AO267" s="12"/>
      <c r="AP267" s="118"/>
      <c r="AQ267" s="317"/>
      <c r="AR267" s="12"/>
      <c r="AS267" s="12"/>
      <c r="AT267" s="12"/>
      <c r="AU267" s="612"/>
      <c r="AV267" s="611"/>
      <c r="AW267" s="610"/>
      <c r="AX267" s="609"/>
      <c r="AY267" s="608"/>
      <c r="AZ267" s="606"/>
      <c r="BA267" s="608"/>
      <c r="BB267" s="560"/>
      <c r="BC267" s="607"/>
      <c r="BD267" s="606"/>
      <c r="BE267" s="605">
        <f t="shared" si="313"/>
        <v>0</v>
      </c>
      <c r="BF267" s="560">
        <f t="shared" si="317"/>
        <v>0</v>
      </c>
      <c r="BG267" s="604"/>
      <c r="BH267" s="555"/>
    </row>
    <row r="268" spans="1:60" ht="15.75" customHeight="1" x14ac:dyDescent="0.3">
      <c r="A268" s="643" t="s">
        <v>344</v>
      </c>
      <c r="B268" s="1912" t="s">
        <v>345</v>
      </c>
      <c r="C268" s="1918"/>
      <c r="D268" s="21">
        <f>SUM(D269)</f>
        <v>18000000</v>
      </c>
      <c r="E268" s="71">
        <f>SUM(G268+Y268+AG268+AN268)</f>
        <v>18000000</v>
      </c>
      <c r="F268" s="561">
        <f>F269</f>
        <v>30000</v>
      </c>
      <c r="G268" s="21">
        <f>SUM(H268:W268)</f>
        <v>18000000</v>
      </c>
      <c r="H268" s="23">
        <f t="shared" ref="H268:W268" si="318">H269</f>
        <v>0</v>
      </c>
      <c r="I268" s="23">
        <f t="shared" si="318"/>
        <v>0</v>
      </c>
      <c r="J268" s="23">
        <f t="shared" si="318"/>
        <v>0</v>
      </c>
      <c r="K268" s="23">
        <f t="shared" si="318"/>
        <v>0</v>
      </c>
      <c r="L268" s="23">
        <f t="shared" si="318"/>
        <v>0</v>
      </c>
      <c r="M268" s="23">
        <f t="shared" si="318"/>
        <v>0</v>
      </c>
      <c r="N268" s="23">
        <f t="shared" si="318"/>
        <v>0</v>
      </c>
      <c r="O268" s="23">
        <f t="shared" si="318"/>
        <v>0</v>
      </c>
      <c r="P268" s="23">
        <f t="shared" si="318"/>
        <v>0</v>
      </c>
      <c r="Q268" s="23">
        <f t="shared" si="318"/>
        <v>0</v>
      </c>
      <c r="R268" s="23">
        <f t="shared" si="318"/>
        <v>0</v>
      </c>
      <c r="S268" s="23">
        <f t="shared" si="318"/>
        <v>0</v>
      </c>
      <c r="T268" s="23">
        <f t="shared" si="318"/>
        <v>0</v>
      </c>
      <c r="U268" s="23">
        <f t="shared" si="318"/>
        <v>0</v>
      </c>
      <c r="V268" s="23">
        <f t="shared" si="318"/>
        <v>18000000</v>
      </c>
      <c r="W268" s="23">
        <f t="shared" si="318"/>
        <v>0</v>
      </c>
      <c r="X268" s="350">
        <f>+X269</f>
        <v>25000</v>
      </c>
      <c r="Y268" s="23">
        <f t="shared" ref="Y268:AD268" si="319">Y269</f>
        <v>0</v>
      </c>
      <c r="Z268" s="23">
        <f t="shared" si="319"/>
        <v>0</v>
      </c>
      <c r="AA268" s="23">
        <f t="shared" si="319"/>
        <v>0</v>
      </c>
      <c r="AB268" s="23">
        <f t="shared" si="319"/>
        <v>0</v>
      </c>
      <c r="AC268" s="23">
        <f t="shared" si="319"/>
        <v>0</v>
      </c>
      <c r="AD268" s="23">
        <f t="shared" si="319"/>
        <v>0</v>
      </c>
      <c r="AE268" s="615">
        <f>X268/$X$7*100</f>
        <v>0.49037411077147569</v>
      </c>
      <c r="AF268" s="10">
        <f>Y268/1000</f>
        <v>0</v>
      </c>
      <c r="AG268" s="2">
        <f>SUM(AG269)</f>
        <v>0</v>
      </c>
      <c r="AH268" s="308">
        <f>SUM(AH269)</f>
        <v>0</v>
      </c>
      <c r="AI268" s="33">
        <f>SUM(AI269)</f>
        <v>0</v>
      </c>
      <c r="AJ268" s="33">
        <f>SUM(AJ269)</f>
        <v>0</v>
      </c>
      <c r="AK268" s="33">
        <f>SUM(AK269)</f>
        <v>0</v>
      </c>
      <c r="AL268" s="614"/>
      <c r="AM268" s="614">
        <f>AG268/1000</f>
        <v>0</v>
      </c>
      <c r="AN268" s="30">
        <f t="shared" ref="AN268:AU268" si="320">SUM(AN269)</f>
        <v>0</v>
      </c>
      <c r="AO268" s="35">
        <f t="shared" si="320"/>
        <v>0</v>
      </c>
      <c r="AP268" s="30">
        <f t="shared" si="320"/>
        <v>0</v>
      </c>
      <c r="AQ268" s="305">
        <f t="shared" si="320"/>
        <v>0</v>
      </c>
      <c r="AR268" s="35">
        <f t="shared" si="320"/>
        <v>0</v>
      </c>
      <c r="AS268" s="35">
        <f t="shared" si="320"/>
        <v>0</v>
      </c>
      <c r="AT268" s="35">
        <f t="shared" si="320"/>
        <v>0</v>
      </c>
      <c r="AU268" s="612">
        <f t="shared" si="320"/>
        <v>18000000</v>
      </c>
      <c r="AV268" s="611">
        <f>AM268/$AM$7</f>
        <v>0</v>
      </c>
      <c r="AW268" s="610">
        <f>AN268/1000</f>
        <v>0</v>
      </c>
      <c r="AX268" s="609"/>
      <c r="AY268" s="608">
        <f>+F268/$F$7</f>
        <v>4.6107498654311804E-4</v>
      </c>
      <c r="AZ268" s="561">
        <f>AZ269</f>
        <v>55800</v>
      </c>
      <c r="BA268" s="608">
        <f>+AZ268/$AZ$7</f>
        <v>1.5277835420137401E-3</v>
      </c>
      <c r="BB268" s="560">
        <f>+F268-AZ268</f>
        <v>-25800</v>
      </c>
      <c r="BC268" s="607">
        <f>+BB268/AZ268</f>
        <v>-0.46236559139784944</v>
      </c>
      <c r="BD268" s="561">
        <f>BD269</f>
        <v>21000</v>
      </c>
      <c r="BE268" s="605">
        <f t="shared" si="313"/>
        <v>4.8368600484286834E-4</v>
      </c>
      <c r="BF268" s="560">
        <f t="shared" si="317"/>
        <v>34800</v>
      </c>
      <c r="BG268" s="604">
        <f>+BF268/BD268</f>
        <v>1.6571428571428573</v>
      </c>
      <c r="BH268" s="555"/>
    </row>
    <row r="269" spans="1:60" ht="15.75" customHeight="1" x14ac:dyDescent="0.3">
      <c r="A269" s="664" t="s">
        <v>346</v>
      </c>
      <c r="B269" s="1984" t="s">
        <v>347</v>
      </c>
      <c r="C269" s="1985"/>
      <c r="D269" s="125">
        <f>+G269+Y269+AG269+AN269</f>
        <v>18000000</v>
      </c>
      <c r="E269" s="663">
        <f>SUM(G269+Y269+AG269+AN269)</f>
        <v>18000000</v>
      </c>
      <c r="F269" s="569">
        <f>30000000/1000</f>
        <v>30000</v>
      </c>
      <c r="G269" s="125">
        <f>SUM(H269:W269)</f>
        <v>18000000</v>
      </c>
      <c r="H269" s="359"/>
      <c r="I269" s="359"/>
      <c r="J269" s="359"/>
      <c r="K269" s="359"/>
      <c r="L269" s="359"/>
      <c r="M269" s="360"/>
      <c r="N269" s="359"/>
      <c r="O269" s="359"/>
      <c r="P269" s="359"/>
      <c r="Q269" s="359"/>
      <c r="R269" s="360"/>
      <c r="S269" s="360"/>
      <c r="T269" s="360"/>
      <c r="U269" s="360"/>
      <c r="V269" s="360">
        <v>18000000</v>
      </c>
      <c r="W269" s="360"/>
      <c r="X269" s="662">
        <f>+'[3]Egresos -2015 '!$Z$266</f>
        <v>25000</v>
      </c>
      <c r="Y269" s="660">
        <f>SUM(Z269:AD269)</f>
        <v>0</v>
      </c>
      <c r="Z269" s="360"/>
      <c r="AA269" s="360"/>
      <c r="AB269" s="360"/>
      <c r="AC269" s="360"/>
      <c r="AD269" s="360"/>
      <c r="AE269" s="661">
        <f>X269/$X$7*100</f>
        <v>0.49037411077147569</v>
      </c>
      <c r="AF269" s="660">
        <f>Y269/1000</f>
        <v>0</v>
      </c>
      <c r="AG269" s="361">
        <f>SUM(AH269:AK269)</f>
        <v>0</v>
      </c>
      <c r="AH269" s="322">
        <v>0</v>
      </c>
      <c r="AI269" s="323">
        <v>0</v>
      </c>
      <c r="AJ269" s="131">
        <v>0</v>
      </c>
      <c r="AK269" s="131">
        <v>0</v>
      </c>
      <c r="AL269" s="659"/>
      <c r="AM269" s="659">
        <f>AG269/1000</f>
        <v>0</v>
      </c>
      <c r="AN269" s="658">
        <f>SUM(AO269+AP269)</f>
        <v>0</v>
      </c>
      <c r="AO269" s="131">
        <v>0</v>
      </c>
      <c r="AP269" s="657">
        <f>SUM(AQ269:AT269)</f>
        <v>0</v>
      </c>
      <c r="AQ269" s="656">
        <v>0</v>
      </c>
      <c r="AR269" s="131">
        <v>0</v>
      </c>
      <c r="AS269" s="131">
        <v>0</v>
      </c>
      <c r="AT269" s="131">
        <v>0</v>
      </c>
      <c r="AU269" s="655">
        <f>SUM(AN269+AG269+Y269+G269)</f>
        <v>18000000</v>
      </c>
      <c r="AV269" s="654">
        <f>AM269/$AM$7</f>
        <v>0</v>
      </c>
      <c r="AW269" s="653">
        <f>AN269/1000</f>
        <v>0</v>
      </c>
      <c r="AX269" s="652"/>
      <c r="AY269" s="651">
        <f>+F269/$F$7</f>
        <v>4.6107498654311804E-4</v>
      </c>
      <c r="AZ269" s="649">
        <f>+((27900000/6))*12/1000</f>
        <v>55800</v>
      </c>
      <c r="BA269" s="651">
        <f>+AZ269/$AZ$7</f>
        <v>1.5277835420137401E-3</v>
      </c>
      <c r="BB269" s="647">
        <f>+F269-AZ269</f>
        <v>-25800</v>
      </c>
      <c r="BC269" s="650">
        <f>+BB269/AZ269</f>
        <v>-0.46236559139784944</v>
      </c>
      <c r="BD269" s="649">
        <v>21000</v>
      </c>
      <c r="BE269" s="648">
        <f t="shared" si="313"/>
        <v>4.8368600484286834E-4</v>
      </c>
      <c r="BF269" s="647">
        <f t="shared" si="317"/>
        <v>34800</v>
      </c>
      <c r="BG269" s="646">
        <f>+BF269/BD269</f>
        <v>1.6571428571428573</v>
      </c>
      <c r="BH269" s="555"/>
    </row>
    <row r="270" spans="1:60" ht="15.75" customHeight="1" x14ac:dyDescent="0.3">
      <c r="A270" s="645"/>
      <c r="B270" s="463"/>
      <c r="C270" s="644"/>
      <c r="D270" s="20"/>
      <c r="E270" s="98"/>
      <c r="F270" s="558"/>
      <c r="G270" s="20"/>
      <c r="H270" s="341"/>
      <c r="I270" s="341"/>
      <c r="J270" s="341"/>
      <c r="K270" s="341"/>
      <c r="L270" s="341"/>
      <c r="M270" s="1"/>
      <c r="N270" s="341"/>
      <c r="O270" s="341"/>
      <c r="P270" s="341"/>
      <c r="Q270" s="341"/>
      <c r="R270" s="1"/>
      <c r="S270" s="1"/>
      <c r="T270" s="1"/>
      <c r="U270" s="1"/>
      <c r="V270" s="1"/>
      <c r="W270" s="1"/>
      <c r="X270" s="617"/>
      <c r="Y270" s="1"/>
      <c r="Z270" s="1"/>
      <c r="AA270" s="1"/>
      <c r="AB270" s="1"/>
      <c r="AC270" s="1"/>
      <c r="AD270" s="1"/>
      <c r="AE270" s="615"/>
      <c r="AF270" s="8"/>
      <c r="AG270" s="2"/>
      <c r="AH270" s="309"/>
      <c r="AI270" s="13"/>
      <c r="AJ270" s="35"/>
      <c r="AK270" s="35"/>
      <c r="AL270" s="614"/>
      <c r="AM270" s="614"/>
      <c r="AN270" s="34"/>
      <c r="AO270" s="35"/>
      <c r="AP270" s="34"/>
      <c r="AQ270" s="305"/>
      <c r="AR270" s="35"/>
      <c r="AS270" s="35"/>
      <c r="AT270" s="35"/>
      <c r="AU270" s="612"/>
      <c r="AV270" s="611"/>
      <c r="AW270" s="610"/>
      <c r="AX270" s="609"/>
      <c r="AY270" s="608"/>
      <c r="AZ270" s="606"/>
      <c r="BA270" s="608"/>
      <c r="BB270" s="560"/>
      <c r="BC270" s="607"/>
      <c r="BD270" s="606"/>
      <c r="BE270" s="605"/>
      <c r="BF270" s="560"/>
      <c r="BG270" s="604"/>
      <c r="BH270" s="555"/>
    </row>
    <row r="271" spans="1:60" ht="15.75" customHeight="1" x14ac:dyDescent="0.3">
      <c r="A271" s="643">
        <v>7</v>
      </c>
      <c r="B271" s="1912" t="s">
        <v>348</v>
      </c>
      <c r="C271" s="1918"/>
      <c r="D271" s="33">
        <f>SUM(D273+D277)</f>
        <v>8533807046.8100004</v>
      </c>
      <c r="E271" s="71">
        <f>SUM(E273+E277)</f>
        <v>8533807046.8100004</v>
      </c>
      <c r="F271" s="561">
        <f>F273+F277</f>
        <v>5906221.6189999999</v>
      </c>
      <c r="G271" s="25">
        <f>+G273+G277</f>
        <v>0</v>
      </c>
      <c r="H271" s="25">
        <f>H277</f>
        <v>0</v>
      </c>
      <c r="I271" s="25">
        <f>I277</f>
        <v>0</v>
      </c>
      <c r="J271" s="25">
        <f>J277</f>
        <v>0</v>
      </c>
      <c r="K271" s="25">
        <f>K277</f>
        <v>0</v>
      </c>
      <c r="L271" s="25">
        <f>L277</f>
        <v>0</v>
      </c>
      <c r="M271" s="25">
        <f>+M273+M277</f>
        <v>0</v>
      </c>
      <c r="N271" s="25">
        <f>N277</f>
        <v>0</v>
      </c>
      <c r="O271" s="25">
        <f>O277</f>
        <v>0</v>
      </c>
      <c r="P271" s="25">
        <f>P277</f>
        <v>0</v>
      </c>
      <c r="Q271" s="25">
        <f>Q277</f>
        <v>0</v>
      </c>
      <c r="R271" s="25">
        <f t="shared" ref="R271:W271" si="321">+R273+R277</f>
        <v>0</v>
      </c>
      <c r="S271" s="25">
        <f t="shared" si="321"/>
        <v>0</v>
      </c>
      <c r="T271" s="25">
        <f t="shared" si="321"/>
        <v>0</v>
      </c>
      <c r="U271" s="25">
        <f t="shared" si="321"/>
        <v>0</v>
      </c>
      <c r="V271" s="25">
        <f t="shared" si="321"/>
        <v>0</v>
      </c>
      <c r="W271" s="25">
        <f t="shared" si="321"/>
        <v>0</v>
      </c>
      <c r="X271" s="350">
        <f>G271/1000</f>
        <v>0</v>
      </c>
      <c r="Y271" s="25">
        <f t="shared" ref="Y271:AD271" si="322">+Y273+Y277</f>
        <v>0</v>
      </c>
      <c r="Z271" s="25">
        <f t="shared" si="322"/>
        <v>0</v>
      </c>
      <c r="AA271" s="25">
        <f t="shared" si="322"/>
        <v>0</v>
      </c>
      <c r="AB271" s="25">
        <f t="shared" si="322"/>
        <v>0</v>
      </c>
      <c r="AC271" s="25">
        <f t="shared" si="322"/>
        <v>0</v>
      </c>
      <c r="AD271" s="25">
        <f t="shared" si="322"/>
        <v>0</v>
      </c>
      <c r="AE271" s="642"/>
      <c r="AF271" s="10">
        <f>Y271/1000</f>
        <v>0</v>
      </c>
      <c r="AG271" s="11">
        <f>SUM(AG273+AG277)</f>
        <v>1890000000</v>
      </c>
      <c r="AH271" s="305">
        <f>AH273+AH277</f>
        <v>0</v>
      </c>
      <c r="AI271" s="35">
        <f>AI273+AI277</f>
        <v>1890000000</v>
      </c>
      <c r="AJ271" s="35">
        <f>AJ273+AJ277</f>
        <v>0</v>
      </c>
      <c r="AK271" s="35">
        <f>AK273+AK277</f>
        <v>0</v>
      </c>
      <c r="AL271" s="614"/>
      <c r="AM271" s="623">
        <f>+AM273+AM277</f>
        <v>1749404.8689999999</v>
      </c>
      <c r="AN271" s="30">
        <f t="shared" ref="AN271:AU271" si="323">AN273+AN277</f>
        <v>6643807046.8100004</v>
      </c>
      <c r="AO271" s="35">
        <f t="shared" si="323"/>
        <v>0</v>
      </c>
      <c r="AP271" s="30">
        <f t="shared" si="323"/>
        <v>6643807046.8100004</v>
      </c>
      <c r="AQ271" s="305">
        <f t="shared" si="323"/>
        <v>0</v>
      </c>
      <c r="AR271" s="35">
        <f t="shared" si="323"/>
        <v>0</v>
      </c>
      <c r="AS271" s="35">
        <f t="shared" si="323"/>
        <v>0</v>
      </c>
      <c r="AT271" s="35">
        <f t="shared" si="323"/>
        <v>6643807046.8100004</v>
      </c>
      <c r="AU271" s="612">
        <f t="shared" si="323"/>
        <v>6658807046.8100004</v>
      </c>
      <c r="AV271" s="611">
        <f>AM271/$AM$7</f>
        <v>0.15250341763117489</v>
      </c>
      <c r="AW271" s="621">
        <f>+AW273+AW277</f>
        <v>5403871.8140000002</v>
      </c>
      <c r="AX271" s="609">
        <f>AW271/$AW$7</f>
        <v>0.10449535822597948</v>
      </c>
      <c r="AY271" s="608">
        <f>+F271/$F$7</f>
        <v>9.0773701783369923E-2</v>
      </c>
      <c r="AZ271" s="561">
        <f>AZ273+AZ277</f>
        <v>106039.77719999998</v>
      </c>
      <c r="BA271" s="608">
        <f>+AZ271/$AZ$7</f>
        <v>2.9033302223111794E-3</v>
      </c>
      <c r="BB271" s="560">
        <f>+F271-AZ271</f>
        <v>5800181.8417999996</v>
      </c>
      <c r="BC271" s="607">
        <f>+BB271/AZ271</f>
        <v>54.698170770958583</v>
      </c>
      <c r="BD271" s="561">
        <f>BD273+BD277</f>
        <v>156625.76</v>
      </c>
      <c r="BE271" s="605">
        <f>+BD271/$BD$7</f>
        <v>3.607508957613235E-3</v>
      </c>
      <c r="BF271" s="641">
        <f>AZ271-BD271</f>
        <v>-50585.982800000027</v>
      </c>
      <c r="BG271" s="640">
        <f>+BF271/BD271</f>
        <v>-0.32297358237878637</v>
      </c>
      <c r="BH271" s="555"/>
    </row>
    <row r="272" spans="1:60" ht="15.75" customHeight="1" x14ac:dyDescent="0.3">
      <c r="A272" s="559"/>
      <c r="B272" s="634"/>
      <c r="C272" s="635"/>
      <c r="D272" s="20"/>
      <c r="E272" s="620"/>
      <c r="F272" s="558"/>
      <c r="G272" s="20"/>
      <c r="H272" s="375"/>
      <c r="I272" s="375"/>
      <c r="J272" s="375"/>
      <c r="K272" s="375"/>
      <c r="L272" s="341"/>
      <c r="M272" s="1"/>
      <c r="N272" s="375"/>
      <c r="O272" s="375"/>
      <c r="P272" s="341"/>
      <c r="Q272" s="375"/>
      <c r="R272" s="1"/>
      <c r="S272" s="1"/>
      <c r="T272" s="1"/>
      <c r="U272" s="1"/>
      <c r="V272" s="1"/>
      <c r="W272" s="1"/>
      <c r="X272" s="617"/>
      <c r="Y272" s="1"/>
      <c r="Z272" s="1"/>
      <c r="AA272" s="1"/>
      <c r="AB272" s="1"/>
      <c r="AC272" s="1"/>
      <c r="AD272" s="1"/>
      <c r="AE272" s="615"/>
      <c r="AF272" s="8"/>
      <c r="AG272" s="2"/>
      <c r="AH272" s="639"/>
      <c r="AI272" s="6"/>
      <c r="AJ272" s="33"/>
      <c r="AK272" s="33"/>
      <c r="AL272" s="623"/>
      <c r="AM272" s="614"/>
      <c r="AN272" s="34"/>
      <c r="AO272" s="35"/>
      <c r="AP272" s="34"/>
      <c r="AQ272" s="305"/>
      <c r="AR272" s="35"/>
      <c r="AS272" s="35"/>
      <c r="AT272" s="35"/>
      <c r="AU272" s="622"/>
      <c r="AV272" s="611"/>
      <c r="AW272" s="610"/>
      <c r="AX272" s="609"/>
      <c r="AY272" s="608"/>
      <c r="AZ272" s="606"/>
      <c r="BA272" s="608"/>
      <c r="BB272" s="560"/>
      <c r="BC272" s="607"/>
      <c r="BD272" s="606"/>
      <c r="BE272" s="605">
        <f>+BD272/$BD$7</f>
        <v>0</v>
      </c>
      <c r="BF272" s="560"/>
      <c r="BG272" s="604"/>
      <c r="BH272" s="555"/>
    </row>
    <row r="273" spans="1:60" ht="15.75" customHeight="1" x14ac:dyDescent="0.3">
      <c r="A273" s="562" t="s">
        <v>376</v>
      </c>
      <c r="B273" s="1973" t="s">
        <v>377</v>
      </c>
      <c r="C273" s="1979"/>
      <c r="D273" s="21">
        <f>SUM(D274:D275)</f>
        <v>30000000</v>
      </c>
      <c r="E273" s="628">
        <f>SUM(G273+Y273+AG273+AN273)</f>
        <v>30000000</v>
      </c>
      <c r="F273" s="561">
        <f>F275</f>
        <v>40000</v>
      </c>
      <c r="G273" s="21">
        <f>SUM(G274:G275)</f>
        <v>0</v>
      </c>
      <c r="H273" s="375"/>
      <c r="I273" s="375"/>
      <c r="J273" s="375"/>
      <c r="K273" s="375"/>
      <c r="L273" s="341"/>
      <c r="M273" s="25">
        <f>+M274+M275</f>
        <v>0</v>
      </c>
      <c r="N273" s="375"/>
      <c r="O273" s="375"/>
      <c r="P273" s="341"/>
      <c r="Q273" s="375"/>
      <c r="R273" s="618">
        <f t="shared" ref="R273:W273" si="324">+R274+R275</f>
        <v>0</v>
      </c>
      <c r="S273" s="618">
        <f t="shared" si="324"/>
        <v>0</v>
      </c>
      <c r="T273" s="618">
        <f t="shared" si="324"/>
        <v>0</v>
      </c>
      <c r="U273" s="618">
        <f t="shared" si="324"/>
        <v>0</v>
      </c>
      <c r="V273" s="618">
        <f t="shared" si="324"/>
        <v>0</v>
      </c>
      <c r="W273" s="618">
        <f t="shared" si="324"/>
        <v>0</v>
      </c>
      <c r="X273" s="350">
        <f>G273/1000</f>
        <v>0</v>
      </c>
      <c r="Y273" s="25">
        <f t="shared" ref="Y273:AD273" si="325">+Y274+Y275</f>
        <v>0</v>
      </c>
      <c r="Z273" s="25">
        <f t="shared" si="325"/>
        <v>0</v>
      </c>
      <c r="AA273" s="25">
        <f t="shared" si="325"/>
        <v>0</v>
      </c>
      <c r="AB273" s="25">
        <f t="shared" si="325"/>
        <v>0</v>
      </c>
      <c r="AC273" s="25">
        <f t="shared" si="325"/>
        <v>0</v>
      </c>
      <c r="AD273" s="25">
        <f t="shared" si="325"/>
        <v>0</v>
      </c>
      <c r="AE273" s="615"/>
      <c r="AF273" s="10">
        <f>Y273/1000</f>
        <v>0</v>
      </c>
      <c r="AG273" s="2">
        <f>SUM(AG275)</f>
        <v>15000000</v>
      </c>
      <c r="AH273" s="308">
        <f>SUM(AH274:AH275)</f>
        <v>0</v>
      </c>
      <c r="AI273" s="33">
        <f>SUM(AI274:AI275)</f>
        <v>15000000</v>
      </c>
      <c r="AJ273" s="33">
        <f>SUM(AJ274:AJ275)</f>
        <v>0</v>
      </c>
      <c r="AK273" s="33">
        <f>SUM(AK274:AK275)</f>
        <v>0</v>
      </c>
      <c r="AL273" s="623"/>
      <c r="AM273" s="623">
        <f>+AM275</f>
        <v>35000</v>
      </c>
      <c r="AN273" s="34">
        <f t="shared" ref="AN273:AU273" si="326">SUM(AN274:AN275)</f>
        <v>15000000</v>
      </c>
      <c r="AO273" s="35">
        <f t="shared" si="326"/>
        <v>0</v>
      </c>
      <c r="AP273" s="34">
        <f t="shared" si="326"/>
        <v>15000000</v>
      </c>
      <c r="AQ273" s="305">
        <f t="shared" si="326"/>
        <v>0</v>
      </c>
      <c r="AR273" s="35">
        <f t="shared" si="326"/>
        <v>0</v>
      </c>
      <c r="AS273" s="35">
        <f t="shared" si="326"/>
        <v>0</v>
      </c>
      <c r="AT273" s="35">
        <f t="shared" si="326"/>
        <v>15000000</v>
      </c>
      <c r="AU273" s="622">
        <f t="shared" si="326"/>
        <v>30000000</v>
      </c>
      <c r="AV273" s="611">
        <f>AM273/$AM$7</f>
        <v>3.0511059570459678E-3</v>
      </c>
      <c r="AW273" s="621">
        <f>+AW275</f>
        <v>40000</v>
      </c>
      <c r="AX273" s="609">
        <f>AW273/$AW$7</f>
        <v>7.7348509974096492E-4</v>
      </c>
      <c r="AY273" s="608">
        <f>+F273/$F$7</f>
        <v>6.1476664872415739E-4</v>
      </c>
      <c r="AZ273" s="561">
        <f>AZ275</f>
        <v>0</v>
      </c>
      <c r="BA273" s="608">
        <f>+AZ273/$AZ$7</f>
        <v>0</v>
      </c>
      <c r="BB273" s="560">
        <f>+F273-AZ273</f>
        <v>40000</v>
      </c>
      <c r="BC273" s="607"/>
      <c r="BD273" s="561">
        <f>BD275</f>
        <v>62834.75</v>
      </c>
      <c r="BE273" s="605">
        <f>+BD273/$BD$7</f>
        <v>1.4472518663238296E-3</v>
      </c>
      <c r="BF273" s="560">
        <f>AZ273-BD273</f>
        <v>-62834.75</v>
      </c>
      <c r="BG273" s="604">
        <f>+BF273/BD273</f>
        <v>-1</v>
      </c>
      <c r="BH273" s="555"/>
    </row>
    <row r="274" spans="1:60" ht="15.75" hidden="1" customHeight="1" x14ac:dyDescent="0.3">
      <c r="A274" s="559" t="s">
        <v>374</v>
      </c>
      <c r="B274" s="634" t="s">
        <v>378</v>
      </c>
      <c r="C274" s="637"/>
      <c r="D274" s="20">
        <f>+G274+Y274+AG274+AN274</f>
        <v>0</v>
      </c>
      <c r="E274" s="620">
        <f>SUM(G274+Y274+AG274+AN274)</f>
        <v>0</v>
      </c>
      <c r="F274" s="558">
        <f>+X274+AF274+AM274+AW274</f>
        <v>0</v>
      </c>
      <c r="G274" s="20">
        <f>SUM(H274:W274)</f>
        <v>0</v>
      </c>
      <c r="H274" s="375"/>
      <c r="I274" s="375"/>
      <c r="J274" s="375"/>
      <c r="K274" s="375"/>
      <c r="L274" s="341"/>
      <c r="M274" s="1"/>
      <c r="N274" s="375"/>
      <c r="O274" s="375"/>
      <c r="P274" s="341"/>
      <c r="Q274" s="375"/>
      <c r="R274" s="1"/>
      <c r="S274" s="1"/>
      <c r="T274" s="1"/>
      <c r="U274" s="1"/>
      <c r="V274" s="1"/>
      <c r="W274" s="1"/>
      <c r="X274" s="617">
        <f>G274/1000</f>
        <v>0</v>
      </c>
      <c r="Y274" s="1"/>
      <c r="Z274" s="1"/>
      <c r="AA274" s="1"/>
      <c r="AB274" s="1"/>
      <c r="AC274" s="1"/>
      <c r="AD274" s="1"/>
      <c r="AE274" s="615">
        <f>X274/$X$7*100</f>
        <v>0</v>
      </c>
      <c r="AF274" s="8">
        <f>Y274/1000</f>
        <v>0</v>
      </c>
      <c r="AG274" s="2">
        <f>SUM(AH274:AJ274)</f>
        <v>0</v>
      </c>
      <c r="AH274" s="309">
        <v>0</v>
      </c>
      <c r="AI274" s="13">
        <v>0</v>
      </c>
      <c r="AJ274" s="35">
        <v>0</v>
      </c>
      <c r="AK274" s="35">
        <v>0</v>
      </c>
      <c r="AL274" s="614"/>
      <c r="AM274" s="614">
        <f>AG274/1000</f>
        <v>0</v>
      </c>
      <c r="AN274" s="34">
        <v>0</v>
      </c>
      <c r="AO274" s="35">
        <v>0</v>
      </c>
      <c r="AP274" s="34">
        <v>0</v>
      </c>
      <c r="AQ274" s="305">
        <v>0</v>
      </c>
      <c r="AR274" s="35">
        <v>0</v>
      </c>
      <c r="AS274" s="35">
        <v>0</v>
      </c>
      <c r="AT274" s="35">
        <v>0</v>
      </c>
      <c r="AU274" s="612">
        <v>0</v>
      </c>
      <c r="AV274" s="611">
        <f>AM274/$AM$7</f>
        <v>0</v>
      </c>
      <c r="AW274" s="610">
        <f>AN274/1000</f>
        <v>0</v>
      </c>
      <c r="AX274" s="609">
        <f>AW274/$AW$7</f>
        <v>0</v>
      </c>
      <c r="AY274" s="608">
        <f>+F274/$F$7</f>
        <v>0</v>
      </c>
      <c r="AZ274" s="606">
        <f>+((0/7))*12/1000</f>
        <v>0</v>
      </c>
      <c r="BA274" s="608">
        <f>+AZ274/$AZ$7</f>
        <v>0</v>
      </c>
      <c r="BB274" s="560">
        <f>+F274-AZ274</f>
        <v>0</v>
      </c>
      <c r="BC274" s="607"/>
      <c r="BD274" s="606"/>
      <c r="BE274" s="605">
        <f>+BD274/$BD$7</f>
        <v>0</v>
      </c>
      <c r="BF274" s="560">
        <f>AZ274-BD274</f>
        <v>0</v>
      </c>
      <c r="BG274" s="604" t="e">
        <f>+BF274/BD274</f>
        <v>#DIV/0!</v>
      </c>
      <c r="BH274" s="555"/>
    </row>
    <row r="275" spans="1:60" ht="16.5" customHeight="1" x14ac:dyDescent="0.3">
      <c r="A275" s="559" t="s">
        <v>375</v>
      </c>
      <c r="B275" s="638" t="s">
        <v>485</v>
      </c>
      <c r="C275" s="637"/>
      <c r="D275" s="20">
        <f>+G275+Y275+AG275+AN275</f>
        <v>30000000</v>
      </c>
      <c r="E275" s="620">
        <f>SUM(G275+Y275+AG275+AN275)</f>
        <v>30000000</v>
      </c>
      <c r="F275" s="558">
        <f>40000000/1000</f>
        <v>40000</v>
      </c>
      <c r="G275" s="20">
        <f>SUM(H275:W275)</f>
        <v>0</v>
      </c>
      <c r="H275" s="375"/>
      <c r="I275" s="375"/>
      <c r="J275" s="375"/>
      <c r="K275" s="375"/>
      <c r="L275" s="341"/>
      <c r="M275" s="1"/>
      <c r="N275" s="375"/>
      <c r="O275" s="375"/>
      <c r="P275" s="341"/>
      <c r="Q275" s="375"/>
      <c r="R275" s="1"/>
      <c r="S275" s="1"/>
      <c r="T275" s="1"/>
      <c r="U275" s="1"/>
      <c r="V275" s="1"/>
      <c r="W275" s="1"/>
      <c r="X275" s="617">
        <f>G275/1000</f>
        <v>0</v>
      </c>
      <c r="Y275" s="8">
        <f>SUM(Z275:AD275)</f>
        <v>0</v>
      </c>
      <c r="Z275" s="1"/>
      <c r="AA275" s="1"/>
      <c r="AB275" s="1"/>
      <c r="AC275" s="1"/>
      <c r="AD275" s="1"/>
      <c r="AE275" s="615"/>
      <c r="AF275" s="8">
        <f>Y275/1000</f>
        <v>0</v>
      </c>
      <c r="AG275" s="2">
        <f>SUM(AH275:AK275)</f>
        <v>15000000</v>
      </c>
      <c r="AH275" s="309"/>
      <c r="AI275" s="13">
        <v>15000000</v>
      </c>
      <c r="AJ275" s="35">
        <v>0</v>
      </c>
      <c r="AK275" s="35">
        <v>0</v>
      </c>
      <c r="AL275" s="614"/>
      <c r="AM275" s="614">
        <f>+'[2]Egresos -2015 '!$AM$272</f>
        <v>35000</v>
      </c>
      <c r="AN275" s="30">
        <f>SUM(AO275+AP275)</f>
        <v>15000000</v>
      </c>
      <c r="AO275" s="35">
        <v>0</v>
      </c>
      <c r="AP275" s="613">
        <f>SUM(AQ275:AT275)</f>
        <v>15000000</v>
      </c>
      <c r="AQ275" s="305">
        <v>0</v>
      </c>
      <c r="AR275" s="35">
        <v>0</v>
      </c>
      <c r="AS275" s="35">
        <v>0</v>
      </c>
      <c r="AT275" s="35">
        <v>15000000</v>
      </c>
      <c r="AU275" s="612">
        <f>SUM(AN275+AG275+Y275+G275)</f>
        <v>30000000</v>
      </c>
      <c r="AV275" s="611">
        <f>AM275/$AM$7</f>
        <v>3.0511059570459678E-3</v>
      </c>
      <c r="AW275" s="610">
        <f>+'[2]Egresos -2015 '!$AO$272</f>
        <v>40000</v>
      </c>
      <c r="AX275" s="609">
        <f>AW275/$AW$7</f>
        <v>7.7348509974096492E-4</v>
      </c>
      <c r="AY275" s="608">
        <f>+F275/$F$7</f>
        <v>6.1476664872415739E-4</v>
      </c>
      <c r="AZ275" s="606">
        <f>+((0/6))*12/1000</f>
        <v>0</v>
      </c>
      <c r="BA275" s="608">
        <f>+AZ275/$AZ$7</f>
        <v>0</v>
      </c>
      <c r="BB275" s="560">
        <f>+F275-AZ275</f>
        <v>40000</v>
      </c>
      <c r="BC275" s="607"/>
      <c r="BD275" s="606">
        <v>62834.75</v>
      </c>
      <c r="BE275" s="605">
        <f>+BD275/$BD$7</f>
        <v>1.4472518663238296E-3</v>
      </c>
      <c r="BF275" s="560">
        <f>AZ275-BD275</f>
        <v>-62834.75</v>
      </c>
      <c r="BG275" s="604">
        <f>+BF275/BD275</f>
        <v>-1</v>
      </c>
      <c r="BH275" s="555"/>
    </row>
    <row r="276" spans="1:60" ht="15.75" customHeight="1" x14ac:dyDescent="0.3">
      <c r="A276" s="562"/>
      <c r="B276" s="634"/>
      <c r="C276" s="635"/>
      <c r="D276" s="20"/>
      <c r="E276" s="620"/>
      <c r="F276" s="558"/>
      <c r="G276" s="20"/>
      <c r="H276" s="375"/>
      <c r="I276" s="375"/>
      <c r="J276" s="375"/>
      <c r="K276" s="375"/>
      <c r="L276" s="341"/>
      <c r="M276" s="1"/>
      <c r="N276" s="375"/>
      <c r="O276" s="375"/>
      <c r="P276" s="341"/>
      <c r="Q276" s="375"/>
      <c r="R276" s="1"/>
      <c r="S276" s="1"/>
      <c r="T276" s="1"/>
      <c r="U276" s="1"/>
      <c r="V276" s="1"/>
      <c r="W276" s="1"/>
      <c r="X276" s="617"/>
      <c r="Y276" s="1"/>
      <c r="Z276" s="1"/>
      <c r="AA276" s="1"/>
      <c r="AB276" s="1"/>
      <c r="AC276" s="1"/>
      <c r="AD276" s="1"/>
      <c r="AE276" s="615"/>
      <c r="AF276" s="8"/>
      <c r="AG276" s="2"/>
      <c r="AH276" s="636"/>
      <c r="AI276" s="9"/>
      <c r="AJ276" s="35"/>
      <c r="AK276" s="35"/>
      <c r="AL276" s="614"/>
      <c r="AM276" s="614"/>
      <c r="AN276" s="34"/>
      <c r="AO276" s="35"/>
      <c r="AP276" s="34"/>
      <c r="AQ276" s="305"/>
      <c r="AR276" s="35"/>
      <c r="AS276" s="35"/>
      <c r="AT276" s="35"/>
      <c r="AU276" s="612"/>
      <c r="AV276" s="611"/>
      <c r="AW276" s="610"/>
      <c r="AX276" s="609"/>
      <c r="AY276" s="608"/>
      <c r="AZ276" s="606"/>
      <c r="BA276" s="608"/>
      <c r="BB276" s="560"/>
      <c r="BC276" s="607"/>
      <c r="BD276" s="606"/>
      <c r="BE276" s="605"/>
      <c r="BF276" s="560"/>
      <c r="BG276" s="604"/>
      <c r="BH276" s="555"/>
    </row>
    <row r="277" spans="1:60" ht="15.75" customHeight="1" x14ac:dyDescent="0.3">
      <c r="A277" s="562" t="s">
        <v>349</v>
      </c>
      <c r="B277" s="1973" t="s">
        <v>350</v>
      </c>
      <c r="C277" s="1974"/>
      <c r="D277" s="21">
        <f>SUM(D278:D284)</f>
        <v>8503807046.8100004</v>
      </c>
      <c r="E277" s="628">
        <f>SUM(G277+Y277+AG277+AN277)</f>
        <v>8503807046.8100004</v>
      </c>
      <c r="F277" s="561">
        <f>F278+F279+F280+F286</f>
        <v>5866221.6189999999</v>
      </c>
      <c r="G277" s="21">
        <f>SUM(H277:W277)</f>
        <v>0</v>
      </c>
      <c r="H277" s="374">
        <f t="shared" ref="H277:W277" si="327">H278</f>
        <v>0</v>
      </c>
      <c r="I277" s="374">
        <f t="shared" si="327"/>
        <v>0</v>
      </c>
      <c r="J277" s="374">
        <f t="shared" si="327"/>
        <v>0</v>
      </c>
      <c r="K277" s="374">
        <f t="shared" si="327"/>
        <v>0</v>
      </c>
      <c r="L277" s="23">
        <f t="shared" si="327"/>
        <v>0</v>
      </c>
      <c r="M277" s="23">
        <f t="shared" si="327"/>
        <v>0</v>
      </c>
      <c r="N277" s="374">
        <f t="shared" si="327"/>
        <v>0</v>
      </c>
      <c r="O277" s="374">
        <f t="shared" si="327"/>
        <v>0</v>
      </c>
      <c r="P277" s="23">
        <f t="shared" si="327"/>
        <v>0</v>
      </c>
      <c r="Q277" s="374">
        <f t="shared" si="327"/>
        <v>0</v>
      </c>
      <c r="R277" s="23">
        <f t="shared" si="327"/>
        <v>0</v>
      </c>
      <c r="S277" s="23">
        <f t="shared" si="327"/>
        <v>0</v>
      </c>
      <c r="T277" s="23">
        <f t="shared" si="327"/>
        <v>0</v>
      </c>
      <c r="U277" s="23">
        <f t="shared" si="327"/>
        <v>0</v>
      </c>
      <c r="V277" s="23">
        <f t="shared" si="327"/>
        <v>0</v>
      </c>
      <c r="W277" s="23">
        <f t="shared" si="327"/>
        <v>0</v>
      </c>
      <c r="X277" s="350">
        <f>G277/1000</f>
        <v>0</v>
      </c>
      <c r="Y277" s="23">
        <f t="shared" ref="Y277:AD277" si="328">Y278</f>
        <v>0</v>
      </c>
      <c r="Z277" s="23">
        <f t="shared" si="328"/>
        <v>0</v>
      </c>
      <c r="AA277" s="23">
        <f t="shared" si="328"/>
        <v>0</v>
      </c>
      <c r="AB277" s="23">
        <f t="shared" si="328"/>
        <v>0</v>
      </c>
      <c r="AC277" s="23">
        <f t="shared" si="328"/>
        <v>0</v>
      </c>
      <c r="AD277" s="23">
        <f t="shared" si="328"/>
        <v>0</v>
      </c>
      <c r="AE277" s="615"/>
      <c r="AF277" s="10">
        <f>Y277/1000</f>
        <v>0</v>
      </c>
      <c r="AG277" s="2">
        <f>SUM(AG278:AG284)</f>
        <v>1875000000</v>
      </c>
      <c r="AH277" s="308">
        <f>SUM(AH278)</f>
        <v>0</v>
      </c>
      <c r="AI277" s="33">
        <f>SUM(AI278:AI284)</f>
        <v>1875000000</v>
      </c>
      <c r="AJ277" s="33">
        <f>SUM(AJ278)</f>
        <v>0</v>
      </c>
      <c r="AK277" s="33">
        <f>SUM(AK278)</f>
        <v>0</v>
      </c>
      <c r="AL277" s="623"/>
      <c r="AM277" s="623">
        <f>+AM278+AM281+AM284+AM285+AM286</f>
        <v>1714404.8689999999</v>
      </c>
      <c r="AN277" s="34">
        <f t="shared" ref="AN277:AT277" si="329">SUM(AN278)</f>
        <v>6628807046.8100004</v>
      </c>
      <c r="AO277" s="35">
        <f t="shared" si="329"/>
        <v>0</v>
      </c>
      <c r="AP277" s="34">
        <f t="shared" si="329"/>
        <v>6628807046.8100004</v>
      </c>
      <c r="AQ277" s="305">
        <f t="shared" si="329"/>
        <v>0</v>
      </c>
      <c r="AR277" s="35">
        <f t="shared" si="329"/>
        <v>0</v>
      </c>
      <c r="AS277" s="35">
        <f t="shared" si="329"/>
        <v>0</v>
      </c>
      <c r="AT277" s="35">
        <f t="shared" si="329"/>
        <v>6628807046.8100004</v>
      </c>
      <c r="AU277" s="622">
        <f>SUM(AU278:AU279)</f>
        <v>6628807046.8100004</v>
      </c>
      <c r="AV277" s="611">
        <f>AM277/$AM$7</f>
        <v>0.14945231167412892</v>
      </c>
      <c r="AW277" s="621">
        <f>+AW278+AW281+AW284+AW285+AW286</f>
        <v>5363871.8140000002</v>
      </c>
      <c r="AX277" s="609">
        <f>AW277/$AW$7</f>
        <v>0.10372187312623851</v>
      </c>
      <c r="AY277" s="608">
        <f t="shared" ref="AY277:AY286" si="330">+F277/$F$7</f>
        <v>9.0158935134645776E-2</v>
      </c>
      <c r="AZ277" s="561">
        <f>AZ278+AZ279+AZ280+AZ286</f>
        <v>106039.77719999998</v>
      </c>
      <c r="BA277" s="608">
        <f t="shared" ref="BA277:BA286" si="331">+AZ277/$AZ$7</f>
        <v>2.9033302223111794E-3</v>
      </c>
      <c r="BB277" s="560">
        <f t="shared" ref="BB277:BB286" si="332">+F277-AZ277</f>
        <v>5760181.8417999996</v>
      </c>
      <c r="BC277" s="607">
        <f>+BB277/AZ277</f>
        <v>54.32095383353937</v>
      </c>
      <c r="BD277" s="561">
        <f>BD278+BD279+BD280+BD286</f>
        <v>93791.01</v>
      </c>
      <c r="BE277" s="605">
        <f t="shared" ref="BE277:BE286" si="333">+BD277/$BD$7</f>
        <v>2.1602570912894054E-3</v>
      </c>
      <c r="BF277" s="560">
        <f t="shared" ref="BF277:BF286" si="334">AZ277-BD277</f>
        <v>12248.767199999987</v>
      </c>
      <c r="BG277" s="604">
        <f>+BF277/BD277</f>
        <v>0.13059638871572007</v>
      </c>
      <c r="BH277" s="555"/>
    </row>
    <row r="278" spans="1:60" ht="15.75" customHeight="1" x14ac:dyDescent="0.3">
      <c r="A278" s="559" t="s">
        <v>546</v>
      </c>
      <c r="B278" s="1967" t="s">
        <v>351</v>
      </c>
      <c r="C278" s="1968"/>
      <c r="D278" s="20">
        <f>+G278+Y278+AG278+AN278</f>
        <v>6628807046.8100004</v>
      </c>
      <c r="E278" s="620">
        <f>SUM(G278+Y278+AG278+AN278)</f>
        <v>6628807046.8100004</v>
      </c>
      <c r="F278" s="558">
        <f>2852705648/1000</f>
        <v>2852705.648</v>
      </c>
      <c r="G278" s="20">
        <f>SUM(H278:W278)</f>
        <v>0</v>
      </c>
      <c r="H278" s="375"/>
      <c r="I278" s="375"/>
      <c r="J278" s="375"/>
      <c r="K278" s="375"/>
      <c r="L278" s="341"/>
      <c r="M278" s="1"/>
      <c r="N278" s="375"/>
      <c r="O278" s="375"/>
      <c r="P278" s="341"/>
      <c r="Q278" s="375"/>
      <c r="R278" s="1"/>
      <c r="S278" s="1"/>
      <c r="T278" s="1"/>
      <c r="U278" s="1"/>
      <c r="V278" s="1"/>
      <c r="W278" s="1"/>
      <c r="X278" s="617">
        <f>G278/1000</f>
        <v>0</v>
      </c>
      <c r="Y278" s="8">
        <f>SUM(Z278:AD278)</f>
        <v>0</v>
      </c>
      <c r="Z278" s="1"/>
      <c r="AA278" s="1"/>
      <c r="AB278" s="1"/>
      <c r="AC278" s="1"/>
      <c r="AD278" s="1"/>
      <c r="AE278" s="615"/>
      <c r="AF278" s="8">
        <f>Y278/1000</f>
        <v>0</v>
      </c>
      <c r="AG278" s="2">
        <f>SUM(AH278:AK278)</f>
        <v>0</v>
      </c>
      <c r="AH278" s="309"/>
      <c r="AI278" s="13"/>
      <c r="AJ278" s="35">
        <v>0</v>
      </c>
      <c r="AK278" s="35">
        <v>0</v>
      </c>
      <c r="AL278" s="614"/>
      <c r="AM278" s="614">
        <v>0</v>
      </c>
      <c r="AN278" s="30">
        <f>SUM(AO278+AP278)</f>
        <v>6628807046.8100004</v>
      </c>
      <c r="AO278" s="35">
        <v>0</v>
      </c>
      <c r="AP278" s="613">
        <f>SUM(AQ278:AT278)</f>
        <v>6628807046.8100004</v>
      </c>
      <c r="AQ278" s="305">
        <v>0</v>
      </c>
      <c r="AR278" s="35">
        <v>0</v>
      </c>
      <c r="AS278" s="35">
        <v>0</v>
      </c>
      <c r="AT278" s="35">
        <f>6142807046.81+486000000</f>
        <v>6628807046.8100004</v>
      </c>
      <c r="AU278" s="612">
        <f>SUM(AN278+AG278+Y278+G278)</f>
        <v>6628807046.8100004</v>
      </c>
      <c r="AV278" s="611">
        <f>AM278/$AM$7</f>
        <v>0</v>
      </c>
      <c r="AW278" s="610">
        <f>+'[2]Egresos -2015 '!$AO$275</f>
        <v>4363871.8140000002</v>
      </c>
      <c r="AX278" s="609">
        <f>AW278/$AW$7</f>
        <v>8.4384745632714392E-2</v>
      </c>
      <c r="AY278" s="608">
        <f t="shared" si="330"/>
        <v>4.3843707275435892E-2</v>
      </c>
      <c r="AZ278" s="606">
        <f>+((53019888.6/6))*12/1000</f>
        <v>106039.77719999998</v>
      </c>
      <c r="BA278" s="608">
        <f t="shared" si="331"/>
        <v>2.9033302223111794E-3</v>
      </c>
      <c r="BB278" s="560">
        <f t="shared" si="332"/>
        <v>2746665.8708000001</v>
      </c>
      <c r="BC278" s="607">
        <f>+BB278/AZ278</f>
        <v>25.9022221974265</v>
      </c>
      <c r="BD278" s="606">
        <v>93791.01</v>
      </c>
      <c r="BE278" s="605">
        <f t="shared" si="333"/>
        <v>2.1602570912894054E-3</v>
      </c>
      <c r="BF278" s="560">
        <f t="shared" si="334"/>
        <v>12248.767199999987</v>
      </c>
      <c r="BG278" s="604">
        <f>+BF278/BD278</f>
        <v>0.13059638871572007</v>
      </c>
      <c r="BH278" s="555"/>
    </row>
    <row r="279" spans="1:60" ht="15.75" customHeight="1" x14ac:dyDescent="0.3">
      <c r="A279" s="559" t="s">
        <v>547</v>
      </c>
      <c r="B279" s="634" t="s">
        <v>548</v>
      </c>
      <c r="C279" s="635"/>
      <c r="D279" s="20">
        <f>+G279+Y279+AG279+AN279</f>
        <v>0</v>
      </c>
      <c r="E279" s="620">
        <f>SUM(G279+Y279+AG279+AN279)</f>
        <v>0</v>
      </c>
      <c r="F279" s="558">
        <f>1490555000/1000</f>
        <v>1490555</v>
      </c>
      <c r="G279" s="20"/>
      <c r="H279" s="375"/>
      <c r="I279" s="375"/>
      <c r="J279" s="375"/>
      <c r="K279" s="375"/>
      <c r="L279" s="341"/>
      <c r="M279" s="1"/>
      <c r="N279" s="375"/>
      <c r="O279" s="375"/>
      <c r="P279" s="341"/>
      <c r="Q279" s="375"/>
      <c r="R279" s="1"/>
      <c r="S279" s="1"/>
      <c r="T279" s="1"/>
      <c r="U279" s="1"/>
      <c r="V279" s="1"/>
      <c r="W279" s="1"/>
      <c r="X279" s="617">
        <f>G279/1000</f>
        <v>0</v>
      </c>
      <c r="Y279" s="8">
        <f>SUM(Z279:AD279)</f>
        <v>0</v>
      </c>
      <c r="Z279" s="1"/>
      <c r="AA279" s="1"/>
      <c r="AB279" s="1"/>
      <c r="AC279" s="1"/>
      <c r="AD279" s="1"/>
      <c r="AE279" s="615"/>
      <c r="AF279" s="8">
        <f>Y279/1000</f>
        <v>0</v>
      </c>
      <c r="AG279" s="2">
        <f>SUM(AH279:AK279)</f>
        <v>0</v>
      </c>
      <c r="AH279" s="309"/>
      <c r="AI279" s="13"/>
      <c r="AJ279" s="35"/>
      <c r="AK279" s="35"/>
      <c r="AL279" s="614"/>
      <c r="AM279" s="614">
        <f>AG279/1000</f>
        <v>0</v>
      </c>
      <c r="AN279" s="30">
        <f>SUM(AO279+AP279)</f>
        <v>0</v>
      </c>
      <c r="AO279" s="35"/>
      <c r="AP279" s="613">
        <f>SUM(AQ279:AT279)</f>
        <v>0</v>
      </c>
      <c r="AQ279" s="305"/>
      <c r="AR279" s="35"/>
      <c r="AS279" s="35"/>
      <c r="AT279" s="35"/>
      <c r="AU279" s="612">
        <f>SUM(AN279+AG279+Y279+G279)</f>
        <v>0</v>
      </c>
      <c r="AV279" s="611">
        <f>AM279/$AM$7</f>
        <v>0</v>
      </c>
      <c r="AW279" s="610">
        <f>AN279/1000</f>
        <v>0</v>
      </c>
      <c r="AX279" s="609">
        <f>AW279/$AW$7</f>
        <v>0</v>
      </c>
      <c r="AY279" s="608">
        <f t="shared" si="330"/>
        <v>2.2908587552225912E-2</v>
      </c>
      <c r="AZ279" s="606">
        <f>+((0/7))*12/1000</f>
        <v>0</v>
      </c>
      <c r="BA279" s="608">
        <f t="shared" si="331"/>
        <v>0</v>
      </c>
      <c r="BB279" s="560">
        <f t="shared" si="332"/>
        <v>1490555</v>
      </c>
      <c r="BC279" s="607">
        <v>0</v>
      </c>
      <c r="BD279" s="606">
        <v>0</v>
      </c>
      <c r="BE279" s="605">
        <f t="shared" si="333"/>
        <v>0</v>
      </c>
      <c r="BF279" s="560">
        <f t="shared" si="334"/>
        <v>0</v>
      </c>
      <c r="BG279" s="604">
        <v>0</v>
      </c>
      <c r="BH279" s="555"/>
    </row>
    <row r="280" spans="1:60" ht="15.75" customHeight="1" x14ac:dyDescent="0.3">
      <c r="A280" s="559"/>
      <c r="B280" s="634" t="s">
        <v>749</v>
      </c>
      <c r="C280" s="635"/>
      <c r="D280" s="20"/>
      <c r="E280" s="620"/>
      <c r="F280" s="558">
        <f>458960971/1000</f>
        <v>458960.97100000002</v>
      </c>
      <c r="G280" s="20"/>
      <c r="H280" s="375"/>
      <c r="I280" s="375"/>
      <c r="J280" s="375"/>
      <c r="K280" s="375"/>
      <c r="L280" s="341"/>
      <c r="M280" s="1"/>
      <c r="N280" s="375"/>
      <c r="O280" s="375"/>
      <c r="P280" s="341"/>
      <c r="Q280" s="375"/>
      <c r="R280" s="1"/>
      <c r="S280" s="1"/>
      <c r="T280" s="1"/>
      <c r="U280" s="1"/>
      <c r="V280" s="1"/>
      <c r="W280" s="1"/>
      <c r="X280" s="617"/>
      <c r="Y280" s="8"/>
      <c r="Z280" s="1"/>
      <c r="AA280" s="1"/>
      <c r="AB280" s="1"/>
      <c r="AC280" s="1"/>
      <c r="AD280" s="1"/>
      <c r="AE280" s="615"/>
      <c r="AF280" s="8"/>
      <c r="AG280" s="2"/>
      <c r="AH280" s="309"/>
      <c r="AI280" s="13"/>
      <c r="AJ280" s="35"/>
      <c r="AK280" s="35"/>
      <c r="AL280" s="614"/>
      <c r="AM280" s="614"/>
      <c r="AN280" s="30"/>
      <c r="AO280" s="35"/>
      <c r="AP280" s="613"/>
      <c r="AQ280" s="305"/>
      <c r="AR280" s="35"/>
      <c r="AS280" s="35"/>
      <c r="AT280" s="35"/>
      <c r="AU280" s="612"/>
      <c r="AV280" s="611"/>
      <c r="AW280" s="610"/>
      <c r="AX280" s="609"/>
      <c r="AY280" s="608">
        <f t="shared" si="330"/>
        <v>7.0538474509213803E-3</v>
      </c>
      <c r="AZ280" s="606">
        <f>+((0/6))*12/1000</f>
        <v>0</v>
      </c>
      <c r="BA280" s="608">
        <f t="shared" si="331"/>
        <v>0</v>
      </c>
      <c r="BB280" s="560">
        <f t="shared" si="332"/>
        <v>458960.97100000002</v>
      </c>
      <c r="BC280" s="607">
        <v>0</v>
      </c>
      <c r="BD280" s="606">
        <v>0</v>
      </c>
      <c r="BE280" s="605">
        <f t="shared" si="333"/>
        <v>0</v>
      </c>
      <c r="BF280" s="560">
        <f t="shared" si="334"/>
        <v>0</v>
      </c>
      <c r="BG280" s="604"/>
      <c r="BH280" s="555"/>
    </row>
    <row r="281" spans="1:60" ht="30.6" hidden="1" x14ac:dyDescent="0.3">
      <c r="A281" s="559" t="s">
        <v>561</v>
      </c>
      <c r="B281" s="634" t="s">
        <v>563</v>
      </c>
      <c r="C281" s="563"/>
      <c r="D281" s="20">
        <f>+G281+Y281+AG281+AN281</f>
        <v>685000000</v>
      </c>
      <c r="E281" s="620">
        <f>SUM(G281+Y281+AG281+AN281)</f>
        <v>685000000</v>
      </c>
      <c r="F281" s="558"/>
      <c r="G281" s="560"/>
      <c r="H281" s="560"/>
      <c r="I281" s="560"/>
      <c r="J281" s="560"/>
      <c r="K281" s="560"/>
      <c r="L281" s="5"/>
      <c r="M281" s="618"/>
      <c r="N281" s="560"/>
      <c r="O281" s="560"/>
      <c r="P281" s="5"/>
      <c r="Q281" s="560"/>
      <c r="R281" s="619"/>
      <c r="S281" s="618"/>
      <c r="T281" s="618"/>
      <c r="U281" s="618"/>
      <c r="V281" s="618"/>
      <c r="W281" s="618"/>
      <c r="X281" s="617">
        <f>G281/1000</f>
        <v>0</v>
      </c>
      <c r="Y281" s="8">
        <f>SUM(Z281:AD281)</f>
        <v>0</v>
      </c>
      <c r="Z281" s="560"/>
      <c r="AA281" s="560"/>
      <c r="AB281" s="560"/>
      <c r="AC281" s="560"/>
      <c r="AD281" s="560"/>
      <c r="AE281" s="615"/>
      <c r="AF281" s="8">
        <f>Y281/1000</f>
        <v>0</v>
      </c>
      <c r="AG281" s="2">
        <f>SUM(AH281:AK281)</f>
        <v>685000000</v>
      </c>
      <c r="AH281" s="556"/>
      <c r="AI281" s="632">
        <v>685000000</v>
      </c>
      <c r="AJ281" s="35"/>
      <c r="AK281" s="35"/>
      <c r="AL281" s="614"/>
      <c r="AM281" s="614">
        <f>+'[2]Egresos -2015 '!$AM$277</f>
        <v>406681.82199999999</v>
      </c>
      <c r="AN281" s="30">
        <f>SUM(AO281+AP281)</f>
        <v>0</v>
      </c>
      <c r="AO281" s="35"/>
      <c r="AP281" s="613">
        <f>SUM(AQ281:AT281)</f>
        <v>0</v>
      </c>
      <c r="AQ281" s="305"/>
      <c r="AR281" s="35"/>
      <c r="AS281" s="35"/>
      <c r="AT281" s="35"/>
      <c r="AU281" s="612"/>
      <c r="AV281" s="611">
        <f>AM281/$AM$7</f>
        <v>3.5452266563614512E-2</v>
      </c>
      <c r="AW281" s="610">
        <f>+'[2]Egresos -2015 '!$AO$276</f>
        <v>1000000</v>
      </c>
      <c r="AX281" s="609"/>
      <c r="AY281" s="608">
        <f t="shared" si="330"/>
        <v>0</v>
      </c>
      <c r="AZ281" s="606">
        <f t="shared" ref="AZ281:AZ286" si="335">+((0/7))*12/1000</f>
        <v>0</v>
      </c>
      <c r="BA281" s="608">
        <f t="shared" si="331"/>
        <v>0</v>
      </c>
      <c r="BB281" s="560">
        <f t="shared" si="332"/>
        <v>0</v>
      </c>
      <c r="BC281" s="607">
        <v>0</v>
      </c>
      <c r="BD281" s="606">
        <v>0</v>
      </c>
      <c r="BE281" s="605">
        <f t="shared" si="333"/>
        <v>0</v>
      </c>
      <c r="BF281" s="560">
        <f t="shared" si="334"/>
        <v>0</v>
      </c>
      <c r="BG281" s="604">
        <v>0</v>
      </c>
      <c r="BH281" s="555"/>
    </row>
    <row r="282" spans="1:60" ht="30.6" hidden="1" x14ac:dyDescent="0.3">
      <c r="A282" s="559" t="s">
        <v>562</v>
      </c>
      <c r="B282" s="634" t="s">
        <v>564</v>
      </c>
      <c r="C282" s="563"/>
      <c r="D282" s="20">
        <f>+G282+Y282+AG282+AN282</f>
        <v>450000000</v>
      </c>
      <c r="E282" s="620">
        <f>SUM(G282+Y282+AG282+AN282)</f>
        <v>450000000</v>
      </c>
      <c r="F282" s="558">
        <f>+X282+AF282+AM282+AW282</f>
        <v>450000</v>
      </c>
      <c r="G282" s="560"/>
      <c r="H282" s="560"/>
      <c r="I282" s="560"/>
      <c r="J282" s="560"/>
      <c r="K282" s="560"/>
      <c r="L282" s="5"/>
      <c r="M282" s="618"/>
      <c r="N282" s="560"/>
      <c r="O282" s="560"/>
      <c r="P282" s="5"/>
      <c r="Q282" s="560"/>
      <c r="R282" s="619"/>
      <c r="S282" s="618"/>
      <c r="T282" s="618"/>
      <c r="U282" s="618"/>
      <c r="V282" s="618"/>
      <c r="W282" s="618"/>
      <c r="X282" s="617">
        <f>G282/1000</f>
        <v>0</v>
      </c>
      <c r="Y282" s="8">
        <f>SUM(Z282:AD282)</f>
        <v>0</v>
      </c>
      <c r="Z282" s="560"/>
      <c r="AA282" s="560"/>
      <c r="AB282" s="560"/>
      <c r="AC282" s="560"/>
      <c r="AD282" s="560"/>
      <c r="AE282" s="615"/>
      <c r="AF282" s="8">
        <f>Y282/1000</f>
        <v>0</v>
      </c>
      <c r="AG282" s="2">
        <f>SUM(AH282:AK282)</f>
        <v>450000000</v>
      </c>
      <c r="AH282" s="556"/>
      <c r="AI282" s="632">
        <v>450000000</v>
      </c>
      <c r="AJ282" s="35"/>
      <c r="AK282" s="35"/>
      <c r="AL282" s="614"/>
      <c r="AM282" s="614">
        <f>AG282/1000</f>
        <v>450000</v>
      </c>
      <c r="AN282" s="30">
        <f>SUM(AO282+AP282)</f>
        <v>0</v>
      </c>
      <c r="AO282" s="35"/>
      <c r="AP282" s="613">
        <f>SUM(AQ282:AT282)</f>
        <v>0</v>
      </c>
      <c r="AQ282" s="305"/>
      <c r="AR282" s="35"/>
      <c r="AS282" s="35"/>
      <c r="AT282" s="35"/>
      <c r="AU282" s="612"/>
      <c r="AV282" s="611">
        <f>AM282/$AM$7</f>
        <v>3.9228505162019589E-2</v>
      </c>
      <c r="AW282" s="610">
        <f>AN282/1000</f>
        <v>0</v>
      </c>
      <c r="AX282" s="609"/>
      <c r="AY282" s="608">
        <f t="shared" si="330"/>
        <v>6.916124798146771E-3</v>
      </c>
      <c r="AZ282" s="606">
        <f t="shared" si="335"/>
        <v>0</v>
      </c>
      <c r="BA282" s="608">
        <f t="shared" si="331"/>
        <v>0</v>
      </c>
      <c r="BB282" s="560">
        <f t="shared" si="332"/>
        <v>450000</v>
      </c>
      <c r="BC282" s="607" t="e">
        <f>+BB282/AZ282</f>
        <v>#DIV/0!</v>
      </c>
      <c r="BD282" s="606"/>
      <c r="BE282" s="605">
        <f t="shared" si="333"/>
        <v>0</v>
      </c>
      <c r="BF282" s="560">
        <f t="shared" si="334"/>
        <v>0</v>
      </c>
      <c r="BG282" s="604">
        <v>0</v>
      </c>
      <c r="BH282" s="555"/>
    </row>
    <row r="283" spans="1:60" ht="30.6" hidden="1" x14ac:dyDescent="0.3">
      <c r="A283" s="559" t="s">
        <v>593</v>
      </c>
      <c r="B283" s="634" t="s">
        <v>594</v>
      </c>
      <c r="C283" s="563"/>
      <c r="D283" s="128">
        <f>+G283+Y283+AG283+AN283</f>
        <v>0</v>
      </c>
      <c r="E283" s="620">
        <f>SUM(G283+Y283+AG283+AN283)</f>
        <v>0</v>
      </c>
      <c r="F283" s="558">
        <f>+X283+AF283+AM283+AW283</f>
        <v>0</v>
      </c>
      <c r="G283" s="560"/>
      <c r="H283" s="560"/>
      <c r="I283" s="560"/>
      <c r="J283" s="560"/>
      <c r="K283" s="560"/>
      <c r="L283" s="5"/>
      <c r="M283" s="618"/>
      <c r="N283" s="560"/>
      <c r="O283" s="560"/>
      <c r="P283" s="5"/>
      <c r="Q283" s="560"/>
      <c r="R283" s="619"/>
      <c r="S283" s="618"/>
      <c r="T283" s="618"/>
      <c r="U283" s="618"/>
      <c r="V283" s="618"/>
      <c r="W283" s="618"/>
      <c r="X283" s="617">
        <f>G283/1000</f>
        <v>0</v>
      </c>
      <c r="Y283" s="8">
        <f>SUM(Z283:AD283)</f>
        <v>0</v>
      </c>
      <c r="Z283" s="560"/>
      <c r="AA283" s="560"/>
      <c r="AB283" s="560"/>
      <c r="AC283" s="560"/>
      <c r="AD283" s="560"/>
      <c r="AE283" s="615"/>
      <c r="AF283" s="8">
        <f>Y283/1000</f>
        <v>0</v>
      </c>
      <c r="AG283" s="2">
        <f>SUM(AH283:AK283)</f>
        <v>0</v>
      </c>
      <c r="AH283" s="556"/>
      <c r="AI283" s="632"/>
      <c r="AJ283" s="35"/>
      <c r="AK283" s="35"/>
      <c r="AL283" s="614"/>
      <c r="AM283" s="614">
        <f>AG283/1000</f>
        <v>0</v>
      </c>
      <c r="AN283" s="30">
        <f>SUM(AO283+AP283)</f>
        <v>0</v>
      </c>
      <c r="AO283" s="35"/>
      <c r="AP283" s="613">
        <f>SUM(AQ283:AT283)</f>
        <v>0</v>
      </c>
      <c r="AQ283" s="305"/>
      <c r="AR283" s="35"/>
      <c r="AS283" s="35"/>
      <c r="AT283" s="35"/>
      <c r="AU283" s="612"/>
      <c r="AV283" s="611">
        <f>AM283/$AM$7</f>
        <v>0</v>
      </c>
      <c r="AW283" s="610">
        <f>AN283/1000</f>
        <v>0</v>
      </c>
      <c r="AX283" s="609"/>
      <c r="AY283" s="608">
        <f t="shared" si="330"/>
        <v>0</v>
      </c>
      <c r="AZ283" s="606">
        <f t="shared" si="335"/>
        <v>0</v>
      </c>
      <c r="BA283" s="608">
        <f t="shared" si="331"/>
        <v>0</v>
      </c>
      <c r="BB283" s="560">
        <f t="shared" si="332"/>
        <v>0</v>
      </c>
      <c r="BC283" s="607" t="e">
        <f>+BB283/AZ283</f>
        <v>#DIV/0!</v>
      </c>
      <c r="BD283" s="606"/>
      <c r="BE283" s="605">
        <f t="shared" si="333"/>
        <v>0</v>
      </c>
      <c r="BF283" s="560">
        <f t="shared" si="334"/>
        <v>0</v>
      </c>
      <c r="BG283" s="604">
        <v>0</v>
      </c>
      <c r="BH283" s="555"/>
    </row>
    <row r="284" spans="1:60" hidden="1" x14ac:dyDescent="0.3">
      <c r="A284" s="559" t="str">
        <f>+'[2]Egresos -2015 '!$A$278</f>
        <v>7.02.01.09</v>
      </c>
      <c r="B284" s="1969" t="str">
        <f>+'[2]Egresos -2015 '!$B$278</f>
        <v>Casos Individuales Art.59 Proyecto BRI-BRI</v>
      </c>
      <c r="C284" s="1970"/>
      <c r="D284" s="633">
        <f>+G284+Y284+AG284+AN284</f>
        <v>740000000</v>
      </c>
      <c r="E284" s="620">
        <f>SUM(G284+Y284+AG284+AN284)</f>
        <v>740000000</v>
      </c>
      <c r="F284" s="558">
        <v>0</v>
      </c>
      <c r="G284" s="560"/>
      <c r="H284" s="560"/>
      <c r="I284" s="560"/>
      <c r="J284" s="560"/>
      <c r="K284" s="560"/>
      <c r="L284" s="5"/>
      <c r="M284" s="618"/>
      <c r="N284" s="560"/>
      <c r="O284" s="560"/>
      <c r="P284" s="5"/>
      <c r="Q284" s="560"/>
      <c r="R284" s="619"/>
      <c r="S284" s="618"/>
      <c r="T284" s="618"/>
      <c r="U284" s="618"/>
      <c r="V284" s="618"/>
      <c r="W284" s="618"/>
      <c r="X284" s="617">
        <f>G284/1000</f>
        <v>0</v>
      </c>
      <c r="Y284" s="8">
        <f>SUM(Z284:AD284)</f>
        <v>0</v>
      </c>
      <c r="Z284" s="560"/>
      <c r="AA284" s="560"/>
      <c r="AB284" s="560"/>
      <c r="AC284" s="560"/>
      <c r="AD284" s="560"/>
      <c r="AE284" s="615"/>
      <c r="AF284" s="8">
        <f>Y284/1000</f>
        <v>0</v>
      </c>
      <c r="AG284" s="2">
        <f>SUM(AH284:AK284)</f>
        <v>740000000</v>
      </c>
      <c r="AH284" s="556"/>
      <c r="AI284" s="632">
        <v>740000000</v>
      </c>
      <c r="AJ284" s="35"/>
      <c r="AK284" s="35"/>
      <c r="AL284" s="614"/>
      <c r="AM284" s="614">
        <f>+'[2]Egresos -2015 '!$AM$278</f>
        <v>450000</v>
      </c>
      <c r="AN284" s="30">
        <f>SUM(AO284+AP284)</f>
        <v>0</v>
      </c>
      <c r="AO284" s="35"/>
      <c r="AP284" s="613">
        <f>SUM(AQ284:AT284)</f>
        <v>0</v>
      </c>
      <c r="AQ284" s="305"/>
      <c r="AR284" s="35"/>
      <c r="AS284" s="35"/>
      <c r="AT284" s="35"/>
      <c r="AU284" s="612"/>
      <c r="AV284" s="611">
        <f>AM284/$AM$7</f>
        <v>3.9228505162019589E-2</v>
      </c>
      <c r="AW284" s="610">
        <v>0</v>
      </c>
      <c r="AX284" s="609"/>
      <c r="AY284" s="608">
        <f t="shared" si="330"/>
        <v>0</v>
      </c>
      <c r="AZ284" s="606">
        <f t="shared" si="335"/>
        <v>0</v>
      </c>
      <c r="BA284" s="608">
        <f t="shared" si="331"/>
        <v>0</v>
      </c>
      <c r="BB284" s="560">
        <f t="shared" si="332"/>
        <v>0</v>
      </c>
      <c r="BC284" s="607">
        <v>0</v>
      </c>
      <c r="BD284" s="606">
        <v>0</v>
      </c>
      <c r="BE284" s="605">
        <f t="shared" si="333"/>
        <v>0</v>
      </c>
      <c r="BF284" s="560">
        <f t="shared" si="334"/>
        <v>0</v>
      </c>
      <c r="BG284" s="604">
        <v>0</v>
      </c>
      <c r="BH284" s="555"/>
    </row>
    <row r="285" spans="1:60" hidden="1" x14ac:dyDescent="0.3">
      <c r="A285" s="559" t="str">
        <f>+'[2]Egresos -2015 '!$A$280</f>
        <v>7.02.01.11</v>
      </c>
      <c r="B285" s="634" t="str">
        <f>+'[2]Egresos -2015 '!$B$280</f>
        <v>Casos Individuales Art.59 Los Lirios</v>
      </c>
      <c r="C285" s="563"/>
      <c r="D285" s="633"/>
      <c r="E285" s="620"/>
      <c r="F285" s="558">
        <v>0</v>
      </c>
      <c r="G285" s="560"/>
      <c r="H285" s="560"/>
      <c r="I285" s="560"/>
      <c r="J285" s="560"/>
      <c r="K285" s="560"/>
      <c r="L285" s="5"/>
      <c r="M285" s="618"/>
      <c r="N285" s="560"/>
      <c r="O285" s="560"/>
      <c r="P285" s="5"/>
      <c r="Q285" s="560"/>
      <c r="R285" s="619"/>
      <c r="S285" s="618"/>
      <c r="T285" s="618"/>
      <c r="U285" s="618"/>
      <c r="V285" s="618"/>
      <c r="W285" s="618"/>
      <c r="X285" s="617"/>
      <c r="Y285" s="8"/>
      <c r="Z285" s="560"/>
      <c r="AA285" s="560"/>
      <c r="AB285" s="560"/>
      <c r="AC285" s="560"/>
      <c r="AD285" s="560"/>
      <c r="AE285" s="615"/>
      <c r="AF285" s="8"/>
      <c r="AG285" s="2"/>
      <c r="AH285" s="556"/>
      <c r="AI285" s="632"/>
      <c r="AJ285" s="35"/>
      <c r="AK285" s="35"/>
      <c r="AL285" s="614"/>
      <c r="AM285" s="614">
        <f>+'[2]Egresos -2015 '!$AM$280</f>
        <v>305223.04700000002</v>
      </c>
      <c r="AN285" s="30"/>
      <c r="AO285" s="35"/>
      <c r="AP285" s="613"/>
      <c r="AQ285" s="305"/>
      <c r="AR285" s="35"/>
      <c r="AS285" s="35"/>
      <c r="AT285" s="35"/>
      <c r="AU285" s="612"/>
      <c r="AV285" s="611"/>
      <c r="AW285" s="610">
        <v>0</v>
      </c>
      <c r="AX285" s="609"/>
      <c r="AY285" s="608">
        <f t="shared" si="330"/>
        <v>0</v>
      </c>
      <c r="AZ285" s="606">
        <f t="shared" si="335"/>
        <v>0</v>
      </c>
      <c r="BA285" s="608">
        <f t="shared" si="331"/>
        <v>0</v>
      </c>
      <c r="BB285" s="560">
        <f t="shared" si="332"/>
        <v>0</v>
      </c>
      <c r="BC285" s="607">
        <v>0</v>
      </c>
      <c r="BD285" s="606">
        <v>0</v>
      </c>
      <c r="BE285" s="605">
        <f t="shared" si="333"/>
        <v>0</v>
      </c>
      <c r="BF285" s="560">
        <f t="shared" si="334"/>
        <v>0</v>
      </c>
      <c r="BG285" s="604">
        <v>0</v>
      </c>
      <c r="BH285" s="555"/>
    </row>
    <row r="286" spans="1:60" ht="30.6" x14ac:dyDescent="0.3">
      <c r="A286" s="559" t="str">
        <f>+'[2]Egresos -2015 '!$A$281</f>
        <v>7.02.01.12</v>
      </c>
      <c r="B286" s="629" t="str">
        <f>+'[2]Egresos -2015 '!$B$281</f>
        <v>Casos Individuales Art.59 Juan Rafael Mora</v>
      </c>
      <c r="C286" s="563"/>
      <c r="D286" s="560"/>
      <c r="E286" s="620"/>
      <c r="F286" s="558">
        <f>1064000000/1000</f>
        <v>1064000</v>
      </c>
      <c r="G286" s="560"/>
      <c r="H286" s="560"/>
      <c r="I286" s="560"/>
      <c r="J286" s="560"/>
      <c r="K286" s="560"/>
      <c r="L286" s="5"/>
      <c r="M286" s="618"/>
      <c r="N286" s="560"/>
      <c r="O286" s="560"/>
      <c r="P286" s="5"/>
      <c r="Q286" s="560"/>
      <c r="R286" s="619"/>
      <c r="S286" s="618"/>
      <c r="T286" s="618"/>
      <c r="U286" s="618"/>
      <c r="V286" s="618"/>
      <c r="W286" s="618"/>
      <c r="X286" s="617"/>
      <c r="Y286" s="560"/>
      <c r="Z286" s="560"/>
      <c r="AA286" s="560"/>
      <c r="AB286" s="560"/>
      <c r="AC286" s="560"/>
      <c r="AD286" s="560"/>
      <c r="AE286" s="615"/>
      <c r="AF286" s="8"/>
      <c r="AG286" s="11"/>
      <c r="AH286" s="556"/>
      <c r="AI286" s="560"/>
      <c r="AJ286" s="35"/>
      <c r="AK286" s="35"/>
      <c r="AL286" s="614"/>
      <c r="AM286" s="614">
        <f>+'[2]Egresos -2015 '!$AM$281</f>
        <v>552500</v>
      </c>
      <c r="AN286" s="34"/>
      <c r="AO286" s="35"/>
      <c r="AP286" s="34"/>
      <c r="AQ286" s="305"/>
      <c r="AR286" s="35"/>
      <c r="AS286" s="35"/>
      <c r="AT286" s="35"/>
      <c r="AU286" s="612"/>
      <c r="AV286" s="611"/>
      <c r="AW286" s="610">
        <v>0</v>
      </c>
      <c r="AX286" s="609"/>
      <c r="AY286" s="608">
        <f t="shared" si="330"/>
        <v>1.6352792856062587E-2</v>
      </c>
      <c r="AZ286" s="606">
        <f t="shared" si="335"/>
        <v>0</v>
      </c>
      <c r="BA286" s="608">
        <f t="shared" si="331"/>
        <v>0</v>
      </c>
      <c r="BB286" s="560">
        <f t="shared" si="332"/>
        <v>1064000</v>
      </c>
      <c r="BC286" s="607">
        <v>0</v>
      </c>
      <c r="BD286" s="606">
        <v>0</v>
      </c>
      <c r="BE286" s="605">
        <f t="shared" si="333"/>
        <v>0</v>
      </c>
      <c r="BF286" s="560">
        <f t="shared" si="334"/>
        <v>0</v>
      </c>
      <c r="BG286" s="604">
        <v>0</v>
      </c>
      <c r="BH286" s="555"/>
    </row>
    <row r="287" spans="1:60" x14ac:dyDescent="0.3">
      <c r="A287" s="559"/>
      <c r="B287" s="629"/>
      <c r="C287" s="563"/>
      <c r="D287" s="560"/>
      <c r="E287" s="620"/>
      <c r="F287" s="558"/>
      <c r="G287" s="560"/>
      <c r="H287" s="560"/>
      <c r="I287" s="560"/>
      <c r="J287" s="560"/>
      <c r="K287" s="560"/>
      <c r="L287" s="5"/>
      <c r="M287" s="618"/>
      <c r="N287" s="560"/>
      <c r="O287" s="560"/>
      <c r="P287" s="5"/>
      <c r="Q287" s="560"/>
      <c r="R287" s="619"/>
      <c r="S287" s="618"/>
      <c r="T287" s="618"/>
      <c r="U287" s="618"/>
      <c r="V287" s="618"/>
      <c r="W287" s="618"/>
      <c r="X287" s="617"/>
      <c r="Y287" s="560"/>
      <c r="Z287" s="560"/>
      <c r="AA287" s="560"/>
      <c r="AB287" s="560"/>
      <c r="AC287" s="560"/>
      <c r="AD287" s="560"/>
      <c r="AE287" s="615"/>
      <c r="AF287" s="8"/>
      <c r="AG287" s="11"/>
      <c r="AH287" s="556"/>
      <c r="AI287" s="560"/>
      <c r="AJ287" s="35"/>
      <c r="AK287" s="35"/>
      <c r="AL287" s="614"/>
      <c r="AM287" s="614"/>
      <c r="AN287" s="34"/>
      <c r="AO287" s="35"/>
      <c r="AP287" s="34"/>
      <c r="AQ287" s="305"/>
      <c r="AR287" s="35"/>
      <c r="AS287" s="35"/>
      <c r="AT287" s="35"/>
      <c r="AU287" s="612"/>
      <c r="AV287" s="611"/>
      <c r="AW287" s="610"/>
      <c r="AX287" s="609"/>
      <c r="AY287" s="608"/>
      <c r="AZ287" s="606"/>
      <c r="BA287" s="608"/>
      <c r="BB287" s="560"/>
      <c r="BC287" s="607"/>
      <c r="BD287" s="606"/>
      <c r="BE287" s="605"/>
      <c r="BF287" s="560"/>
      <c r="BG287" s="604"/>
      <c r="BH287" s="555"/>
    </row>
    <row r="288" spans="1:60" x14ac:dyDescent="0.3">
      <c r="A288" s="564">
        <v>8</v>
      </c>
      <c r="B288" s="1971" t="s">
        <v>352</v>
      </c>
      <c r="C288" s="1972"/>
      <c r="D288" s="630">
        <f>+D290</f>
        <v>16638947000</v>
      </c>
      <c r="E288" s="628">
        <f>SUM(E290)</f>
        <v>16638947000</v>
      </c>
      <c r="F288" s="561">
        <f>F290</f>
        <v>10216380.5</v>
      </c>
      <c r="G288" s="560"/>
      <c r="H288" s="560"/>
      <c r="I288" s="560"/>
      <c r="J288" s="560"/>
      <c r="K288" s="560"/>
      <c r="L288" s="5"/>
      <c r="M288" s="618"/>
      <c r="N288" s="560"/>
      <c r="O288" s="560"/>
      <c r="P288" s="5"/>
      <c r="Q288" s="560"/>
      <c r="R288" s="619"/>
      <c r="S288" s="618"/>
      <c r="T288" s="618"/>
      <c r="U288" s="618"/>
      <c r="V288" s="618"/>
      <c r="W288" s="618"/>
      <c r="X288" s="350">
        <f>G288/1000</f>
        <v>0</v>
      </c>
      <c r="Y288" s="560"/>
      <c r="Z288" s="560"/>
      <c r="AA288" s="560"/>
      <c r="AB288" s="560"/>
      <c r="AC288" s="560"/>
      <c r="AD288" s="560"/>
      <c r="AE288" s="615"/>
      <c r="AF288" s="10">
        <f>Y288/1000</f>
        <v>0</v>
      </c>
      <c r="AG288" s="11">
        <f>SUM(AG290)</f>
        <v>0</v>
      </c>
      <c r="AH288" s="308">
        <f>AH290</f>
        <v>0</v>
      </c>
      <c r="AI288" s="33">
        <f>AI290</f>
        <v>0</v>
      </c>
      <c r="AJ288" s="33">
        <f>AJ290</f>
        <v>0</v>
      </c>
      <c r="AK288" s="33">
        <f>AK290</f>
        <v>0</v>
      </c>
      <c r="AL288" s="623"/>
      <c r="AM288" s="623">
        <f>AG288/1000</f>
        <v>0</v>
      </c>
      <c r="AN288" s="34">
        <f t="shared" ref="AN288:AU288" si="336">AN290</f>
        <v>16638947000</v>
      </c>
      <c r="AO288" s="35">
        <f t="shared" si="336"/>
        <v>16638947000</v>
      </c>
      <c r="AP288" s="34">
        <f t="shared" si="336"/>
        <v>0</v>
      </c>
      <c r="AQ288" s="305">
        <f t="shared" si="336"/>
        <v>0</v>
      </c>
      <c r="AR288" s="35">
        <f t="shared" si="336"/>
        <v>0</v>
      </c>
      <c r="AS288" s="35">
        <f t="shared" si="336"/>
        <v>0</v>
      </c>
      <c r="AT288" s="35">
        <f t="shared" si="336"/>
        <v>0</v>
      </c>
      <c r="AU288" s="622">
        <f t="shared" si="336"/>
        <v>16638947000</v>
      </c>
      <c r="AV288" s="611">
        <f>AM288/$AM$7</f>
        <v>0</v>
      </c>
      <c r="AW288" s="621">
        <f>+AW290</f>
        <v>15961539.323000001</v>
      </c>
      <c r="AX288" s="609">
        <f>AW288/$AW$7</f>
        <v>0.30865032088174971</v>
      </c>
      <c r="AY288" s="608">
        <f>+F288/$F$7</f>
        <v>0.15701725005189579</v>
      </c>
      <c r="AZ288" s="561">
        <f>AZ290</f>
        <v>7386295.079020001</v>
      </c>
      <c r="BA288" s="608">
        <f t="shared" ref="BA288:BA294" si="337">+AZ288/$AZ$7</f>
        <v>0.20223405122193255</v>
      </c>
      <c r="BB288" s="560">
        <f>+F288-AZ288</f>
        <v>2830085.420979999</v>
      </c>
      <c r="BC288" s="607">
        <f>+BB288/AZ288</f>
        <v>0.38315358250695408</v>
      </c>
      <c r="BD288" s="561">
        <f>BD290</f>
        <v>12479515.16</v>
      </c>
      <c r="BE288" s="605">
        <f>+BD288/$BD$7</f>
        <v>0.28743651571982898</v>
      </c>
      <c r="BF288" s="560">
        <f>AZ288-BD288</f>
        <v>-5093220.0809799992</v>
      </c>
      <c r="BG288" s="604">
        <f>+BF288/BD288</f>
        <v>-0.4081264388623892</v>
      </c>
      <c r="BH288" s="555"/>
    </row>
    <row r="289" spans="1:60" x14ac:dyDescent="0.3">
      <c r="A289" s="559"/>
      <c r="B289" s="629"/>
      <c r="C289" s="563"/>
      <c r="D289" s="631"/>
      <c r="E289" s="620"/>
      <c r="F289" s="558"/>
      <c r="G289" s="560"/>
      <c r="H289" s="560"/>
      <c r="I289" s="560"/>
      <c r="J289" s="560"/>
      <c r="K289" s="560"/>
      <c r="L289" s="5"/>
      <c r="M289" s="618"/>
      <c r="N289" s="560"/>
      <c r="O289" s="560"/>
      <c r="P289" s="5"/>
      <c r="Q289" s="560"/>
      <c r="R289" s="619"/>
      <c r="S289" s="618"/>
      <c r="T289" s="618"/>
      <c r="U289" s="618"/>
      <c r="V289" s="618"/>
      <c r="W289" s="618"/>
      <c r="X289" s="617"/>
      <c r="Y289" s="560"/>
      <c r="Z289" s="560"/>
      <c r="AA289" s="560"/>
      <c r="AB289" s="560"/>
      <c r="AC289" s="560"/>
      <c r="AD289" s="560"/>
      <c r="AE289" s="615"/>
      <c r="AF289" s="8"/>
      <c r="AG289" s="11"/>
      <c r="AH289" s="305"/>
      <c r="AI289" s="35"/>
      <c r="AJ289" s="35"/>
      <c r="AK289" s="35"/>
      <c r="AL289" s="614"/>
      <c r="AM289" s="614"/>
      <c r="AN289" s="34"/>
      <c r="AO289" s="35"/>
      <c r="AP289" s="34"/>
      <c r="AQ289" s="305"/>
      <c r="AR289" s="35"/>
      <c r="AS289" s="35"/>
      <c r="AT289" s="35"/>
      <c r="AU289" s="612"/>
      <c r="AV289" s="611"/>
      <c r="AW289" s="610"/>
      <c r="AX289" s="609"/>
      <c r="AY289" s="608"/>
      <c r="AZ289" s="606"/>
      <c r="BA289" s="608">
        <f t="shared" si="337"/>
        <v>0</v>
      </c>
      <c r="BB289" s="560"/>
      <c r="BC289" s="607"/>
      <c r="BD289" s="606"/>
      <c r="BE289" s="605"/>
      <c r="BF289" s="560"/>
      <c r="BG289" s="604"/>
      <c r="BH289" s="555"/>
    </row>
    <row r="290" spans="1:60" ht="15.75" customHeight="1" x14ac:dyDescent="0.3">
      <c r="A290" s="562" t="s">
        <v>353</v>
      </c>
      <c r="B290" s="1971" t="s">
        <v>354</v>
      </c>
      <c r="C290" s="1974"/>
      <c r="D290" s="630">
        <f>SUM(D291:D294)</f>
        <v>16638947000</v>
      </c>
      <c r="E290" s="628">
        <f>SUM(G290+Y290+AG290+AN290)</f>
        <v>16638947000</v>
      </c>
      <c r="F290" s="561">
        <f>F294</f>
        <v>10216380.5</v>
      </c>
      <c r="G290" s="560"/>
      <c r="H290" s="560"/>
      <c r="I290" s="560"/>
      <c r="J290" s="560"/>
      <c r="K290" s="560"/>
      <c r="L290" s="5"/>
      <c r="M290" s="618"/>
      <c r="N290" s="560"/>
      <c r="O290" s="560"/>
      <c r="P290" s="5"/>
      <c r="Q290" s="560"/>
      <c r="R290" s="619"/>
      <c r="S290" s="618"/>
      <c r="T290" s="618"/>
      <c r="U290" s="618"/>
      <c r="V290" s="618"/>
      <c r="W290" s="618"/>
      <c r="X290" s="350">
        <f>G290/1000</f>
        <v>0</v>
      </c>
      <c r="Y290" s="560"/>
      <c r="Z290" s="560"/>
      <c r="AA290" s="560"/>
      <c r="AB290" s="560"/>
      <c r="AC290" s="560"/>
      <c r="AD290" s="560"/>
      <c r="AE290" s="615"/>
      <c r="AF290" s="10">
        <f>Y290/1000</f>
        <v>0</v>
      </c>
      <c r="AG290" s="11">
        <f>SUM(AG294)</f>
        <v>0</v>
      </c>
      <c r="AH290" s="308">
        <f>SUM(AH291:AH294)</f>
        <v>0</v>
      </c>
      <c r="AI290" s="33">
        <f>SUM(AI291:AI294)</f>
        <v>0</v>
      </c>
      <c r="AJ290" s="33">
        <f>SUM(AJ291:AJ294)</f>
        <v>0</v>
      </c>
      <c r="AK290" s="33">
        <f>SUM(AK291:AK294)</f>
        <v>0</v>
      </c>
      <c r="AL290" s="623"/>
      <c r="AM290" s="623">
        <f>AG290/1000</f>
        <v>0</v>
      </c>
      <c r="AN290" s="34">
        <f t="shared" ref="AN290:AU290" si="338">SUM(AN291:AN294)</f>
        <v>16638947000</v>
      </c>
      <c r="AO290" s="35">
        <f t="shared" si="338"/>
        <v>16638947000</v>
      </c>
      <c r="AP290" s="34">
        <f t="shared" si="338"/>
        <v>0</v>
      </c>
      <c r="AQ290" s="305">
        <f t="shared" si="338"/>
        <v>0</v>
      </c>
      <c r="AR290" s="35">
        <f t="shared" si="338"/>
        <v>0</v>
      </c>
      <c r="AS290" s="35">
        <f t="shared" si="338"/>
        <v>0</v>
      </c>
      <c r="AT290" s="35">
        <f t="shared" si="338"/>
        <v>0</v>
      </c>
      <c r="AU290" s="622">
        <f t="shared" si="338"/>
        <v>16638947000</v>
      </c>
      <c r="AV290" s="611">
        <f>AM290/$AM$7</f>
        <v>0</v>
      </c>
      <c r="AW290" s="621">
        <f>+AW294</f>
        <v>15961539.323000001</v>
      </c>
      <c r="AX290" s="609">
        <f>AW290/$AW$7</f>
        <v>0.30865032088174971</v>
      </c>
      <c r="AY290" s="608">
        <f>+F290/$F$7</f>
        <v>0.15701725005189579</v>
      </c>
      <c r="AZ290" s="561">
        <f>AZ293+AZ294</f>
        <v>7386295.079020001</v>
      </c>
      <c r="BA290" s="608">
        <f t="shared" si="337"/>
        <v>0.20223405122193255</v>
      </c>
      <c r="BB290" s="560">
        <f>+F290-AZ290</f>
        <v>2830085.420979999</v>
      </c>
      <c r="BC290" s="607">
        <f>+BB290/AZ290</f>
        <v>0.38315358250695408</v>
      </c>
      <c r="BD290" s="561">
        <f>BD294</f>
        <v>12479515.16</v>
      </c>
      <c r="BE290" s="605">
        <f>+BD290/$BD$7</f>
        <v>0.28743651571982898</v>
      </c>
      <c r="BF290" s="560">
        <f>AZ290-BD290</f>
        <v>-5093220.0809799992</v>
      </c>
      <c r="BG290" s="604">
        <f>+BF290/BD290</f>
        <v>-0.4081264388623892</v>
      </c>
      <c r="BH290" s="555"/>
    </row>
    <row r="291" spans="1:60" ht="15" hidden="1" customHeight="1" x14ac:dyDescent="0.3">
      <c r="A291" s="559" t="s">
        <v>355</v>
      </c>
      <c r="B291" s="1977" t="s">
        <v>356</v>
      </c>
      <c r="C291" s="1978"/>
      <c r="D291" s="129">
        <f>+G291+Y291+AG291+AN291</f>
        <v>0</v>
      </c>
      <c r="E291" s="620">
        <f>SUM(G291+Y291+AG291+AN291)</f>
        <v>0</v>
      </c>
      <c r="F291" s="558">
        <f>+X291+AF291+AM291+AW291</f>
        <v>0</v>
      </c>
      <c r="G291" s="560"/>
      <c r="H291" s="560"/>
      <c r="I291" s="560"/>
      <c r="J291" s="560"/>
      <c r="K291" s="560"/>
      <c r="L291" s="5"/>
      <c r="M291" s="618"/>
      <c r="N291" s="560"/>
      <c r="O291" s="560"/>
      <c r="P291" s="5"/>
      <c r="Q291" s="560"/>
      <c r="R291" s="619"/>
      <c r="S291" s="618"/>
      <c r="T291" s="618"/>
      <c r="U291" s="618"/>
      <c r="V291" s="618"/>
      <c r="W291" s="618"/>
      <c r="X291" s="617">
        <f>G291/1000</f>
        <v>0</v>
      </c>
      <c r="Y291" s="560"/>
      <c r="Z291" s="560"/>
      <c r="AA291" s="560"/>
      <c r="AB291" s="560"/>
      <c r="AC291" s="560"/>
      <c r="AD291" s="560"/>
      <c r="AE291" s="615">
        <f>X291/$X$7*100</f>
        <v>0</v>
      </c>
      <c r="AF291" s="8">
        <f>Y291/1000</f>
        <v>0</v>
      </c>
      <c r="AG291" s="11">
        <f>SUM(AH291:AJ291)</f>
        <v>0</v>
      </c>
      <c r="AH291" s="305">
        <v>0</v>
      </c>
      <c r="AI291" s="35">
        <v>0</v>
      </c>
      <c r="AJ291" s="35">
        <v>0</v>
      </c>
      <c r="AK291" s="35">
        <v>0</v>
      </c>
      <c r="AL291" s="614"/>
      <c r="AM291" s="614">
        <f>AG291/1000</f>
        <v>0</v>
      </c>
      <c r="AN291" s="34">
        <v>0</v>
      </c>
      <c r="AO291" s="35">
        <v>0</v>
      </c>
      <c r="AP291" s="34">
        <v>0</v>
      </c>
      <c r="AQ291" s="305">
        <v>0</v>
      </c>
      <c r="AR291" s="35">
        <v>0</v>
      </c>
      <c r="AS291" s="35">
        <v>0</v>
      </c>
      <c r="AT291" s="35">
        <v>0</v>
      </c>
      <c r="AU291" s="612">
        <v>0</v>
      </c>
      <c r="AV291" s="611">
        <f>AM291/$AM$7</f>
        <v>0</v>
      </c>
      <c r="AW291" s="610">
        <f>AN291/1000</f>
        <v>0</v>
      </c>
      <c r="AX291" s="609">
        <f>AW291/$AW$7</f>
        <v>0</v>
      </c>
      <c r="AY291" s="608">
        <f>+F291/$F$7</f>
        <v>0</v>
      </c>
      <c r="AZ291" s="606">
        <f>+((0/7))*12/1000</f>
        <v>0</v>
      </c>
      <c r="BA291" s="608">
        <f t="shared" si="337"/>
        <v>0</v>
      </c>
      <c r="BB291" s="560">
        <f>+F291-AZ291</f>
        <v>0</v>
      </c>
      <c r="BC291" s="607" t="e">
        <f>+BB291/AZ291</f>
        <v>#DIV/0!</v>
      </c>
      <c r="BD291" s="561">
        <f>BD295</f>
        <v>0</v>
      </c>
      <c r="BE291" s="605">
        <f>+BD291/$BD$7</f>
        <v>0</v>
      </c>
      <c r="BF291" s="560">
        <f>AZ291-BD291</f>
        <v>0</v>
      </c>
      <c r="BG291" s="604" t="e">
        <f>+BF291/BD291</f>
        <v>#DIV/0!</v>
      </c>
      <c r="BH291" s="555"/>
    </row>
    <row r="292" spans="1:60" ht="15" hidden="1" customHeight="1" x14ac:dyDescent="0.3">
      <c r="A292" s="559" t="s">
        <v>357</v>
      </c>
      <c r="B292" s="1977" t="s">
        <v>358</v>
      </c>
      <c r="C292" s="1978"/>
      <c r="D292" s="129">
        <f>+G292+Y292+AG292+AN292</f>
        <v>0</v>
      </c>
      <c r="E292" s="620">
        <f>SUM(G292+Y292+AG292+AN292)</f>
        <v>0</v>
      </c>
      <c r="F292" s="558">
        <f>+X292+AF292+AM292+AW292</f>
        <v>0</v>
      </c>
      <c r="G292" s="560"/>
      <c r="H292" s="560"/>
      <c r="I292" s="560"/>
      <c r="J292" s="560"/>
      <c r="K292" s="560"/>
      <c r="L292" s="5"/>
      <c r="M292" s="618"/>
      <c r="N292" s="560"/>
      <c r="O292" s="560"/>
      <c r="P292" s="5"/>
      <c r="Q292" s="560"/>
      <c r="R292" s="619"/>
      <c r="S292" s="618"/>
      <c r="T292" s="618"/>
      <c r="U292" s="618"/>
      <c r="V292" s="618"/>
      <c r="W292" s="618"/>
      <c r="X292" s="617">
        <f>G292/1000</f>
        <v>0</v>
      </c>
      <c r="Y292" s="560"/>
      <c r="Z292" s="560"/>
      <c r="AA292" s="560"/>
      <c r="AB292" s="560"/>
      <c r="AC292" s="560"/>
      <c r="AD292" s="560"/>
      <c r="AE292" s="615">
        <f>X292/$X$7*100</f>
        <v>0</v>
      </c>
      <c r="AF292" s="8">
        <f>Y292/1000</f>
        <v>0</v>
      </c>
      <c r="AG292" s="11">
        <f>SUM(AH292:AJ292)</f>
        <v>0</v>
      </c>
      <c r="AH292" s="305">
        <v>0</v>
      </c>
      <c r="AI292" s="35">
        <v>0</v>
      </c>
      <c r="AJ292" s="35">
        <v>0</v>
      </c>
      <c r="AK292" s="35">
        <v>0</v>
      </c>
      <c r="AL292" s="614"/>
      <c r="AM292" s="614">
        <f>AG292/1000</f>
        <v>0</v>
      </c>
      <c r="AN292" s="34">
        <v>0</v>
      </c>
      <c r="AO292" s="35">
        <v>0</v>
      </c>
      <c r="AP292" s="34">
        <v>0</v>
      </c>
      <c r="AQ292" s="305">
        <v>0</v>
      </c>
      <c r="AR292" s="35">
        <v>0</v>
      </c>
      <c r="AS292" s="35">
        <v>0</v>
      </c>
      <c r="AT292" s="35">
        <v>0</v>
      </c>
      <c r="AU292" s="612">
        <v>0</v>
      </c>
      <c r="AV292" s="611">
        <f>AM292/$AM$7</f>
        <v>0</v>
      </c>
      <c r="AW292" s="610">
        <f>AN292/1000</f>
        <v>0</v>
      </c>
      <c r="AX292" s="609">
        <f>AW292/$AW$7</f>
        <v>0</v>
      </c>
      <c r="AY292" s="608">
        <f>+F292/$F$7</f>
        <v>0</v>
      </c>
      <c r="AZ292" s="606">
        <f>+((0/7))*12/1000</f>
        <v>0</v>
      </c>
      <c r="BA292" s="608">
        <f t="shared" si="337"/>
        <v>0</v>
      </c>
      <c r="BB292" s="560">
        <f>+F292-AZ292</f>
        <v>0</v>
      </c>
      <c r="BC292" s="607" t="e">
        <f>+BB292/AZ292</f>
        <v>#DIV/0!</v>
      </c>
      <c r="BD292" s="561">
        <f>BD296</f>
        <v>0</v>
      </c>
      <c r="BE292" s="605">
        <f>+BD292/$BD$7</f>
        <v>0</v>
      </c>
      <c r="BF292" s="560">
        <f>AZ292-BD292</f>
        <v>0</v>
      </c>
      <c r="BG292" s="604" t="e">
        <f>+BF292/BD292</f>
        <v>#DIV/0!</v>
      </c>
      <c r="BH292" s="555"/>
    </row>
    <row r="293" spans="1:60" ht="15" customHeight="1" x14ac:dyDescent="0.3">
      <c r="A293" s="559" t="s">
        <v>359</v>
      </c>
      <c r="B293" s="1977" t="s">
        <v>360</v>
      </c>
      <c r="C293" s="1978"/>
      <c r="D293" s="129">
        <f>+G293+Y293+AG293+AN293</f>
        <v>0</v>
      </c>
      <c r="E293" s="620">
        <f>SUM(G293+Y293+AG293+AN293)</f>
        <v>0</v>
      </c>
      <c r="F293" s="558">
        <f>+X293+AF293+AM293+AW293</f>
        <v>0</v>
      </c>
      <c r="G293" s="560"/>
      <c r="H293" s="560"/>
      <c r="I293" s="560"/>
      <c r="J293" s="560"/>
      <c r="K293" s="560"/>
      <c r="L293" s="5"/>
      <c r="M293" s="618"/>
      <c r="N293" s="560"/>
      <c r="O293" s="560"/>
      <c r="P293" s="5"/>
      <c r="Q293" s="560"/>
      <c r="R293" s="619"/>
      <c r="S293" s="618"/>
      <c r="T293" s="618"/>
      <c r="U293" s="618"/>
      <c r="V293" s="618"/>
      <c r="W293" s="618"/>
      <c r="X293" s="617">
        <f>G293/1000</f>
        <v>0</v>
      </c>
      <c r="Y293" s="560"/>
      <c r="Z293" s="560"/>
      <c r="AA293" s="560"/>
      <c r="AB293" s="560"/>
      <c r="AC293" s="560"/>
      <c r="AD293" s="560"/>
      <c r="AE293" s="615">
        <f>X293/$X$7*100</f>
        <v>0</v>
      </c>
      <c r="AF293" s="8">
        <f>Y293/1000</f>
        <v>0</v>
      </c>
      <c r="AG293" s="11">
        <f>SUM(AH293:AJ293)</f>
        <v>0</v>
      </c>
      <c r="AH293" s="305">
        <v>0</v>
      </c>
      <c r="AI293" s="35">
        <v>0</v>
      </c>
      <c r="AJ293" s="35">
        <v>0</v>
      </c>
      <c r="AK293" s="35">
        <v>0</v>
      </c>
      <c r="AL293" s="614"/>
      <c r="AM293" s="614">
        <f>AG293/1000</f>
        <v>0</v>
      </c>
      <c r="AN293" s="34">
        <v>0</v>
      </c>
      <c r="AO293" s="35">
        <v>0</v>
      </c>
      <c r="AP293" s="34">
        <v>0</v>
      </c>
      <c r="AQ293" s="305">
        <v>0</v>
      </c>
      <c r="AR293" s="35">
        <v>0</v>
      </c>
      <c r="AS293" s="35">
        <v>0</v>
      </c>
      <c r="AT293" s="35">
        <v>0</v>
      </c>
      <c r="AU293" s="612">
        <v>0</v>
      </c>
      <c r="AV293" s="611">
        <f>AM293/$AM$7</f>
        <v>0</v>
      </c>
      <c r="AW293" s="610">
        <f>AN293/1000</f>
        <v>0</v>
      </c>
      <c r="AX293" s="609">
        <f>AW293/$AW$7</f>
        <v>0</v>
      </c>
      <c r="AY293" s="608">
        <f>+F293/$F$7</f>
        <v>0</v>
      </c>
      <c r="AZ293" s="606">
        <f>+((183049265/6))*12/1000</f>
        <v>366098.53</v>
      </c>
      <c r="BA293" s="608">
        <f t="shared" si="337"/>
        <v>1.0023643528484293E-2</v>
      </c>
      <c r="BB293" s="560">
        <f>+F293-AZ293</f>
        <v>-366098.53</v>
      </c>
      <c r="BC293" s="607">
        <f>+BB293/AZ293</f>
        <v>-1</v>
      </c>
      <c r="BD293" s="558">
        <f>BD297</f>
        <v>0</v>
      </c>
      <c r="BE293" s="605">
        <f>+BD293/$BD$7</f>
        <v>0</v>
      </c>
      <c r="BF293" s="560">
        <f>AZ293-BD293</f>
        <v>366098.53</v>
      </c>
      <c r="BG293" s="604"/>
      <c r="BH293" s="555"/>
    </row>
    <row r="294" spans="1:60" ht="15" customHeight="1" x14ac:dyDescent="0.3">
      <c r="A294" s="559" t="s">
        <v>361</v>
      </c>
      <c r="B294" s="1977" t="s">
        <v>362</v>
      </c>
      <c r="C294" s="1978"/>
      <c r="D294" s="129">
        <f>+G294+Y294+AG294+AN294</f>
        <v>16638947000</v>
      </c>
      <c r="E294" s="620">
        <f>SUM(G294+Y294+AG294+AN294)</f>
        <v>16638947000</v>
      </c>
      <c r="F294" s="558">
        <f>10216380500/1000</f>
        <v>10216380.5</v>
      </c>
      <c r="G294" s="560"/>
      <c r="H294" s="560"/>
      <c r="I294" s="560"/>
      <c r="J294" s="560"/>
      <c r="K294" s="560"/>
      <c r="L294" s="5"/>
      <c r="M294" s="618"/>
      <c r="N294" s="560"/>
      <c r="O294" s="560"/>
      <c r="P294" s="5"/>
      <c r="Q294" s="560"/>
      <c r="R294" s="619"/>
      <c r="S294" s="618"/>
      <c r="T294" s="618"/>
      <c r="U294" s="618"/>
      <c r="V294" s="618"/>
      <c r="W294" s="618"/>
      <c r="X294" s="617">
        <f>G294/1000</f>
        <v>0</v>
      </c>
      <c r="Y294" s="8">
        <f>SUM(Z294:AD294)</f>
        <v>0</v>
      </c>
      <c r="Z294" s="560"/>
      <c r="AA294" s="560"/>
      <c r="AB294" s="560"/>
      <c r="AC294" s="560"/>
      <c r="AD294" s="560"/>
      <c r="AE294" s="615"/>
      <c r="AF294" s="8">
        <f>Y294/1000</f>
        <v>0</v>
      </c>
      <c r="AG294" s="2">
        <f>SUM(AH294:AK294)</f>
        <v>0</v>
      </c>
      <c r="AH294" s="305">
        <v>0</v>
      </c>
      <c r="AI294" s="35">
        <v>0</v>
      </c>
      <c r="AJ294" s="35">
        <v>0</v>
      </c>
      <c r="AK294" s="35">
        <v>0</v>
      </c>
      <c r="AL294" s="614"/>
      <c r="AM294" s="614">
        <f>AG294/1000</f>
        <v>0</v>
      </c>
      <c r="AN294" s="30">
        <f>SUM(AO294+AP294)</f>
        <v>16638947000</v>
      </c>
      <c r="AO294" s="35">
        <v>16638947000</v>
      </c>
      <c r="AP294" s="613">
        <f>SUM(AQ294:AT294)</f>
        <v>0</v>
      </c>
      <c r="AQ294" s="305">
        <v>0</v>
      </c>
      <c r="AR294" s="35">
        <v>0</v>
      </c>
      <c r="AS294" s="35">
        <v>0</v>
      </c>
      <c r="AT294" s="35">
        <v>0</v>
      </c>
      <c r="AU294" s="612">
        <f>SUM(AN294+AG294+Y294+G294)</f>
        <v>16638947000</v>
      </c>
      <c r="AV294" s="611">
        <f>AM294/$AM$7</f>
        <v>0</v>
      </c>
      <c r="AW294" s="610">
        <f>+'[2]Egresos -2015 '!$AO$291</f>
        <v>15961539.323000001</v>
      </c>
      <c r="AX294" s="609">
        <f>AW294/$AW$7</f>
        <v>0.30865032088174971</v>
      </c>
      <c r="AY294" s="608">
        <f>+F294/$F$7</f>
        <v>0.15701725005189579</v>
      </c>
      <c r="AZ294" s="606">
        <f>+((3510098274.51/6))*12/1000</f>
        <v>7020196.5490200007</v>
      </c>
      <c r="BA294" s="608">
        <f t="shared" si="337"/>
        <v>0.19221040769344824</v>
      </c>
      <c r="BB294" s="560">
        <f>+F294-AZ294</f>
        <v>3196183.9509799993</v>
      </c>
      <c r="BC294" s="607">
        <f>+BB294/AZ294</f>
        <v>0.45528411187093865</v>
      </c>
      <c r="BD294" s="606">
        <v>12479515.16</v>
      </c>
      <c r="BE294" s="605">
        <f>+BD294/$BD$7</f>
        <v>0.28743651571982898</v>
      </c>
      <c r="BF294" s="560">
        <f>AZ294-BD294</f>
        <v>-5459318.6109799994</v>
      </c>
      <c r="BG294" s="604">
        <f>+BF294/BD294</f>
        <v>-0.43746239665451869</v>
      </c>
      <c r="BH294" s="555"/>
    </row>
    <row r="295" spans="1:60" x14ac:dyDescent="0.3">
      <c r="A295" s="559"/>
      <c r="B295" s="629"/>
      <c r="C295" s="563"/>
      <c r="D295" s="560"/>
      <c r="E295" s="620"/>
      <c r="F295" s="558"/>
      <c r="G295" s="560"/>
      <c r="H295" s="560"/>
      <c r="I295" s="560"/>
      <c r="J295" s="560"/>
      <c r="K295" s="560"/>
      <c r="L295" s="5"/>
      <c r="M295" s="618"/>
      <c r="N295" s="560"/>
      <c r="O295" s="560"/>
      <c r="P295" s="5"/>
      <c r="Q295" s="560"/>
      <c r="R295" s="619"/>
      <c r="S295" s="618"/>
      <c r="T295" s="618"/>
      <c r="U295" s="618"/>
      <c r="V295" s="618"/>
      <c r="W295" s="618"/>
      <c r="X295" s="617"/>
      <c r="Y295" s="560"/>
      <c r="Z295" s="560"/>
      <c r="AA295" s="560"/>
      <c r="AB295" s="560"/>
      <c r="AC295" s="560"/>
      <c r="AD295" s="560"/>
      <c r="AE295" s="615"/>
      <c r="AF295" s="8"/>
      <c r="AG295" s="11"/>
      <c r="AH295" s="305"/>
      <c r="AI295" s="35"/>
      <c r="AJ295" s="35"/>
      <c r="AK295" s="35"/>
      <c r="AL295" s="614"/>
      <c r="AM295" s="614"/>
      <c r="AN295" s="34"/>
      <c r="AO295" s="35"/>
      <c r="AP295" s="34"/>
      <c r="AQ295" s="305"/>
      <c r="AR295" s="35"/>
      <c r="AS295" s="35"/>
      <c r="AT295" s="35"/>
      <c r="AU295" s="612"/>
      <c r="AV295" s="611"/>
      <c r="AW295" s="610"/>
      <c r="AX295" s="609"/>
      <c r="AY295" s="608"/>
      <c r="AZ295" s="606"/>
      <c r="BA295" s="608"/>
      <c r="BB295" s="560"/>
      <c r="BC295" s="607"/>
      <c r="BD295" s="606"/>
      <c r="BE295" s="605"/>
      <c r="BF295" s="560"/>
      <c r="BG295" s="604"/>
      <c r="BH295" s="555"/>
    </row>
    <row r="296" spans="1:60" ht="15.75" customHeight="1" x14ac:dyDescent="0.3">
      <c r="A296" s="564">
        <v>9</v>
      </c>
      <c r="B296" s="1909" t="s">
        <v>363</v>
      </c>
      <c r="C296" s="1978"/>
      <c r="D296" s="625">
        <f>+D298</f>
        <v>2207142465.7992001</v>
      </c>
      <c r="E296" s="628">
        <f>SUM(E298)</f>
        <v>2207142465.7992001</v>
      </c>
      <c r="F296" s="561">
        <f>F298</f>
        <v>3350417.5040000002</v>
      </c>
      <c r="G296" s="560"/>
      <c r="H296" s="560"/>
      <c r="I296" s="560"/>
      <c r="J296" s="560"/>
      <c r="K296" s="560"/>
      <c r="L296" s="5"/>
      <c r="M296" s="618"/>
      <c r="N296" s="560"/>
      <c r="O296" s="560"/>
      <c r="P296" s="5"/>
      <c r="Q296" s="560"/>
      <c r="R296" s="619"/>
      <c r="S296" s="618"/>
      <c r="T296" s="618"/>
      <c r="U296" s="618"/>
      <c r="V296" s="618"/>
      <c r="W296" s="618"/>
      <c r="X296" s="350">
        <f>G296/1000</f>
        <v>0</v>
      </c>
      <c r="Y296" s="627">
        <f t="shared" ref="Y296:AD296" si="339">SUM(Y298)</f>
        <v>292887803.04920006</v>
      </c>
      <c r="Z296" s="627">
        <f t="shared" si="339"/>
        <v>0</v>
      </c>
      <c r="AA296" s="627">
        <f t="shared" si="339"/>
        <v>292887803.04920006</v>
      </c>
      <c r="AB296" s="627">
        <f t="shared" si="339"/>
        <v>0</v>
      </c>
      <c r="AC296" s="627">
        <f t="shared" si="339"/>
        <v>0</v>
      </c>
      <c r="AD296" s="627">
        <f t="shared" si="339"/>
        <v>0</v>
      </c>
      <c r="AE296" s="615"/>
      <c r="AF296" s="10">
        <f>+AF298</f>
        <v>97969.513999999981</v>
      </c>
      <c r="AG296" s="11">
        <f>SUM(AG298)</f>
        <v>135044644.78</v>
      </c>
      <c r="AH296" s="308">
        <f>AH298</f>
        <v>135044644.78</v>
      </c>
      <c r="AI296" s="33">
        <f>AI298</f>
        <v>0</v>
      </c>
      <c r="AJ296" s="33">
        <f>AJ298</f>
        <v>0</v>
      </c>
      <c r="AK296" s="33">
        <f>AK298</f>
        <v>0</v>
      </c>
      <c r="AL296" s="623">
        <f>(AF296/AF7)*100</f>
        <v>6.7667128337845632</v>
      </c>
      <c r="AM296" s="623">
        <f>+AM298</f>
        <v>1606907.439</v>
      </c>
      <c r="AN296" s="34">
        <f t="shared" ref="AN296:AU296" si="340">AN298</f>
        <v>1779210017.97</v>
      </c>
      <c r="AO296" s="35">
        <f t="shared" si="340"/>
        <v>1779210017.97</v>
      </c>
      <c r="AP296" s="34">
        <f t="shared" si="340"/>
        <v>0</v>
      </c>
      <c r="AQ296" s="305">
        <f t="shared" si="340"/>
        <v>0</v>
      </c>
      <c r="AR296" s="35">
        <f t="shared" si="340"/>
        <v>0</v>
      </c>
      <c r="AS296" s="35">
        <f t="shared" si="340"/>
        <v>0</v>
      </c>
      <c r="AT296" s="35">
        <f t="shared" si="340"/>
        <v>0</v>
      </c>
      <c r="AU296" s="622">
        <f t="shared" si="340"/>
        <v>2207142465.7992001</v>
      </c>
      <c r="AV296" s="611">
        <f>AM296/$AM$7</f>
        <v>0.14008128170155371</v>
      </c>
      <c r="AW296" s="621">
        <f>+AW298</f>
        <v>1104773.4310000001</v>
      </c>
      <c r="AX296" s="609">
        <f>AW296/$AW$7</f>
        <v>2.1363144686705075E-2</v>
      </c>
      <c r="AY296" s="608">
        <f>+F296/$F$7</f>
        <v>5.1493123519020904E-2</v>
      </c>
      <c r="AZ296" s="606">
        <f>+((0/7))*12/1000</f>
        <v>0</v>
      </c>
      <c r="BA296" s="608">
        <f>+AZ296/$AZ$7</f>
        <v>0</v>
      </c>
      <c r="BB296" s="560">
        <f>+F296-AZ296</f>
        <v>3350417.5040000002</v>
      </c>
      <c r="BC296" s="607">
        <v>0</v>
      </c>
      <c r="BD296" s="561">
        <f>BD298</f>
        <v>0</v>
      </c>
      <c r="BE296" s="605">
        <f>+BD296/$BD$7</f>
        <v>0</v>
      </c>
      <c r="BF296" s="560">
        <f>AZ296-BD296</f>
        <v>0</v>
      </c>
      <c r="BG296" s="604">
        <v>0</v>
      </c>
      <c r="BH296" s="555"/>
    </row>
    <row r="297" spans="1:60" x14ac:dyDescent="0.3">
      <c r="A297" s="564"/>
      <c r="B297" s="43"/>
      <c r="C297" s="563"/>
      <c r="D297" s="618"/>
      <c r="E297" s="620"/>
      <c r="F297" s="558"/>
      <c r="G297" s="560"/>
      <c r="H297" s="560"/>
      <c r="I297" s="560"/>
      <c r="J297" s="560"/>
      <c r="K297" s="560"/>
      <c r="L297" s="5"/>
      <c r="M297" s="618"/>
      <c r="N297" s="560"/>
      <c r="O297" s="560"/>
      <c r="P297" s="5"/>
      <c r="Q297" s="560"/>
      <c r="R297" s="619"/>
      <c r="S297" s="618"/>
      <c r="T297" s="618"/>
      <c r="U297" s="618"/>
      <c r="V297" s="618"/>
      <c r="W297" s="618"/>
      <c r="X297" s="617"/>
      <c r="Y297" s="626"/>
      <c r="Z297" s="626"/>
      <c r="AA297" s="626"/>
      <c r="AB297" s="626"/>
      <c r="AC297" s="626"/>
      <c r="AD297" s="626"/>
      <c r="AE297" s="615"/>
      <c r="AF297" s="8"/>
      <c r="AG297" s="11"/>
      <c r="AH297" s="308"/>
      <c r="AI297" s="33"/>
      <c r="AJ297" s="33"/>
      <c r="AK297" s="33"/>
      <c r="AL297" s="623"/>
      <c r="AM297" s="614"/>
      <c r="AN297" s="34"/>
      <c r="AO297" s="35"/>
      <c r="AP297" s="34"/>
      <c r="AQ297" s="305"/>
      <c r="AR297" s="35"/>
      <c r="AS297" s="35"/>
      <c r="AT297" s="35"/>
      <c r="AU297" s="622"/>
      <c r="AV297" s="611"/>
      <c r="AW297" s="610"/>
      <c r="AX297" s="609"/>
      <c r="AY297" s="608"/>
      <c r="AZ297" s="606"/>
      <c r="BA297" s="608"/>
      <c r="BB297" s="560"/>
      <c r="BC297" s="607"/>
      <c r="BD297" s="606"/>
      <c r="BE297" s="605"/>
      <c r="BF297" s="560"/>
      <c r="BG297" s="604"/>
      <c r="BH297" s="555"/>
    </row>
    <row r="298" spans="1:60" ht="15.75" customHeight="1" x14ac:dyDescent="0.3">
      <c r="A298" s="562" t="s">
        <v>364</v>
      </c>
      <c r="B298" s="1909" t="s">
        <v>365</v>
      </c>
      <c r="C298" s="1978"/>
      <c r="D298" s="625">
        <f>+D299+D300</f>
        <v>2207142465.7992001</v>
      </c>
      <c r="E298" s="620">
        <f>SUM(E300)</f>
        <v>2207142465.7992001</v>
      </c>
      <c r="F298" s="561">
        <f>F300</f>
        <v>3350417.5040000002</v>
      </c>
      <c r="G298" s="560"/>
      <c r="H298" s="560"/>
      <c r="I298" s="560"/>
      <c r="J298" s="560"/>
      <c r="K298" s="560"/>
      <c r="L298" s="5"/>
      <c r="M298" s="618"/>
      <c r="N298" s="560"/>
      <c r="O298" s="560"/>
      <c r="P298" s="5"/>
      <c r="Q298" s="560"/>
      <c r="R298" s="619"/>
      <c r="S298" s="618"/>
      <c r="T298" s="618"/>
      <c r="U298" s="618"/>
      <c r="V298" s="618"/>
      <c r="W298" s="618"/>
      <c r="X298" s="350">
        <f>G298/1000</f>
        <v>0</v>
      </c>
      <c r="Y298" s="624">
        <f t="shared" ref="Y298:AD298" si="341">SUM(Y300)</f>
        <v>292887803.04920006</v>
      </c>
      <c r="Z298" s="624">
        <f t="shared" si="341"/>
        <v>0</v>
      </c>
      <c r="AA298" s="624">
        <f t="shared" si="341"/>
        <v>292887803.04920006</v>
      </c>
      <c r="AB298" s="624">
        <f t="shared" si="341"/>
        <v>0</v>
      </c>
      <c r="AC298" s="624">
        <f t="shared" si="341"/>
        <v>0</v>
      </c>
      <c r="AD298" s="624">
        <f t="shared" si="341"/>
        <v>0</v>
      </c>
      <c r="AE298" s="615"/>
      <c r="AF298" s="10">
        <f>+AF300</f>
        <v>97969.513999999981</v>
      </c>
      <c r="AG298" s="11">
        <f>SUM(AG299:AG300)</f>
        <v>135044644.78</v>
      </c>
      <c r="AH298" s="308">
        <f>SUM(AH299:AH300)</f>
        <v>135044644.78</v>
      </c>
      <c r="AI298" s="33">
        <f>SUM(AI299:AI300)</f>
        <v>0</v>
      </c>
      <c r="AJ298" s="33">
        <f>SUM(AJ299:AJ300)</f>
        <v>0</v>
      </c>
      <c r="AK298" s="33">
        <f>SUM(AK299:AK300)</f>
        <v>0</v>
      </c>
      <c r="AL298" s="623">
        <f>(AF298/AF7)*100</f>
        <v>6.7667128337845632</v>
      </c>
      <c r="AM298" s="623">
        <f>+AM300</f>
        <v>1606907.439</v>
      </c>
      <c r="AN298" s="34">
        <f t="shared" ref="AN298:AU298" si="342">SUM(AN299:AN300)</f>
        <v>1779210017.97</v>
      </c>
      <c r="AO298" s="35">
        <f t="shared" si="342"/>
        <v>1779210017.97</v>
      </c>
      <c r="AP298" s="34">
        <f t="shared" si="342"/>
        <v>0</v>
      </c>
      <c r="AQ298" s="305">
        <f t="shared" si="342"/>
        <v>0</v>
      </c>
      <c r="AR298" s="35">
        <f t="shared" si="342"/>
        <v>0</v>
      </c>
      <c r="AS298" s="35">
        <f t="shared" si="342"/>
        <v>0</v>
      </c>
      <c r="AT298" s="35">
        <f t="shared" si="342"/>
        <v>0</v>
      </c>
      <c r="AU298" s="622">
        <f t="shared" si="342"/>
        <v>2207142465.7992001</v>
      </c>
      <c r="AV298" s="611">
        <f>AM298/$AM$7</f>
        <v>0.14008128170155371</v>
      </c>
      <c r="AW298" s="621">
        <f>+AW300</f>
        <v>1104773.4310000001</v>
      </c>
      <c r="AX298" s="609">
        <f>AW298/$AW$7</f>
        <v>2.1363144686705075E-2</v>
      </c>
      <c r="AY298" s="608">
        <f>+F298/$F$7</f>
        <v>5.1493123519020904E-2</v>
      </c>
      <c r="AZ298" s="606">
        <f>+((0/7))*12/1000</f>
        <v>0</v>
      </c>
      <c r="BA298" s="608">
        <f>+AZ298/$AZ$7</f>
        <v>0</v>
      </c>
      <c r="BB298" s="560">
        <f>+F298-AZ298</f>
        <v>3350417.5040000002</v>
      </c>
      <c r="BC298" s="607">
        <v>0</v>
      </c>
      <c r="BD298" s="561">
        <f>BD300</f>
        <v>0</v>
      </c>
      <c r="BE298" s="605">
        <f>+BD298/$BD$7</f>
        <v>0</v>
      </c>
      <c r="BF298" s="560">
        <f>AZ298-BD298</f>
        <v>0</v>
      </c>
      <c r="BG298" s="604">
        <v>0</v>
      </c>
      <c r="BH298" s="555"/>
    </row>
    <row r="299" spans="1:60" ht="15" hidden="1" customHeight="1" x14ac:dyDescent="0.3">
      <c r="A299" s="559" t="s">
        <v>366</v>
      </c>
      <c r="B299" s="1977" t="s">
        <v>367</v>
      </c>
      <c r="C299" s="1978"/>
      <c r="D299" s="129">
        <f>+G299+Y299+AG299+AN299</f>
        <v>0</v>
      </c>
      <c r="E299" s="620">
        <f>SUM(G299+Y299+AG299+AN299)</f>
        <v>0</v>
      </c>
      <c r="F299" s="558">
        <f>+X299+AF299+AM299+AW299</f>
        <v>0</v>
      </c>
      <c r="G299" s="560"/>
      <c r="H299" s="560"/>
      <c r="I299" s="560"/>
      <c r="J299" s="560"/>
      <c r="K299" s="560"/>
      <c r="L299" s="5"/>
      <c r="M299" s="618"/>
      <c r="N299" s="560"/>
      <c r="O299" s="560"/>
      <c r="P299" s="5"/>
      <c r="Q299" s="560"/>
      <c r="R299" s="619"/>
      <c r="S299" s="618"/>
      <c r="T299" s="618"/>
      <c r="U299" s="618"/>
      <c r="V299" s="618"/>
      <c r="W299" s="618"/>
      <c r="X299" s="617">
        <f>G299/1000</f>
        <v>0</v>
      </c>
      <c r="Y299" s="8">
        <f>SUM(Z299:AD299)</f>
        <v>0</v>
      </c>
      <c r="Z299" s="616"/>
      <c r="AA299" s="616"/>
      <c r="AB299" s="616"/>
      <c r="AC299" s="616"/>
      <c r="AD299" s="616"/>
      <c r="AE299" s="615"/>
      <c r="AF299" s="8">
        <f>Y299/1000</f>
        <v>0</v>
      </c>
      <c r="AG299" s="2">
        <f>SUM(AH299:AK299)</f>
        <v>0</v>
      </c>
      <c r="AH299" s="305">
        <v>0</v>
      </c>
      <c r="AI299" s="35"/>
      <c r="AJ299" s="35"/>
      <c r="AK299" s="35"/>
      <c r="AL299" s="614"/>
      <c r="AM299" s="614">
        <f>AG299/1000</f>
        <v>0</v>
      </c>
      <c r="AN299" s="30">
        <f>SUM(AO299+AP299)</f>
        <v>0</v>
      </c>
      <c r="AO299" s="35"/>
      <c r="AP299" s="613">
        <f>SUM(AQ299:AT299)</f>
        <v>0</v>
      </c>
      <c r="AQ299" s="305"/>
      <c r="AR299" s="35"/>
      <c r="AS299" s="35"/>
      <c r="AT299" s="35"/>
      <c r="AU299" s="612">
        <f>SUM(AN299+AG299+Y299+G299)</f>
        <v>0</v>
      </c>
      <c r="AV299" s="611">
        <f>AM299/$AM$7</f>
        <v>0</v>
      </c>
      <c r="AW299" s="610">
        <f>AN299/1000</f>
        <v>0</v>
      </c>
      <c r="AX299" s="609">
        <f>AW299/$AW$7</f>
        <v>0</v>
      </c>
      <c r="AY299" s="608">
        <f>+F299/$F$7</f>
        <v>0</v>
      </c>
      <c r="AZ299" s="606">
        <f>+((0/7))*12/1000</f>
        <v>0</v>
      </c>
      <c r="BA299" s="608">
        <f>+AZ299/$AZ$7</f>
        <v>0</v>
      </c>
      <c r="BB299" s="560">
        <f>+F299-AZ299</f>
        <v>0</v>
      </c>
      <c r="BC299" s="607" t="e">
        <f>+BB299/AZ299</f>
        <v>#DIV/0!</v>
      </c>
      <c r="BD299" s="606"/>
      <c r="BE299" s="605">
        <f>+BD299/$BD$7</f>
        <v>0</v>
      </c>
      <c r="BF299" s="560">
        <f>AZ299-BD299</f>
        <v>0</v>
      </c>
      <c r="BG299" s="604" t="e">
        <f>+BF299/BD299</f>
        <v>#DIV/0!</v>
      </c>
      <c r="BH299" s="555"/>
    </row>
    <row r="300" spans="1:60" ht="16.2" thickBot="1" x14ac:dyDescent="0.35">
      <c r="A300" s="603" t="s">
        <v>368</v>
      </c>
      <c r="B300" s="1975" t="s">
        <v>369</v>
      </c>
      <c r="C300" s="1976"/>
      <c r="D300" s="601">
        <f>SUM(G300+Y300+AG300+AN300)</f>
        <v>2207142465.7992001</v>
      </c>
      <c r="E300" s="601">
        <f>SUM(G300+Y300+AG300+AN300)</f>
        <v>2207142465.7992001</v>
      </c>
      <c r="F300" s="565">
        <f>3350417504/1000</f>
        <v>3350417.5040000002</v>
      </c>
      <c r="G300" s="601"/>
      <c r="H300" s="601"/>
      <c r="I300" s="601"/>
      <c r="J300" s="601"/>
      <c r="K300" s="601"/>
      <c r="L300" s="230"/>
      <c r="M300" s="601"/>
      <c r="N300" s="601"/>
      <c r="O300" s="601"/>
      <c r="P300" s="230"/>
      <c r="Q300" s="601"/>
      <c r="R300" s="601"/>
      <c r="S300" s="601"/>
      <c r="T300" s="601"/>
      <c r="U300" s="601"/>
      <c r="V300" s="601"/>
      <c r="W300" s="601"/>
      <c r="X300" s="602">
        <f>G300/1000</f>
        <v>0</v>
      </c>
      <c r="Y300" s="422">
        <f>SUM(Z300:AD300)</f>
        <v>292887803.04920006</v>
      </c>
      <c r="Z300" s="601">
        <f>'[4]Ingresos en colones'!D161</f>
        <v>0</v>
      </c>
      <c r="AA300" s="601">
        <f>'[4]Ingresos en colones'!C161</f>
        <v>292887803.04920006</v>
      </c>
      <c r="AB300" s="601">
        <f>'[4]Ingresos en colones'!F161</f>
        <v>0</v>
      </c>
      <c r="AC300" s="601">
        <f>'[4]Ingresos en colones'!G161</f>
        <v>0</v>
      </c>
      <c r="AD300" s="601" t="str">
        <f>'[4]Ingresos en colones'!H161</f>
        <v xml:space="preserve"> </v>
      </c>
      <c r="AE300" s="600"/>
      <c r="AF300" s="422">
        <f>+'[2]Egresos -2015 '!$AG$297</f>
        <v>97969.513999999981</v>
      </c>
      <c r="AG300" s="369">
        <f>SUM(AH300:AK300)</f>
        <v>135044644.78</v>
      </c>
      <c r="AH300" s="599">
        <f>129044644.96+5999999.82</f>
        <v>135044644.78</v>
      </c>
      <c r="AI300" s="598"/>
      <c r="AJ300" s="597"/>
      <c r="AK300" s="597"/>
      <c r="AL300" s="597">
        <f>(AF300/AF7)*100</f>
        <v>6.7667128337845632</v>
      </c>
      <c r="AM300" s="596">
        <f>+'[2]Egresos -2015 '!$AM$297</f>
        <v>1606907.439</v>
      </c>
      <c r="AN300" s="429">
        <f>SUM(AO300+AP300)</f>
        <v>1779210017.97</v>
      </c>
      <c r="AO300" s="595">
        <v>1779210017.97</v>
      </c>
      <c r="AP300" s="594">
        <f>SUM(AQ300:AT300)</f>
        <v>0</v>
      </c>
      <c r="AQ300" s="593"/>
      <c r="AR300" s="593"/>
      <c r="AS300" s="593"/>
      <c r="AT300" s="593"/>
      <c r="AU300" s="592">
        <f>SUM(AN300+AG300+Y300+G300)</f>
        <v>2207142465.7992001</v>
      </c>
      <c r="AV300" s="591">
        <f>AM300/$AM$7</f>
        <v>0.14008128170155371</v>
      </c>
      <c r="AW300" s="590">
        <f>+'[2]Egresos -2015 '!$AO$297</f>
        <v>1104773.4310000001</v>
      </c>
      <c r="AX300" s="589">
        <f>AW300/$AW$7</f>
        <v>2.1363144686705075E-2</v>
      </c>
      <c r="AY300" s="588">
        <f>+F300/$F$7</f>
        <v>5.1493123519020904E-2</v>
      </c>
      <c r="AZ300" s="586">
        <f>+((0/7))*12/1000</f>
        <v>0</v>
      </c>
      <c r="BA300" s="588">
        <f>+AZ300/$AZ$7</f>
        <v>0</v>
      </c>
      <c r="BB300" s="557">
        <f>+F300-AZ300</f>
        <v>3350417.5040000002</v>
      </c>
      <c r="BC300" s="587">
        <v>0</v>
      </c>
      <c r="BD300" s="586">
        <v>0</v>
      </c>
      <c r="BE300" s="585">
        <f>+BD300/$BD$7</f>
        <v>0</v>
      </c>
      <c r="BF300" s="557">
        <f>AZ300-BD300</f>
        <v>0</v>
      </c>
      <c r="BG300" s="584">
        <v>0</v>
      </c>
      <c r="BH300" s="555"/>
    </row>
    <row r="301" spans="1:60" x14ac:dyDescent="0.3">
      <c r="D301" s="583">
        <f>'[4]Ingresos en colones'!C155</f>
        <v>1488294844.2392001</v>
      </c>
    </row>
    <row r="302" spans="1:60" x14ac:dyDescent="0.3">
      <c r="D302" s="582">
        <f>D301-1018175039.27</f>
        <v>470119804.96920013</v>
      </c>
      <c r="O302" s="553">
        <f>8307069.48+1310160+4568888.21+438746.38</f>
        <v>14624864.070000002</v>
      </c>
      <c r="AN302" s="130">
        <f>50143080905.31-AN7-AN9</f>
        <v>-7923955152.4100046</v>
      </c>
      <c r="AO302" s="553">
        <f>45113086246.95-46946406766.47</f>
        <v>-1833320519.5200043</v>
      </c>
    </row>
    <row r="303" spans="1:60" x14ac:dyDescent="0.3">
      <c r="D303" s="579"/>
      <c r="O303" s="553">
        <v>1197776.3700000001</v>
      </c>
      <c r="Y303" s="580"/>
      <c r="Z303" s="580"/>
      <c r="AA303" s="580"/>
      <c r="AB303" s="580"/>
      <c r="AC303" s="580"/>
      <c r="AD303" s="580"/>
      <c r="AF303" s="581"/>
    </row>
    <row r="304" spans="1:60" x14ac:dyDescent="0.3">
      <c r="D304" s="579"/>
      <c r="K304" s="553">
        <f>106600000+7400000+22000000</f>
        <v>136000000</v>
      </c>
      <c r="O304" s="553">
        <f>SUM(O302:O303)</f>
        <v>15822640.440000001</v>
      </c>
      <c r="AG304" s="553">
        <f>SUM(AG300+AN300+AA300)</f>
        <v>2207142465.7992001</v>
      </c>
    </row>
    <row r="305" spans="4:46" x14ac:dyDescent="0.3">
      <c r="D305" s="579"/>
      <c r="N305" s="553">
        <f>1900000+2000000+9000000+1500000</f>
        <v>14400000</v>
      </c>
      <c r="O305" s="553">
        <v>1318025.95</v>
      </c>
    </row>
    <row r="306" spans="4:46" x14ac:dyDescent="0.3">
      <c r="D306" s="579"/>
      <c r="O306" s="553">
        <v>4773690.6500000004</v>
      </c>
      <c r="Y306" s="580"/>
      <c r="Z306" s="580"/>
      <c r="AA306" s="580"/>
      <c r="AB306" s="580"/>
      <c r="AC306" s="580"/>
      <c r="AD306" s="580"/>
      <c r="AF306" s="581"/>
      <c r="AI306" s="553">
        <f>408174765.52-AI7</f>
        <v>-6162917491.2299995</v>
      </c>
    </row>
    <row r="307" spans="4:46" x14ac:dyDescent="0.3">
      <c r="D307" s="579"/>
      <c r="O307" s="553">
        <f>SUM(O304:O306)</f>
        <v>21914357.039999999</v>
      </c>
      <c r="V307" s="575">
        <f>136241812.06-87686812.06</f>
        <v>48555000</v>
      </c>
      <c r="AJ307" s="553">
        <f>352945846.75-AJ7</f>
        <v>244065610.42000002</v>
      </c>
      <c r="AK307" s="553">
        <f>352945846.75-AK7</f>
        <v>-2174134623.8699999</v>
      </c>
      <c r="AO307" s="553">
        <f t="shared" ref="AO307:AT307" si="343">352945846.75-AO7</f>
        <v>-46533460919.720001</v>
      </c>
      <c r="AP307" s="576">
        <f t="shared" si="343"/>
        <v>-10137085327.860001</v>
      </c>
      <c r="AQ307" s="553">
        <f t="shared" si="343"/>
        <v>232521292.12</v>
      </c>
      <c r="AR307" s="553">
        <f t="shared" si="343"/>
        <v>228251304.19999999</v>
      </c>
      <c r="AS307" s="553">
        <f t="shared" si="343"/>
        <v>288146736.34000003</v>
      </c>
      <c r="AT307" s="553">
        <f t="shared" si="343"/>
        <v>-9827167120.2700005</v>
      </c>
    </row>
    <row r="308" spans="4:46" x14ac:dyDescent="0.3">
      <c r="D308" s="579"/>
    </row>
    <row r="309" spans="4:46" x14ac:dyDescent="0.3">
      <c r="D309" s="579"/>
      <c r="N309" s="580">
        <f>546218499.96-157908103.24</f>
        <v>388310396.72000003</v>
      </c>
    </row>
    <row r="310" spans="4:46" x14ac:dyDescent="0.3">
      <c r="D310" s="579"/>
      <c r="N310" s="580">
        <v>488970253.60000002</v>
      </c>
      <c r="O310" s="553">
        <f>300000+100000+350000+100000+100000</f>
        <v>950000</v>
      </c>
    </row>
    <row r="311" spans="4:46" x14ac:dyDescent="0.3">
      <c r="D311" s="579"/>
      <c r="N311" s="580">
        <f>SUM(N309-N310)</f>
        <v>-100659856.88</v>
      </c>
      <c r="O311" s="553">
        <f>200000+150000+100000</f>
        <v>450000</v>
      </c>
    </row>
    <row r="312" spans="4:46" x14ac:dyDescent="0.3">
      <c r="D312" s="579"/>
      <c r="N312" s="580"/>
    </row>
    <row r="313" spans="4:46" x14ac:dyDescent="0.3">
      <c r="D313" s="579"/>
      <c r="N313" s="580"/>
      <c r="O313" s="553">
        <f>SUM(O310:O312)</f>
        <v>1400000</v>
      </c>
    </row>
    <row r="314" spans="4:46" x14ac:dyDescent="0.3">
      <c r="D314" s="579"/>
      <c r="N314" s="580"/>
    </row>
    <row r="315" spans="4:46" x14ac:dyDescent="0.3">
      <c r="D315" s="579"/>
    </row>
    <row r="316" spans="4:46" x14ac:dyDescent="0.3">
      <c r="N316" s="553">
        <f>198071455.44+14860364.4+182578576.88</f>
        <v>395510396.72000003</v>
      </c>
    </row>
    <row r="317" spans="4:46" x14ac:dyDescent="0.3">
      <c r="D317" s="553">
        <f>60944090829.37*2%</f>
        <v>1218881816.5874002</v>
      </c>
    </row>
    <row r="318" spans="4:46" x14ac:dyDescent="0.3">
      <c r="N318" s="553">
        <f>SUM(N309-N316)</f>
        <v>-7200000</v>
      </c>
    </row>
    <row r="322" spans="14:15" x14ac:dyDescent="0.3">
      <c r="N322" s="553">
        <f>70866.67+99424512+520000+1560000+1600000+94376076.8+520000</f>
        <v>198071455.47</v>
      </c>
    </row>
    <row r="323" spans="14:15" x14ac:dyDescent="0.3">
      <c r="N323" s="553">
        <f>260000+104000+2600000+2600000+520000+112000+120000+3810284.4+4326400+260000+147680</f>
        <v>14860364.4</v>
      </c>
    </row>
    <row r="324" spans="14:15" x14ac:dyDescent="0.3">
      <c r="N324" s="553">
        <f>6240000+4160000+55918720+15600000+93459856.88</f>
        <v>175378576.88</v>
      </c>
      <c r="O324" s="553">
        <v>182578576.88</v>
      </c>
    </row>
  </sheetData>
  <mergeCells count="192">
    <mergeCell ref="B47:C47"/>
    <mergeCell ref="B45:C45"/>
    <mergeCell ref="B41:C41"/>
    <mergeCell ref="A4:AN4"/>
    <mergeCell ref="B40:C40"/>
    <mergeCell ref="B36:C36"/>
    <mergeCell ref="B18:C18"/>
    <mergeCell ref="B15:C15"/>
    <mergeCell ref="B26:C26"/>
    <mergeCell ref="B28:C28"/>
    <mergeCell ref="B32:C32"/>
    <mergeCell ref="B23:C23"/>
    <mergeCell ref="B17:C17"/>
    <mergeCell ref="B13:C13"/>
    <mergeCell ref="B9:C9"/>
    <mergeCell ref="B7:C7"/>
    <mergeCell ref="B11:C11"/>
    <mergeCell ref="B20:C20"/>
    <mergeCell ref="B46:C46"/>
    <mergeCell ref="B42:C42"/>
    <mergeCell ref="A1:BG1"/>
    <mergeCell ref="A2:BG2"/>
    <mergeCell ref="A3:BG3"/>
    <mergeCell ref="B19:C19"/>
    <mergeCell ref="B6:C6"/>
    <mergeCell ref="B14:C14"/>
    <mergeCell ref="B12:C12"/>
    <mergeCell ref="B38:C38"/>
    <mergeCell ref="B39:C39"/>
    <mergeCell ref="B33:C33"/>
    <mergeCell ref="B21:C21"/>
    <mergeCell ref="B29:C29"/>
    <mergeCell ref="B25:C25"/>
    <mergeCell ref="B24:C24"/>
    <mergeCell ref="B35:C35"/>
    <mergeCell ref="B37:C37"/>
    <mergeCell ref="B30:C30"/>
    <mergeCell ref="B48:C48"/>
    <mergeCell ref="B52:C52"/>
    <mergeCell ref="B67:C67"/>
    <mergeCell ref="B88:C88"/>
    <mergeCell ref="B85:C85"/>
    <mergeCell ref="B87:C87"/>
    <mergeCell ref="B63:C63"/>
    <mergeCell ref="B65:C65"/>
    <mergeCell ref="B66:C66"/>
    <mergeCell ref="B68:C68"/>
    <mergeCell ref="B81:C81"/>
    <mergeCell ref="B76:C76"/>
    <mergeCell ref="B80:C80"/>
    <mergeCell ref="B50:C50"/>
    <mergeCell ref="B49:C49"/>
    <mergeCell ref="B84:C84"/>
    <mergeCell ref="B82:C82"/>
    <mergeCell ref="B83:C83"/>
    <mergeCell ref="B77:C77"/>
    <mergeCell ref="B53:C53"/>
    <mergeCell ref="B55:C55"/>
    <mergeCell ref="B73:C73"/>
    <mergeCell ref="B70:C70"/>
    <mergeCell ref="B75:C75"/>
    <mergeCell ref="B89:C89"/>
    <mergeCell ref="B56:C56"/>
    <mergeCell ref="B100:C100"/>
    <mergeCell ref="B96:C96"/>
    <mergeCell ref="B98:C98"/>
    <mergeCell ref="B97:C97"/>
    <mergeCell ref="B79:C79"/>
    <mergeCell ref="B90:C90"/>
    <mergeCell ref="B92:C92"/>
    <mergeCell ref="B91:C91"/>
    <mergeCell ref="B93:C93"/>
    <mergeCell ref="B94:C94"/>
    <mergeCell ref="B72:C72"/>
    <mergeCell ref="B74:C74"/>
    <mergeCell ref="B102:C102"/>
    <mergeCell ref="B119:C119"/>
    <mergeCell ref="B120:C120"/>
    <mergeCell ref="B121:C121"/>
    <mergeCell ref="B107:C107"/>
    <mergeCell ref="B99:C99"/>
    <mergeCell ref="B103:C103"/>
    <mergeCell ref="B104:C104"/>
    <mergeCell ref="B105:C105"/>
    <mergeCell ref="B122:C122"/>
    <mergeCell ref="B118:C118"/>
    <mergeCell ref="B127:C127"/>
    <mergeCell ref="B123:C123"/>
    <mergeCell ref="B108:C108"/>
    <mergeCell ref="B109:C109"/>
    <mergeCell ref="B110:C110"/>
    <mergeCell ref="B126:C126"/>
    <mergeCell ref="B117:C117"/>
    <mergeCell ref="B115:C115"/>
    <mergeCell ref="B142:C142"/>
    <mergeCell ref="B132:C132"/>
    <mergeCell ref="B157:C157"/>
    <mergeCell ref="B156:C156"/>
    <mergeCell ref="B160:C160"/>
    <mergeCell ref="B128:C128"/>
    <mergeCell ref="B124:C124"/>
    <mergeCell ref="B141:C141"/>
    <mergeCell ref="B140:C140"/>
    <mergeCell ref="B139:C139"/>
    <mergeCell ref="B138:C138"/>
    <mergeCell ref="B136:C136"/>
    <mergeCell ref="B133:C133"/>
    <mergeCell ref="B130:C130"/>
    <mergeCell ref="B131:C131"/>
    <mergeCell ref="B144:C144"/>
    <mergeCell ref="B153:C153"/>
    <mergeCell ref="B148:C148"/>
    <mergeCell ref="B150:C150"/>
    <mergeCell ref="B149:C149"/>
    <mergeCell ref="B145:C145"/>
    <mergeCell ref="B158:C158"/>
    <mergeCell ref="B163:C163"/>
    <mergeCell ref="B147:C147"/>
    <mergeCell ref="B154:C154"/>
    <mergeCell ref="B151:C151"/>
    <mergeCell ref="B152:C152"/>
    <mergeCell ref="B205:C205"/>
    <mergeCell ref="B201:C201"/>
    <mergeCell ref="B173:C173"/>
    <mergeCell ref="B161:C161"/>
    <mergeCell ref="B171:C171"/>
    <mergeCell ref="B166:C166"/>
    <mergeCell ref="B165:C165"/>
    <mergeCell ref="B187:C187"/>
    <mergeCell ref="B164:C164"/>
    <mergeCell ref="B174:C174"/>
    <mergeCell ref="B196:C196"/>
    <mergeCell ref="B188:C188"/>
    <mergeCell ref="B185:C185"/>
    <mergeCell ref="B182:C182"/>
    <mergeCell ref="B180:C180"/>
    <mergeCell ref="B177:C177"/>
    <mergeCell ref="B176:C176"/>
    <mergeCell ref="B167:C167"/>
    <mergeCell ref="B200:C200"/>
    <mergeCell ref="B175:C175"/>
    <mergeCell ref="B168:C168"/>
    <mergeCell ref="B178:C178"/>
    <mergeCell ref="B183:C183"/>
    <mergeCell ref="B179:C179"/>
    <mergeCell ref="B198:C198"/>
    <mergeCell ref="B199:C199"/>
    <mergeCell ref="B204:C204"/>
    <mergeCell ref="B203:C203"/>
    <mergeCell ref="B202:C202"/>
    <mergeCell ref="B206:C206"/>
    <mergeCell ref="B240:C240"/>
    <mergeCell ref="B245:C245"/>
    <mergeCell ref="B234:C234"/>
    <mergeCell ref="B235:C235"/>
    <mergeCell ref="B233:C233"/>
    <mergeCell ref="B249:C249"/>
    <mergeCell ref="B231:C231"/>
    <mergeCell ref="B269:C269"/>
    <mergeCell ref="B265:C265"/>
    <mergeCell ref="B264:C264"/>
    <mergeCell ref="B260:C260"/>
    <mergeCell ref="B236:C236"/>
    <mergeCell ref="B247:C247"/>
    <mergeCell ref="B253:C253"/>
    <mergeCell ref="B255:C255"/>
    <mergeCell ref="B262:C262"/>
    <mergeCell ref="B258:C258"/>
    <mergeCell ref="B254:C254"/>
    <mergeCell ref="B256:C256"/>
    <mergeCell ref="B278:C278"/>
    <mergeCell ref="B284:C284"/>
    <mergeCell ref="B288:C288"/>
    <mergeCell ref="B250:C250"/>
    <mergeCell ref="B208:C208"/>
    <mergeCell ref="B239:C239"/>
    <mergeCell ref="B248:C248"/>
    <mergeCell ref="B300:C300"/>
    <mergeCell ref="B290:C290"/>
    <mergeCell ref="B291:C291"/>
    <mergeCell ref="B292:C292"/>
    <mergeCell ref="B293:C293"/>
    <mergeCell ref="B294:C294"/>
    <mergeCell ref="B296:C296"/>
    <mergeCell ref="B298:C298"/>
    <mergeCell ref="B299:C299"/>
    <mergeCell ref="B277:C277"/>
    <mergeCell ref="B273:C273"/>
    <mergeCell ref="B261:C261"/>
    <mergeCell ref="B266:C266"/>
    <mergeCell ref="B268:C268"/>
    <mergeCell ref="B271:C271"/>
  </mergeCells>
  <pageMargins left="0.35433070866141736" right="0.35433070866141736" top="0.59055118110236227" bottom="0.59055118110236227" header="0" footer="0"/>
  <pageSetup scale="55" orientation="landscape" r:id="rId1"/>
  <headerFooter alignWithMargins="0">
    <oddHeader>&amp;L&amp;G&amp;R&amp;6&amp;F/&amp;A</oddHeader>
    <oddFooter>&amp;L&amp;6Esta información es propiedad del Instituto Nacional de Vivienda y Urbanismo. Se autoriza su utilización, pero no su alteración. Recuerde que puede acceder a los archivos PDF para verificación.&amp;R&amp;6&amp;P</oddFooter>
  </headerFooter>
  <legacy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8"/>
  </sheetPr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9900"/>
  </sheetPr>
  <dimension ref="A1:BA338"/>
  <sheetViews>
    <sheetView zoomScale="75" workbookViewId="0">
      <selection sqref="A1:AX313"/>
    </sheetView>
  </sheetViews>
  <sheetFormatPr baseColWidth="10" defaultColWidth="20.6640625" defaultRowHeight="13.2" x14ac:dyDescent="0.25"/>
  <cols>
    <col min="1" max="1" width="19" style="1427" bestFit="1" customWidth="1"/>
    <col min="2" max="2" width="52.6640625" style="1427" customWidth="1"/>
    <col min="3" max="3" width="9.109375" style="1434" customWidth="1"/>
    <col min="4" max="5" width="24.33203125" style="1427" hidden="1" customWidth="1"/>
    <col min="6" max="6" width="24.33203125" style="1526" customWidth="1"/>
    <col min="7" max="7" width="3.44140625" style="1427" hidden="1" customWidth="1"/>
    <col min="8" max="8" width="4.5546875" style="1427" hidden="1" customWidth="1"/>
    <col min="9" max="9" width="2.44140625" style="1427" hidden="1" customWidth="1"/>
    <col min="10" max="10" width="3.5546875" style="1427" hidden="1" customWidth="1"/>
    <col min="11" max="11" width="2.6640625" style="1427" hidden="1" customWidth="1"/>
    <col min="12" max="12" width="4.44140625" style="1846" hidden="1" customWidth="1"/>
    <col min="13" max="13" width="4.5546875" style="1529" hidden="1" customWidth="1"/>
    <col min="14" max="14" width="3.5546875" style="1427" hidden="1" customWidth="1"/>
    <col min="15" max="15" width="2.44140625" style="1427" hidden="1" customWidth="1"/>
    <col min="16" max="16" width="3.44140625" style="1846" hidden="1" customWidth="1"/>
    <col min="17" max="17" width="2.33203125" style="1427" hidden="1" customWidth="1"/>
    <col min="18" max="18" width="3" style="1847" hidden="1" customWidth="1"/>
    <col min="19" max="19" width="2.6640625" style="1529" hidden="1" customWidth="1"/>
    <col min="20" max="20" width="3.44140625" style="1529" hidden="1" customWidth="1"/>
    <col min="21" max="21" width="3.88671875" style="1529" hidden="1" customWidth="1"/>
    <col min="22" max="22" width="3.44140625" style="1529" hidden="1" customWidth="1"/>
    <col min="23" max="23" width="1.88671875" style="1529" hidden="1" customWidth="1"/>
    <col min="24" max="24" width="21.109375" style="1848" customWidth="1"/>
    <col min="25" max="30" width="26.88671875" style="1427" hidden="1" customWidth="1"/>
    <col min="31" max="31" width="8.6640625" style="1849" bestFit="1" customWidth="1"/>
    <col min="32" max="32" width="26.88671875" style="1526" customWidth="1"/>
    <col min="33" max="33" width="27.109375" style="1427" hidden="1" customWidth="1"/>
    <col min="34" max="34" width="23.5546875" style="1427" hidden="1" customWidth="1"/>
    <col min="35" max="35" width="25.88671875" style="1427" hidden="1" customWidth="1"/>
    <col min="36" max="37" width="20.6640625" style="1427" hidden="1" customWidth="1"/>
    <col min="38" max="38" width="8.6640625" style="1427" customWidth="1"/>
    <col min="39" max="39" width="22" style="1526" customWidth="1"/>
    <col min="40" max="40" width="21.33203125" style="1850" hidden="1" customWidth="1"/>
    <col min="41" max="41" width="27.109375" style="1427" hidden="1" customWidth="1"/>
    <col min="42" max="42" width="20.6640625" style="1569" hidden="1" customWidth="1"/>
    <col min="43" max="46" width="20.6640625" style="1427" hidden="1" customWidth="1"/>
    <col min="47" max="47" width="27.109375" style="1529" hidden="1" customWidth="1"/>
    <col min="48" max="48" width="14.88671875" style="1849" customWidth="1"/>
    <col min="49" max="49" width="25.33203125" style="1526" bestFit="1" customWidth="1"/>
    <col min="50" max="50" width="7.44140625" style="1849" bestFit="1" customWidth="1"/>
    <col min="51" max="51" width="28" style="1427" customWidth="1"/>
    <col min="52" max="52" width="23.44140625" style="1427" customWidth="1"/>
    <col min="53" max="76" width="20.6640625" style="1427" customWidth="1"/>
    <col min="77" max="16384" width="20.6640625" style="1427"/>
  </cols>
  <sheetData>
    <row r="1" spans="1:53" x14ac:dyDescent="0.25">
      <c r="A1" s="1957" t="s">
        <v>518</v>
      </c>
      <c r="B1" s="1958"/>
      <c r="C1" s="1958"/>
      <c r="D1" s="1958"/>
      <c r="E1" s="1958"/>
      <c r="F1" s="1958"/>
      <c r="G1" s="1958"/>
      <c r="H1" s="1958"/>
      <c r="I1" s="1958"/>
      <c r="J1" s="1958"/>
      <c r="K1" s="1958"/>
      <c r="L1" s="1958"/>
      <c r="M1" s="1958"/>
      <c r="N1" s="1958"/>
      <c r="O1" s="1958"/>
      <c r="P1" s="1958"/>
      <c r="Q1" s="1958"/>
      <c r="R1" s="1958"/>
      <c r="S1" s="1958"/>
      <c r="T1" s="1958"/>
      <c r="U1" s="1958"/>
      <c r="V1" s="1958"/>
      <c r="W1" s="1958"/>
      <c r="X1" s="1958"/>
      <c r="Y1" s="1958"/>
      <c r="Z1" s="1958"/>
      <c r="AA1" s="1958"/>
      <c r="AB1" s="1958"/>
      <c r="AC1" s="1958"/>
      <c r="AD1" s="1958"/>
      <c r="AE1" s="1958"/>
      <c r="AF1" s="1958"/>
      <c r="AG1" s="1958"/>
      <c r="AH1" s="1958"/>
      <c r="AI1" s="1958"/>
      <c r="AJ1" s="1958"/>
      <c r="AK1" s="1958"/>
      <c r="AL1" s="1958"/>
      <c r="AM1" s="1958"/>
      <c r="AN1" s="1958"/>
      <c r="AO1" s="1958"/>
      <c r="AP1" s="1958"/>
      <c r="AQ1" s="1958"/>
      <c r="AR1" s="1958"/>
      <c r="AS1" s="1958"/>
      <c r="AT1" s="1958"/>
      <c r="AU1" s="1958"/>
      <c r="AV1" s="1958"/>
      <c r="AW1" s="1958"/>
      <c r="AX1" s="1959"/>
    </row>
    <row r="2" spans="1:53" x14ac:dyDescent="0.25">
      <c r="A2" s="1960" t="s">
        <v>967</v>
      </c>
      <c r="B2" s="1961"/>
      <c r="C2" s="1961"/>
      <c r="D2" s="1961"/>
      <c r="E2" s="1961"/>
      <c r="F2" s="1961"/>
      <c r="G2" s="1961"/>
      <c r="H2" s="1961"/>
      <c r="I2" s="1961"/>
      <c r="J2" s="1961"/>
      <c r="K2" s="1961"/>
      <c r="L2" s="1961"/>
      <c r="M2" s="1961"/>
      <c r="N2" s="1961"/>
      <c r="O2" s="1961"/>
      <c r="P2" s="1961"/>
      <c r="Q2" s="1961"/>
      <c r="R2" s="1961"/>
      <c r="S2" s="1961"/>
      <c r="T2" s="1961"/>
      <c r="U2" s="1961"/>
      <c r="V2" s="1961"/>
      <c r="W2" s="1961"/>
      <c r="X2" s="1961"/>
      <c r="Y2" s="1961"/>
      <c r="Z2" s="1961"/>
      <c r="AA2" s="1961"/>
      <c r="AB2" s="1961"/>
      <c r="AC2" s="1961"/>
      <c r="AD2" s="1961"/>
      <c r="AE2" s="1961"/>
      <c r="AF2" s="1961"/>
      <c r="AG2" s="1961"/>
      <c r="AH2" s="1961"/>
      <c r="AI2" s="1961"/>
      <c r="AJ2" s="1961"/>
      <c r="AK2" s="1961"/>
      <c r="AL2" s="1961"/>
      <c r="AM2" s="1961"/>
      <c r="AN2" s="1961"/>
      <c r="AO2" s="1961"/>
      <c r="AP2" s="1961"/>
      <c r="AQ2" s="1961"/>
      <c r="AR2" s="1961"/>
      <c r="AS2" s="1961"/>
      <c r="AT2" s="1961"/>
      <c r="AU2" s="1961"/>
      <c r="AV2" s="1961"/>
      <c r="AW2" s="1961"/>
      <c r="AX2" s="1962"/>
    </row>
    <row r="3" spans="1:53" ht="13.8" thickBot="1" x14ac:dyDescent="0.3">
      <c r="A3" s="1960" t="s">
        <v>959</v>
      </c>
      <c r="B3" s="1961"/>
      <c r="C3" s="1961"/>
      <c r="D3" s="1961"/>
      <c r="E3" s="1961"/>
      <c r="F3" s="1961"/>
      <c r="G3" s="1961"/>
      <c r="H3" s="1961"/>
      <c r="I3" s="1961"/>
      <c r="J3" s="1961"/>
      <c r="K3" s="1961"/>
      <c r="L3" s="1961"/>
      <c r="M3" s="1961"/>
      <c r="N3" s="1961"/>
      <c r="O3" s="1961"/>
      <c r="P3" s="1961"/>
      <c r="Q3" s="1961"/>
      <c r="R3" s="1961"/>
      <c r="S3" s="1961"/>
      <c r="T3" s="1961"/>
      <c r="U3" s="1961"/>
      <c r="V3" s="1961"/>
      <c r="W3" s="1961"/>
      <c r="X3" s="1961"/>
      <c r="Y3" s="1961"/>
      <c r="Z3" s="1961"/>
      <c r="AA3" s="1961"/>
      <c r="AB3" s="1961"/>
      <c r="AC3" s="1961"/>
      <c r="AD3" s="1961"/>
      <c r="AE3" s="1961"/>
      <c r="AF3" s="1961"/>
      <c r="AG3" s="1961"/>
      <c r="AH3" s="1961"/>
      <c r="AI3" s="1961"/>
      <c r="AJ3" s="1961"/>
      <c r="AK3" s="1961"/>
      <c r="AL3" s="1961"/>
      <c r="AM3" s="1961"/>
      <c r="AN3" s="1961"/>
      <c r="AO3" s="1961"/>
      <c r="AP3" s="1961"/>
      <c r="AQ3" s="1961"/>
      <c r="AR3" s="1961"/>
      <c r="AS3" s="1961"/>
      <c r="AT3" s="1961"/>
      <c r="AU3" s="1961"/>
      <c r="AV3" s="1961"/>
      <c r="AW3" s="1961"/>
      <c r="AX3" s="1962"/>
    </row>
    <row r="4" spans="1:53" ht="33" hidden="1" customHeight="1" x14ac:dyDescent="0.25">
      <c r="A4" s="2023"/>
      <c r="B4" s="2024"/>
      <c r="C4" s="2024"/>
      <c r="D4" s="2024"/>
      <c r="E4" s="2024"/>
      <c r="F4" s="2024"/>
      <c r="G4" s="2024"/>
      <c r="H4" s="2024"/>
      <c r="I4" s="2024"/>
      <c r="J4" s="2024"/>
      <c r="K4" s="2024"/>
      <c r="L4" s="2024"/>
      <c r="M4" s="2024"/>
      <c r="N4" s="2024"/>
      <c r="O4" s="2024"/>
      <c r="P4" s="2024"/>
      <c r="Q4" s="2024"/>
      <c r="R4" s="2024"/>
      <c r="S4" s="2024"/>
      <c r="T4" s="2024"/>
      <c r="U4" s="2024"/>
      <c r="V4" s="2024"/>
      <c r="W4" s="2024"/>
      <c r="X4" s="2024"/>
      <c r="Y4" s="2024"/>
      <c r="Z4" s="2024"/>
      <c r="AA4" s="2024"/>
      <c r="AB4" s="2024"/>
      <c r="AC4" s="2024"/>
      <c r="AD4" s="2024"/>
      <c r="AE4" s="2024"/>
      <c r="AF4" s="2024"/>
      <c r="AG4" s="2024"/>
      <c r="AH4" s="2024"/>
      <c r="AI4" s="2024"/>
      <c r="AJ4" s="2024"/>
      <c r="AK4" s="2024"/>
      <c r="AL4" s="2024"/>
      <c r="AM4" s="2024"/>
      <c r="AN4" s="2024"/>
      <c r="AO4" s="1854"/>
      <c r="AP4" s="1855"/>
      <c r="AQ4" s="1854"/>
      <c r="AR4" s="1854"/>
      <c r="AS4" s="1854"/>
      <c r="AT4" s="1854"/>
      <c r="AU4" s="1856"/>
      <c r="AV4" s="1857"/>
      <c r="AW4" s="1433"/>
      <c r="AX4" s="1858"/>
    </row>
    <row r="5" spans="1:53" s="1434" customFormat="1" ht="11.25" hidden="1" customHeight="1" x14ac:dyDescent="0.25">
      <c r="A5" s="1432"/>
      <c r="B5" s="1430" t="s">
        <v>0</v>
      </c>
      <c r="C5" s="1430" t="s">
        <v>0</v>
      </c>
      <c r="D5" s="1859" t="s">
        <v>0</v>
      </c>
      <c r="E5" s="1860"/>
      <c r="F5" s="1433"/>
      <c r="G5" s="1859" t="s">
        <v>0</v>
      </c>
      <c r="H5" s="1861" t="s">
        <v>1</v>
      </c>
      <c r="I5" s="1862" t="s">
        <v>2</v>
      </c>
      <c r="J5" s="1863" t="s">
        <v>3</v>
      </c>
      <c r="K5" s="1863" t="s">
        <v>4</v>
      </c>
      <c r="L5" s="1863" t="s">
        <v>477</v>
      </c>
      <c r="M5" s="1863" t="s">
        <v>479</v>
      </c>
      <c r="N5" s="1863" t="s">
        <v>5</v>
      </c>
      <c r="O5" s="1863" t="s">
        <v>6</v>
      </c>
      <c r="P5" s="1863" t="s">
        <v>7</v>
      </c>
      <c r="Q5" s="1863" t="s">
        <v>8</v>
      </c>
      <c r="R5" s="1859" t="s">
        <v>9</v>
      </c>
      <c r="S5" s="1859" t="s">
        <v>468</v>
      </c>
      <c r="T5" s="1859" t="s">
        <v>10</v>
      </c>
      <c r="U5" s="1859" t="s">
        <v>10</v>
      </c>
      <c r="V5" s="1859" t="s">
        <v>11</v>
      </c>
      <c r="W5" s="1859" t="s">
        <v>12</v>
      </c>
      <c r="X5" s="1864"/>
      <c r="Y5" s="1859" t="s">
        <v>0</v>
      </c>
      <c r="Z5" s="1859" t="s">
        <v>0</v>
      </c>
      <c r="AA5" s="1859" t="s">
        <v>0</v>
      </c>
      <c r="AB5" s="1859" t="s">
        <v>0</v>
      </c>
      <c r="AC5" s="1859" t="s">
        <v>0</v>
      </c>
      <c r="AD5" s="1859" t="s">
        <v>0</v>
      </c>
      <c r="AE5" s="1865"/>
      <c r="AF5" s="1864"/>
      <c r="AG5" s="1430"/>
      <c r="AH5" s="1430"/>
      <c r="AI5" s="1430"/>
      <c r="AJ5" s="1430"/>
      <c r="AK5" s="1430"/>
      <c r="AL5" s="1430"/>
      <c r="AM5" s="1433"/>
      <c r="AN5" s="1866"/>
      <c r="AO5" s="1430"/>
      <c r="AP5" s="1866"/>
      <c r="AQ5" s="1430"/>
      <c r="AR5" s="1430"/>
      <c r="AS5" s="1430"/>
      <c r="AT5" s="1430"/>
      <c r="AU5" s="1856"/>
      <c r="AV5" s="1857"/>
      <c r="AW5" s="1433"/>
      <c r="AX5" s="1858"/>
    </row>
    <row r="6" spans="1:53" s="1440" customFormat="1" ht="81.75" customHeight="1" thickBot="1" x14ac:dyDescent="0.3">
      <c r="A6" s="1436" t="s">
        <v>13</v>
      </c>
      <c r="B6" s="1965" t="s">
        <v>14</v>
      </c>
      <c r="C6" s="2025"/>
      <c r="D6" s="1437" t="s">
        <v>476</v>
      </c>
      <c r="E6" s="1867" t="s">
        <v>550</v>
      </c>
      <c r="F6" s="1437" t="s">
        <v>966</v>
      </c>
      <c r="G6" s="1868" t="s">
        <v>642</v>
      </c>
      <c r="H6" s="1869" t="s">
        <v>618</v>
      </c>
      <c r="I6" s="1870" t="s">
        <v>15</v>
      </c>
      <c r="J6" s="1870" t="s">
        <v>16</v>
      </c>
      <c r="K6" s="1870" t="s">
        <v>17</v>
      </c>
      <c r="L6" s="1870" t="s">
        <v>478</v>
      </c>
      <c r="M6" s="1871" t="s">
        <v>598</v>
      </c>
      <c r="N6" s="1870" t="s">
        <v>18</v>
      </c>
      <c r="O6" s="1870" t="s">
        <v>19</v>
      </c>
      <c r="P6" s="1870" t="s">
        <v>599</v>
      </c>
      <c r="Q6" s="1870" t="s">
        <v>20</v>
      </c>
      <c r="R6" s="1871" t="s">
        <v>600</v>
      </c>
      <c r="S6" s="1871" t="s">
        <v>619</v>
      </c>
      <c r="T6" s="1871" t="s">
        <v>601</v>
      </c>
      <c r="U6" s="1871" t="s">
        <v>602</v>
      </c>
      <c r="V6" s="1871" t="s">
        <v>620</v>
      </c>
      <c r="W6" s="1871" t="s">
        <v>603</v>
      </c>
      <c r="X6" s="1396" t="s">
        <v>642</v>
      </c>
      <c r="Y6" s="1396" t="s">
        <v>610</v>
      </c>
      <c r="Z6" s="1396" t="s">
        <v>604</v>
      </c>
      <c r="AA6" s="1396" t="s">
        <v>605</v>
      </c>
      <c r="AB6" s="1396" t="s">
        <v>606</v>
      </c>
      <c r="AC6" s="1396" t="s">
        <v>607</v>
      </c>
      <c r="AD6" s="1396" t="s">
        <v>608</v>
      </c>
      <c r="AE6" s="1872" t="s">
        <v>486</v>
      </c>
      <c r="AF6" s="1396" t="s">
        <v>610</v>
      </c>
      <c r="AG6" s="1437" t="s">
        <v>609</v>
      </c>
      <c r="AH6" s="1873" t="s">
        <v>611</v>
      </c>
      <c r="AI6" s="1437" t="s">
        <v>612</v>
      </c>
      <c r="AJ6" s="1437" t="s">
        <v>613</v>
      </c>
      <c r="AK6" s="1437" t="s">
        <v>614</v>
      </c>
      <c r="AL6" s="1874" t="s">
        <v>486</v>
      </c>
      <c r="AM6" s="1437" t="s">
        <v>609</v>
      </c>
      <c r="AN6" s="1875" t="s">
        <v>643</v>
      </c>
      <c r="AO6" s="1437" t="s">
        <v>965</v>
      </c>
      <c r="AP6" s="1439" t="s">
        <v>964</v>
      </c>
      <c r="AQ6" s="1873" t="s">
        <v>623</v>
      </c>
      <c r="AR6" s="1437" t="s">
        <v>615</v>
      </c>
      <c r="AS6" s="1437" t="s">
        <v>616</v>
      </c>
      <c r="AT6" s="1437" t="s">
        <v>617</v>
      </c>
      <c r="AU6" s="1876" t="s">
        <v>549</v>
      </c>
      <c r="AV6" s="1877" t="s">
        <v>486</v>
      </c>
      <c r="AW6" s="1875" t="s">
        <v>643</v>
      </c>
      <c r="AX6" s="1878" t="s">
        <v>486</v>
      </c>
    </row>
    <row r="7" spans="1:53" x14ac:dyDescent="0.25">
      <c r="A7" s="1531"/>
      <c r="B7" s="2026" t="s">
        <v>21</v>
      </c>
      <c r="C7" s="1953"/>
      <c r="D7" s="1532">
        <f>SUM(D9+D63+D138+D173+D194+D207+D257+D282+D301+D309)</f>
        <v>74414742211.959198</v>
      </c>
      <c r="E7" s="1530">
        <f>SUM(E9+E63+E138+E173+E194+E207+E257+E282+E301+E309)</f>
        <v>74414742211.959198</v>
      </c>
      <c r="F7" s="1533">
        <f>+X7+AF7+AM7+AW7</f>
        <v>65065338.341000006</v>
      </c>
      <c r="G7" s="1534">
        <f t="shared" ref="G7:S7" si="0">+G9+G63+G138+G173+G194+G207+G257+G282+G301+G309</f>
        <v>6126427200.6300001</v>
      </c>
      <c r="H7" s="1534">
        <f t="shared" si="0"/>
        <v>32280494.649999999</v>
      </c>
      <c r="I7" s="1534">
        <f t="shared" si="0"/>
        <v>207842708.20000002</v>
      </c>
      <c r="J7" s="1534">
        <f t="shared" si="0"/>
        <v>216253349.19000003</v>
      </c>
      <c r="K7" s="1534">
        <f t="shared" si="0"/>
        <v>247205835.28</v>
      </c>
      <c r="L7" s="1535">
        <f t="shared" si="0"/>
        <v>74600000</v>
      </c>
      <c r="M7" s="1534">
        <f t="shared" si="0"/>
        <v>587013372.26999998</v>
      </c>
      <c r="N7" s="1534">
        <f t="shared" si="0"/>
        <v>12700000</v>
      </c>
      <c r="O7" s="1534">
        <f t="shared" si="0"/>
        <v>26302651.960000001</v>
      </c>
      <c r="P7" s="1535">
        <f t="shared" si="0"/>
        <v>256819736.79999998</v>
      </c>
      <c r="Q7" s="1534">
        <f t="shared" si="0"/>
        <v>388558156.06999999</v>
      </c>
      <c r="R7" s="1534">
        <f t="shared" si="0"/>
        <v>173682496.38</v>
      </c>
      <c r="S7" s="1534">
        <f t="shared" si="0"/>
        <v>2078602281.0799999</v>
      </c>
      <c r="T7" s="1534">
        <f>SUM(T9+T63+T138+T173+T207+T257+T284+T301+T309)</f>
        <v>322402460.48000002</v>
      </c>
      <c r="U7" s="1534">
        <f t="shared" ref="U7:AD7" si="1">+U9+U63+U138+U173+U194+U207+U257+U282+U301+U309</f>
        <v>167798184.82999998</v>
      </c>
      <c r="V7" s="1534">
        <f t="shared" si="1"/>
        <v>1248516331.5900002</v>
      </c>
      <c r="W7" s="1534">
        <f t="shared" si="1"/>
        <v>87474141.849999994</v>
      </c>
      <c r="X7" s="1536">
        <f t="shared" si="1"/>
        <v>4283395.0010000002</v>
      </c>
      <c r="Y7" s="1534">
        <f t="shared" si="1"/>
        <v>1488294844.2391999</v>
      </c>
      <c r="Z7" s="1534">
        <f t="shared" si="1"/>
        <v>253794217</v>
      </c>
      <c r="AA7" s="1534">
        <f t="shared" si="1"/>
        <v>407020128.89920008</v>
      </c>
      <c r="AB7" s="1534">
        <f t="shared" si="1"/>
        <v>264130137.11999997</v>
      </c>
      <c r="AC7" s="1534">
        <f t="shared" si="1"/>
        <v>420365515.75</v>
      </c>
      <c r="AD7" s="1534">
        <f t="shared" si="1"/>
        <v>142984845.47</v>
      </c>
      <c r="AE7" s="1537">
        <f>AE9+AE63+AE138+AE173+AE194+AE207+AE257+AE282+AE301+AE309</f>
        <v>0.99999999999999989</v>
      </c>
      <c r="AF7" s="1536">
        <f>+AF9+AF63+AF138+AF173+AF194+AF207+AF257+AF282+AF301+AF309</f>
        <v>1508515.7639999997</v>
      </c>
      <c r="AG7" s="1538">
        <f>SUM(AG9+AG63+AG138+AG173+AG194+AG207+AG257+AG282+AG309)</f>
        <v>9423582226.0100002</v>
      </c>
      <c r="AH7" s="1539">
        <f>+AH9+AH63+AH138+AH173+AH194+AH207+AH257+AH282+AH301+AH309</f>
        <v>216529262.31</v>
      </c>
      <c r="AI7" s="1534">
        <f>+AI9+AI63+AI138+AI173+AI194+AI207+AI257+AI282+AI301+AI309</f>
        <v>6571092256.75</v>
      </c>
      <c r="AJ7" s="1534">
        <f>+AJ9+AJ63+AJ138+AJ173+AJ194+AJ207+AJ257+AJ282+AJ301+AJ309</f>
        <v>108880236.33</v>
      </c>
      <c r="AK7" s="1534">
        <f>+AK9+AK63+AK138+AK173+AK194+AK207+AK257+AK282+AK301+AK309</f>
        <v>2527080470.6199999</v>
      </c>
      <c r="AL7" s="1537">
        <f>AL9+AL63+AL138+AL173+AL194+AL207+AL257+AL282+AL301+AL309</f>
        <v>1.0000000000000002</v>
      </c>
      <c r="AM7" s="1540">
        <f>SUM(AM9+AM63+AM138+AM173+AM194+AM207+AM257+AM282+AM309)</f>
        <v>6180606.9129999997</v>
      </c>
      <c r="AN7" s="1541">
        <f t="shared" ref="AN7:AU7" si="2">+AN9+AN63+AN138+AN173+AN194+AN207+AN257+AN282+AN301+AN309</f>
        <v>57376437941.080002</v>
      </c>
      <c r="AO7" s="1542">
        <f t="shared" si="2"/>
        <v>46886406766.470001</v>
      </c>
      <c r="AP7" s="1543">
        <f t="shared" si="2"/>
        <v>10490031174.610001</v>
      </c>
      <c r="AQ7" s="1544">
        <f t="shared" si="2"/>
        <v>120424554.63</v>
      </c>
      <c r="AR7" s="1542">
        <f t="shared" si="2"/>
        <v>124694542.55</v>
      </c>
      <c r="AS7" s="1542">
        <f t="shared" si="2"/>
        <v>64799110.409999996</v>
      </c>
      <c r="AT7" s="1542">
        <f t="shared" si="2"/>
        <v>10180112967.02</v>
      </c>
      <c r="AU7" s="1545">
        <f t="shared" si="2"/>
        <v>71760804197.869202</v>
      </c>
      <c r="AV7" s="1546">
        <f>AV9+AV63+AV138+AV173+AV194+AV207+AV257+AV282+AV301+AV309</f>
        <v>0.99999999999999989</v>
      </c>
      <c r="AW7" s="1547">
        <f>+AW9+AW63+AW138+AW173+AW194+AW207+AW257+AW282+AW301+AW309</f>
        <v>53092820.663000003</v>
      </c>
      <c r="AX7" s="1548">
        <f>AX9+AX63+AX138+AX173+AX194+AX207+AX257+AX282+AX301+AX309</f>
        <v>0.99999999999999978</v>
      </c>
      <c r="AY7" s="1427">
        <f>+AW7-'[2]Egresos -2015 '!$AO$7</f>
        <v>1378831.5850000009</v>
      </c>
    </row>
    <row r="8" spans="1:53" ht="15" customHeight="1" x14ac:dyDescent="0.25">
      <c r="A8" s="1446"/>
      <c r="B8" s="1549" t="s">
        <v>0</v>
      </c>
      <c r="C8" s="1550"/>
      <c r="D8" s="1551"/>
      <c r="E8" s="1552"/>
      <c r="F8" s="1447"/>
      <c r="G8" s="1551"/>
      <c r="H8" s="1551"/>
      <c r="I8" s="1551"/>
      <c r="J8" s="1551"/>
      <c r="K8" s="1551"/>
      <c r="L8" s="1553"/>
      <c r="M8" s="1554"/>
      <c r="N8" s="1551"/>
      <c r="O8" s="1551"/>
      <c r="P8" s="1553"/>
      <c r="Q8" s="1551"/>
      <c r="R8" s="1554"/>
      <c r="S8" s="1554"/>
      <c r="T8" s="1554"/>
      <c r="U8" s="1554"/>
      <c r="V8" s="1554"/>
      <c r="W8" s="1554"/>
      <c r="X8" s="1555"/>
      <c r="Y8" s="1556"/>
      <c r="Z8" s="1556"/>
      <c r="AA8" s="1556"/>
      <c r="AB8" s="1556"/>
      <c r="AC8" s="1556"/>
      <c r="AD8" s="1556"/>
      <c r="AE8" s="61"/>
      <c r="AF8" s="1557"/>
      <c r="AG8" s="1558"/>
      <c r="AH8" s="1559"/>
      <c r="AI8" s="1556"/>
      <c r="AJ8" s="1556"/>
      <c r="AK8" s="1556"/>
      <c r="AL8" s="1560"/>
      <c r="AM8" s="1561"/>
      <c r="AN8" s="1562"/>
      <c r="AO8" s="1563"/>
      <c r="AP8" s="1564"/>
      <c r="AQ8" s="1565"/>
      <c r="AR8" s="1563"/>
      <c r="AS8" s="1563"/>
      <c r="AT8" s="1563"/>
      <c r="AU8" s="1463"/>
      <c r="AV8" s="1566"/>
      <c r="AW8" s="1567"/>
      <c r="AX8" s="1568"/>
      <c r="AY8" s="1569">
        <f>+'[2]Egresos -2015 '!$Z$9-X9</f>
        <v>-34118.032999999588</v>
      </c>
      <c r="AZ8" s="947"/>
    </row>
    <row r="9" spans="1:53" ht="15.75" customHeight="1" x14ac:dyDescent="0.25">
      <c r="A9" s="1570">
        <v>0</v>
      </c>
      <c r="B9" s="2005" t="s">
        <v>22</v>
      </c>
      <c r="C9" s="2004"/>
      <c r="D9" s="1571">
        <f>D11+D17+D23+D45+D52+D58</f>
        <v>4041817159.3900003</v>
      </c>
      <c r="E9" s="1572">
        <f>SUM(E11+E17+E23+E45+E52+E59)</f>
        <v>4041817159.3900003</v>
      </c>
      <c r="F9" s="1495">
        <f>+X9+AF9+AM9+AW9</f>
        <v>3788630.2449999996</v>
      </c>
      <c r="G9" s="1573">
        <f>G11+G17+G23+G45+G52+G58</f>
        <v>2001643232.1199999</v>
      </c>
      <c r="H9" s="1573">
        <f>H11+H17+H23+H45+H52</f>
        <v>26485894.649999999</v>
      </c>
      <c r="I9" s="1573">
        <f>I11+I17+I23+I45+I52</f>
        <v>194254114.20000002</v>
      </c>
      <c r="J9" s="1573">
        <f>J11+J17+J23+J45+J52</f>
        <v>170853082.61000001</v>
      </c>
      <c r="K9" s="1573">
        <f>K11+K17+K23+K45+K52</f>
        <v>114805835.28</v>
      </c>
      <c r="L9" s="1573">
        <f>L11+L17+L23+L45+L52</f>
        <v>0</v>
      </c>
      <c r="M9" s="1573">
        <f>M11+M17+M23+M45+M52+M58</f>
        <v>156413594.38</v>
      </c>
      <c r="N9" s="1573">
        <f>N11+N17+N23+N45+N52</f>
        <v>0</v>
      </c>
      <c r="O9" s="1573">
        <f>O11+O17+O23+O45+O52</f>
        <v>21914356.960000001</v>
      </c>
      <c r="P9" s="1573">
        <f>P11+P17+P23+P45+P52</f>
        <v>234713786.79999998</v>
      </c>
      <c r="Q9" s="1573">
        <f>Q11+Q17+Q23+Q45+Q52</f>
        <v>318908156.06999999</v>
      </c>
      <c r="R9" s="1573">
        <f t="shared" ref="R9:W9" si="3">R11+R17+R23+R45+R52+R58</f>
        <v>62512517.909999996</v>
      </c>
      <c r="S9" s="1573">
        <f t="shared" si="3"/>
        <v>178432527.53999999</v>
      </c>
      <c r="T9" s="1573">
        <f t="shared" si="3"/>
        <v>90274952.780000001</v>
      </c>
      <c r="U9" s="1573">
        <f t="shared" si="3"/>
        <v>121034184.83</v>
      </c>
      <c r="V9" s="1573">
        <f t="shared" si="3"/>
        <v>270951086.25999999</v>
      </c>
      <c r="W9" s="1573">
        <f t="shared" si="3"/>
        <v>40089141.850000001</v>
      </c>
      <c r="X9" s="1574">
        <f>X11+X17+X23+X45+X52</f>
        <v>1906624.6329999997</v>
      </c>
      <c r="Y9" s="1573">
        <f t="shared" ref="Y9:AD9" si="4">Y11+Y17+Y23+Y45+Y52+Y58</f>
        <v>804056315.10000002</v>
      </c>
      <c r="Z9" s="1573">
        <f t="shared" si="4"/>
        <v>85473490.909999996</v>
      </c>
      <c r="AA9" s="1573">
        <f t="shared" si="4"/>
        <v>102237325.84999999</v>
      </c>
      <c r="AB9" s="1573">
        <f t="shared" si="4"/>
        <v>248445137.11999997</v>
      </c>
      <c r="AC9" s="1573">
        <f t="shared" si="4"/>
        <v>251440515.74999997</v>
      </c>
      <c r="AD9" s="1573">
        <f t="shared" si="4"/>
        <v>116459845.47</v>
      </c>
      <c r="AE9" s="1575">
        <f>X9/$X$7</f>
        <v>0.44511996501720708</v>
      </c>
      <c r="AF9" s="1574">
        <f>AF11+AF17+AF23+AF45+AF52</f>
        <v>750363.848</v>
      </c>
      <c r="AG9" s="1576">
        <f>SUM(AG11+AG17+AG23+AG45+AG52)</f>
        <v>545519495.52999997</v>
      </c>
      <c r="AH9" s="1573">
        <f>AH11+AH17+AH23+AH45+AH52+AH58</f>
        <v>61464267.150000006</v>
      </c>
      <c r="AI9" s="1573">
        <f>AI11+AI17+AI23+AI45+AI52+AI58</f>
        <v>218896945.03</v>
      </c>
      <c r="AJ9" s="1576">
        <f>+AJ11+AJ17+AJ23+AJ45+AJ52+AJ58</f>
        <v>104165236.33</v>
      </c>
      <c r="AK9" s="1576">
        <f>+AK11+AK17+AK23+AK45+AK52+AK58</f>
        <v>160993047.01999998</v>
      </c>
      <c r="AL9" s="1577">
        <f>(AF9/AF7)</f>
        <v>0.49741863221258331</v>
      </c>
      <c r="AM9" s="1578">
        <f>+AM11+AM23+AM45+AM52</f>
        <v>553123.2379999999</v>
      </c>
      <c r="AN9" s="1579">
        <f t="shared" ref="AN9:AU9" si="5">+AN11+AN17+AN23+AN45+AN52+AN58</f>
        <v>690598116.63999999</v>
      </c>
      <c r="AO9" s="1580">
        <f t="shared" si="5"/>
        <v>362952208.35000002</v>
      </c>
      <c r="AP9" s="1579">
        <f t="shared" si="5"/>
        <v>327645908.29000002</v>
      </c>
      <c r="AQ9" s="1581">
        <f t="shared" si="5"/>
        <v>102526919.33</v>
      </c>
      <c r="AR9" s="1580">
        <f t="shared" si="5"/>
        <v>69568042.549999997</v>
      </c>
      <c r="AS9" s="1580">
        <f t="shared" si="5"/>
        <v>52794610.409999996</v>
      </c>
      <c r="AT9" s="1580">
        <f t="shared" si="5"/>
        <v>102756336</v>
      </c>
      <c r="AU9" s="1582">
        <f t="shared" si="5"/>
        <v>4041817159.3900003</v>
      </c>
      <c r="AV9" s="1566">
        <f>AM9/$AM$7</f>
        <v>8.9493353288102873E-2</v>
      </c>
      <c r="AW9" s="1583">
        <f>+AW11+AW17+AW23+AW45+AW52+AW58</f>
        <v>578518.52600000007</v>
      </c>
      <c r="AX9" s="1568">
        <f>AW9/$AW$7</f>
        <v>1.0896360727791684E-2</v>
      </c>
    </row>
    <row r="10" spans="1:53" ht="15.75" customHeight="1" x14ac:dyDescent="0.25">
      <c r="A10" s="1584"/>
      <c r="B10" s="1585"/>
      <c r="D10" s="1514" t="s">
        <v>0</v>
      </c>
      <c r="E10" s="1552"/>
      <c r="F10" s="1447"/>
      <c r="G10" s="1514"/>
      <c r="H10" s="1514"/>
      <c r="I10" s="1514"/>
      <c r="J10" s="1514"/>
      <c r="K10" s="1514"/>
      <c r="L10" s="783"/>
      <c r="M10" s="1586"/>
      <c r="N10" s="1514"/>
      <c r="O10" s="1514"/>
      <c r="P10" s="783"/>
      <c r="Q10" s="1514"/>
      <c r="R10" s="1587"/>
      <c r="S10" s="1586"/>
      <c r="T10" s="1586"/>
      <c r="U10" s="1586"/>
      <c r="V10" s="1586"/>
      <c r="W10" s="1586"/>
      <c r="X10" s="1588"/>
      <c r="Y10" s="783"/>
      <c r="Z10" s="783"/>
      <c r="AA10" s="783"/>
      <c r="AB10" s="783"/>
      <c r="AC10" s="783"/>
      <c r="AD10" s="783"/>
      <c r="AE10" s="1589"/>
      <c r="AF10" s="781"/>
      <c r="AG10" s="1576">
        <f>SUM(AH10:AJ10)</f>
        <v>0</v>
      </c>
      <c r="AH10" s="730"/>
      <c r="AI10" s="783"/>
      <c r="AJ10" s="777"/>
      <c r="AK10" s="777"/>
      <c r="AL10" s="845"/>
      <c r="AM10" s="1590"/>
      <c r="AN10" s="780"/>
      <c r="AO10" s="777"/>
      <c r="AP10" s="779"/>
      <c r="AQ10" s="778"/>
      <c r="AR10" s="777"/>
      <c r="AS10" s="777"/>
      <c r="AT10" s="777"/>
      <c r="AU10" s="776"/>
      <c r="AV10" s="1566"/>
      <c r="AW10" s="1591"/>
      <c r="AX10" s="1592"/>
    </row>
    <row r="11" spans="1:53" ht="15.75" customHeight="1" x14ac:dyDescent="0.25">
      <c r="A11" s="1593" t="s">
        <v>23</v>
      </c>
      <c r="B11" s="2027" t="s">
        <v>24</v>
      </c>
      <c r="C11" s="2019"/>
      <c r="D11" s="1573">
        <f>SUM(D12:D15)</f>
        <v>1356931765.6500001</v>
      </c>
      <c r="E11" s="1572">
        <f>SUM(G11+Y11+AG11+AN11)</f>
        <v>1356931765.6500001</v>
      </c>
      <c r="F11" s="1495">
        <f>+X11+AF11+AM11+AW11</f>
        <v>1310966.064</v>
      </c>
      <c r="G11" s="1573">
        <f t="shared" ref="G11:W11" si="6">SUM(G12:G15)</f>
        <v>701739835.92999995</v>
      </c>
      <c r="H11" s="1571">
        <f t="shared" si="6"/>
        <v>0</v>
      </c>
      <c r="I11" s="1571">
        <f t="shared" si="6"/>
        <v>52735250.159999996</v>
      </c>
      <c r="J11" s="1571">
        <f t="shared" si="6"/>
        <v>82413245.239999995</v>
      </c>
      <c r="K11" s="1571">
        <f t="shared" si="6"/>
        <v>68416555.200000003</v>
      </c>
      <c r="L11" s="1571">
        <f t="shared" si="6"/>
        <v>0</v>
      </c>
      <c r="M11" s="1571">
        <f t="shared" si="6"/>
        <v>48235505.640000001</v>
      </c>
      <c r="N11" s="1571">
        <f t="shared" si="6"/>
        <v>0</v>
      </c>
      <c r="O11" s="1571">
        <f t="shared" si="6"/>
        <v>8307069.4800000004</v>
      </c>
      <c r="P11" s="1571">
        <f t="shared" si="6"/>
        <v>81698957.280000001</v>
      </c>
      <c r="Q11" s="1571">
        <f t="shared" si="6"/>
        <v>87094851.239999995</v>
      </c>
      <c r="R11" s="1571">
        <f t="shared" si="6"/>
        <v>21358980.600000001</v>
      </c>
      <c r="S11" s="1571">
        <f t="shared" si="6"/>
        <v>71377516.799999997</v>
      </c>
      <c r="T11" s="1571">
        <f t="shared" si="6"/>
        <v>34488756.649999999</v>
      </c>
      <c r="U11" s="1571">
        <f t="shared" si="6"/>
        <v>40586136.479999997</v>
      </c>
      <c r="V11" s="1571">
        <f t="shared" si="6"/>
        <v>91678446</v>
      </c>
      <c r="W11" s="1571">
        <f t="shared" si="6"/>
        <v>13348565.16</v>
      </c>
      <c r="X11" s="1594">
        <f>+X12+X15</f>
        <v>692152.32299999997</v>
      </c>
      <c r="Y11" s="1576">
        <f t="shared" ref="Y11:AD11" si="7">SUM(Y12:Y15)</f>
        <v>236288927.63999999</v>
      </c>
      <c r="Z11" s="1576">
        <f t="shared" si="7"/>
        <v>30275438.760000002</v>
      </c>
      <c r="AA11" s="1576">
        <f t="shared" si="7"/>
        <v>27153721.079999998</v>
      </c>
      <c r="AB11" s="1576">
        <f t="shared" si="7"/>
        <v>66784750.920000002</v>
      </c>
      <c r="AC11" s="1576">
        <f t="shared" si="7"/>
        <v>72251393.519999996</v>
      </c>
      <c r="AD11" s="1595">
        <f t="shared" si="7"/>
        <v>39823623.359999999</v>
      </c>
      <c r="AE11" s="1575">
        <f>X11/$X$7</f>
        <v>0.16158965559758329</v>
      </c>
      <c r="AF11" s="1578">
        <f>+AF12+AF15</f>
        <v>222081.37100000001</v>
      </c>
      <c r="AG11" s="1576">
        <f>SUM(AG12:AG15)</f>
        <v>196727857.63999999</v>
      </c>
      <c r="AH11" s="1595">
        <f>SUM(AH12:AH15)</f>
        <v>24049962</v>
      </c>
      <c r="AI11" s="1596">
        <f>SUM(AI12:AI15)</f>
        <v>80723543.159999996</v>
      </c>
      <c r="AJ11" s="1597">
        <f>SUM(AJ12:AJ15)</f>
        <v>32792649.719999999</v>
      </c>
      <c r="AK11" s="1597">
        <f>SUM(AK12:AK15)</f>
        <v>59161702.759999998</v>
      </c>
      <c r="AL11" s="1577">
        <f>(AF11/AF7)</f>
        <v>0.14721846221290139</v>
      </c>
      <c r="AM11" s="1598">
        <f>+AM12+AM13+AM15</f>
        <v>194299.647</v>
      </c>
      <c r="AN11" s="1599">
        <f t="shared" ref="AN11:AU11" si="8">SUM(AN12:AN15)</f>
        <v>222175144.44</v>
      </c>
      <c r="AO11" s="1600">
        <f t="shared" si="8"/>
        <v>119355707.02000001</v>
      </c>
      <c r="AP11" s="1599">
        <f t="shared" si="8"/>
        <v>102819437.42</v>
      </c>
      <c r="AQ11" s="1601">
        <f t="shared" si="8"/>
        <v>25098912</v>
      </c>
      <c r="AR11" s="1600">
        <f t="shared" si="8"/>
        <v>26568079.559999999</v>
      </c>
      <c r="AS11" s="1600">
        <f t="shared" si="8"/>
        <v>18613770.66</v>
      </c>
      <c r="AT11" s="1600">
        <f t="shared" si="8"/>
        <v>32538675.199999999</v>
      </c>
      <c r="AU11" s="1602">
        <f t="shared" si="8"/>
        <v>1356931765.6500001</v>
      </c>
      <c r="AV11" s="1603">
        <f>AM11/$AM$7</f>
        <v>3.1436985029952187E-2</v>
      </c>
      <c r="AW11" s="1604">
        <f>SUM(AW12:AW15)</f>
        <v>202432.723</v>
      </c>
      <c r="AX11" s="1592">
        <f>AW11/$AW$7</f>
        <v>3.8128078424183981E-3</v>
      </c>
      <c r="AZ11" s="1605"/>
      <c r="BA11" s="1606"/>
    </row>
    <row r="12" spans="1:53" ht="15.75" customHeight="1" x14ac:dyDescent="0.25">
      <c r="A12" s="1607" t="s">
        <v>25</v>
      </c>
      <c r="B12" s="2009" t="s">
        <v>26</v>
      </c>
      <c r="C12" s="2004"/>
      <c r="D12" s="1608">
        <f>+G12+Y12+AG12+AN12</f>
        <v>1322984201.6500001</v>
      </c>
      <c r="E12" s="1552">
        <f>SUM(G12+Y12+AG12+AN12)</f>
        <v>1322984201.6500001</v>
      </c>
      <c r="F12" s="1447">
        <f>+X12+AF12+AM12+AW12</f>
        <v>1306966.064</v>
      </c>
      <c r="G12" s="1608">
        <f>SUM(H12:W12)</f>
        <v>695870221.92999995</v>
      </c>
      <c r="H12" s="1103"/>
      <c r="I12" s="1103">
        <v>52735250.159999996</v>
      </c>
      <c r="J12" s="1103">
        <f>81723195.24+690050</f>
        <v>82413245.239999995</v>
      </c>
      <c r="K12" s="1103">
        <v>68416555.200000003</v>
      </c>
      <c r="L12" s="78"/>
      <c r="M12" s="1586">
        <v>48235505.640000001</v>
      </c>
      <c r="N12" s="1103"/>
      <c r="O12" s="1103">
        <v>8307069.4800000004</v>
      </c>
      <c r="P12" s="78">
        <v>81698957.280000001</v>
      </c>
      <c r="Q12" s="1103">
        <v>87094851.239999995</v>
      </c>
      <c r="R12" s="1586">
        <v>15489366.6</v>
      </c>
      <c r="S12" s="1586">
        <v>71377516.799999997</v>
      </c>
      <c r="T12" s="1586">
        <v>34488756.649999999</v>
      </c>
      <c r="U12" s="1586">
        <v>40586136.479999997</v>
      </c>
      <c r="V12" s="1586">
        <v>91678446</v>
      </c>
      <c r="W12" s="1586">
        <v>13348565.16</v>
      </c>
      <c r="X12" s="1588">
        <f>690152323/1000</f>
        <v>690152.32299999997</v>
      </c>
      <c r="Y12" s="1561">
        <f>SUM(Z12:AD12)</f>
        <v>229790927.63999999</v>
      </c>
      <c r="Z12" s="1561">
        <v>23777438.760000002</v>
      </c>
      <c r="AA12" s="1561">
        <v>27153721.079999998</v>
      </c>
      <c r="AB12" s="1561">
        <v>66784750.920000002</v>
      </c>
      <c r="AC12" s="1561">
        <v>72251393.519999996</v>
      </c>
      <c r="AD12" s="1561">
        <v>39823623.359999999</v>
      </c>
      <c r="AE12" s="1609">
        <f>X12/$X$7</f>
        <v>0.16112273624983856</v>
      </c>
      <c r="AF12" s="1610">
        <f>222081371/1000</f>
        <v>222081.37100000001</v>
      </c>
      <c r="AG12" s="1576">
        <f>SUM(AH12:AK12)</f>
        <v>182133857.63999999</v>
      </c>
      <c r="AH12" s="1611">
        <v>18112962</v>
      </c>
      <c r="AI12" s="1612">
        <v>80723543.159999996</v>
      </c>
      <c r="AJ12" s="1600">
        <v>32792649.719999999</v>
      </c>
      <c r="AK12" s="1600">
        <v>50504702.759999998</v>
      </c>
      <c r="AL12" s="1613">
        <f>(AF12/AF7)</f>
        <v>0.14721846221290139</v>
      </c>
      <c r="AM12" s="1614">
        <f>194299647/1000</f>
        <v>194299.647</v>
      </c>
      <c r="AN12" s="1615">
        <f>SUM(AO12+AP12)</f>
        <v>215189194.44</v>
      </c>
      <c r="AO12" s="1600">
        <f>43432131.54+75923575.48</f>
        <v>119355707.02000001</v>
      </c>
      <c r="AP12" s="1599">
        <f>SUM(AQ12:AT12)</f>
        <v>95833487.420000002</v>
      </c>
      <c r="AQ12" s="1601">
        <v>18112962</v>
      </c>
      <c r="AR12" s="1600">
        <v>26568079.559999999</v>
      </c>
      <c r="AS12" s="1600">
        <v>18613770.66</v>
      </c>
      <c r="AT12" s="1600">
        <v>32538675.199999999</v>
      </c>
      <c r="AU12" s="1616">
        <f>SUM(AN12+AG12+Y12+G12)</f>
        <v>1322984201.6500001</v>
      </c>
      <c r="AV12" s="1617">
        <f>AM12/$AM$7</f>
        <v>3.1436985029952187E-2</v>
      </c>
      <c r="AW12" s="1618">
        <f>200432723/1000</f>
        <v>200432.723</v>
      </c>
      <c r="AX12" s="1619">
        <f>AW12/$AW$7</f>
        <v>3.7751379658696508E-3</v>
      </c>
    </row>
    <row r="13" spans="1:53" ht="15.75" hidden="1" customHeight="1" x14ac:dyDescent="0.25">
      <c r="A13" s="1607" t="s">
        <v>27</v>
      </c>
      <c r="B13" s="2009" t="s">
        <v>28</v>
      </c>
      <c r="C13" s="2004"/>
      <c r="D13" s="1608">
        <f>+G13+Y13+AG13+AN13</f>
        <v>2000000</v>
      </c>
      <c r="E13" s="1552">
        <f>SUM(G13+Y13+AG13+AN13)</f>
        <v>2000000</v>
      </c>
      <c r="F13" s="1447"/>
      <c r="G13" s="1608">
        <f>SUM(H13:W13)</f>
        <v>0</v>
      </c>
      <c r="H13" s="1103"/>
      <c r="I13" s="1103"/>
      <c r="J13" s="1103"/>
      <c r="K13" s="1103"/>
      <c r="L13" s="78"/>
      <c r="M13" s="1586"/>
      <c r="N13" s="1103"/>
      <c r="O13" s="1103"/>
      <c r="P13" s="78"/>
      <c r="Q13" s="1103"/>
      <c r="R13" s="1586"/>
      <c r="S13" s="1586"/>
      <c r="T13" s="1586"/>
      <c r="U13" s="1586"/>
      <c r="V13" s="1586"/>
      <c r="W13" s="1586"/>
      <c r="X13" s="1588"/>
      <c r="Y13" s="1561">
        <f>SUM(Z13:AD13)</f>
        <v>0</v>
      </c>
      <c r="Z13" s="1561"/>
      <c r="AA13" s="1561"/>
      <c r="AB13" s="1561"/>
      <c r="AC13" s="1561"/>
      <c r="AD13" s="1561"/>
      <c r="AE13" s="1609"/>
      <c r="AF13" s="1561"/>
      <c r="AG13" s="1576">
        <f>SUM(AH13:AK13)</f>
        <v>2000000</v>
      </c>
      <c r="AH13" s="1611"/>
      <c r="AI13" s="1612"/>
      <c r="AJ13" s="1600"/>
      <c r="AK13" s="1600">
        <v>2000000</v>
      </c>
      <c r="AL13" s="1613" t="e">
        <f>(AF13/AF8)</f>
        <v>#DIV/0!</v>
      </c>
      <c r="AM13" s="1614">
        <v>0</v>
      </c>
      <c r="AN13" s="1615">
        <f>SUM(AO13+AP13)</f>
        <v>0</v>
      </c>
      <c r="AO13" s="1600"/>
      <c r="AP13" s="1599">
        <f>SUM(AQ13:AT13)</f>
        <v>0</v>
      </c>
      <c r="AQ13" s="1601"/>
      <c r="AR13" s="1600"/>
      <c r="AS13" s="1600"/>
      <c r="AT13" s="1600"/>
      <c r="AU13" s="1616">
        <f>SUM(AN13+AG13+Y13+G13)</f>
        <v>2000000</v>
      </c>
      <c r="AV13" s="1617">
        <f>AM13/$AM$7</f>
        <v>0</v>
      </c>
      <c r="AW13" s="1618"/>
      <c r="AX13" s="1619"/>
    </row>
    <row r="14" spans="1:53" ht="15.75" hidden="1" customHeight="1" x14ac:dyDescent="0.25">
      <c r="A14" s="1620" t="s">
        <v>29</v>
      </c>
      <c r="B14" s="2009" t="s">
        <v>30</v>
      </c>
      <c r="C14" s="2004"/>
      <c r="D14" s="1608">
        <f>+G14+Y14+AG14+AN14</f>
        <v>0</v>
      </c>
      <c r="E14" s="1552">
        <f>SUM(G14+Y14+AG14+AN14)</f>
        <v>0</v>
      </c>
      <c r="F14" s="1447">
        <f>+X14+AF14+AM14+AW14</f>
        <v>0</v>
      </c>
      <c r="G14" s="1608">
        <f>SUM(H14:W14)</f>
        <v>0</v>
      </c>
      <c r="H14" s="1608"/>
      <c r="I14" s="1608"/>
      <c r="J14" s="1608"/>
      <c r="K14" s="1608"/>
      <c r="L14" s="1608"/>
      <c r="M14" s="1586"/>
      <c r="N14" s="1608"/>
      <c r="O14" s="1608"/>
      <c r="P14" s="1608"/>
      <c r="Q14" s="1608"/>
      <c r="R14" s="1586"/>
      <c r="S14" s="1586"/>
      <c r="T14" s="1586"/>
      <c r="U14" s="1586"/>
      <c r="V14" s="1586"/>
      <c r="W14" s="1586"/>
      <c r="X14" s="1588"/>
      <c r="Y14" s="1561">
        <f>SUM(Z14:AD14)</f>
        <v>0</v>
      </c>
      <c r="Z14" s="1561"/>
      <c r="AA14" s="1561"/>
      <c r="AB14" s="1561"/>
      <c r="AC14" s="1561"/>
      <c r="AD14" s="1561"/>
      <c r="AE14" s="1609"/>
      <c r="AF14" s="1561">
        <f>Y14/1000</f>
        <v>0</v>
      </c>
      <c r="AG14" s="1576">
        <f>SUM(AH14:AK14)</f>
        <v>0</v>
      </c>
      <c r="AH14" s="1611"/>
      <c r="AI14" s="1612"/>
      <c r="AJ14" s="1600"/>
      <c r="AK14" s="1600"/>
      <c r="AL14" s="1613">
        <f>(AF14/AF9)</f>
        <v>0</v>
      </c>
      <c r="AM14" s="1614">
        <f>AG14/1000</f>
        <v>0</v>
      </c>
      <c r="AN14" s="1615">
        <f>SUM(AO14+AP14)</f>
        <v>0</v>
      </c>
      <c r="AO14" s="1600"/>
      <c r="AP14" s="1599">
        <f>SUM(AQ14:AT14)</f>
        <v>0</v>
      </c>
      <c r="AQ14" s="1601"/>
      <c r="AR14" s="1600"/>
      <c r="AS14" s="1600"/>
      <c r="AT14" s="1600"/>
      <c r="AU14" s="1616">
        <f>SUM(AN14+AG14+Y14+G14)</f>
        <v>0</v>
      </c>
      <c r="AV14" s="1617">
        <f>AM14/$AM$7</f>
        <v>0</v>
      </c>
      <c r="AW14" s="1618">
        <f>AN14/1000</f>
        <v>0</v>
      </c>
      <c r="AX14" s="1619">
        <f>AW14/$AW$7</f>
        <v>0</v>
      </c>
      <c r="BA14" s="1605"/>
    </row>
    <row r="15" spans="1:53" s="1464" customFormat="1" ht="15.75" customHeight="1" x14ac:dyDescent="0.25">
      <c r="A15" s="1620" t="s">
        <v>31</v>
      </c>
      <c r="B15" s="2006" t="s">
        <v>32</v>
      </c>
      <c r="C15" s="2007"/>
      <c r="D15" s="1608">
        <f>+G15+Y15+AG15+AN15</f>
        <v>31947564</v>
      </c>
      <c r="E15" s="1621">
        <f>SUM(G15+Y15+AG15+AN15)</f>
        <v>31947564</v>
      </c>
      <c r="F15" s="1447">
        <f>+X15+AF15+AM15+AW15</f>
        <v>4000</v>
      </c>
      <c r="G15" s="1608">
        <f>SUM(H15:W15)</f>
        <v>5869614</v>
      </c>
      <c r="H15" s="78"/>
      <c r="I15" s="78"/>
      <c r="J15" s="78"/>
      <c r="K15" s="78"/>
      <c r="L15" s="78"/>
      <c r="M15" s="1586"/>
      <c r="N15" s="78"/>
      <c r="O15" s="78"/>
      <c r="P15" s="78"/>
      <c r="Q15" s="78"/>
      <c r="R15" s="1586">
        <v>5869614</v>
      </c>
      <c r="S15" s="1586"/>
      <c r="T15" s="1586"/>
      <c r="U15" s="1586"/>
      <c r="V15" s="1586"/>
      <c r="W15" s="1586"/>
      <c r="X15" s="1588">
        <f>2000000/1000</f>
        <v>2000</v>
      </c>
      <c r="Y15" s="1561">
        <f>SUM(Z15:AD15)</f>
        <v>6498000</v>
      </c>
      <c r="Z15" s="1561">
        <v>6498000</v>
      </c>
      <c r="AA15" s="1561"/>
      <c r="AB15" s="1561"/>
      <c r="AC15" s="1561"/>
      <c r="AD15" s="1561"/>
      <c r="AE15" s="1609">
        <f>X15/$X$7</f>
        <v>4.6691934774474001E-4</v>
      </c>
      <c r="AF15" s="1561">
        <v>0</v>
      </c>
      <c r="AG15" s="1576">
        <f>SUM(AH15:AK15)</f>
        <v>12594000</v>
      </c>
      <c r="AH15" s="1611">
        <v>5937000</v>
      </c>
      <c r="AI15" s="1612"/>
      <c r="AJ15" s="1600"/>
      <c r="AK15" s="1600">
        <v>6657000</v>
      </c>
      <c r="AL15" s="1613">
        <f>(AF15/AF7)</f>
        <v>0</v>
      </c>
      <c r="AM15" s="1614">
        <f>0/1000</f>
        <v>0</v>
      </c>
      <c r="AN15" s="1615">
        <f>SUM(AO15+AP15)</f>
        <v>6985950</v>
      </c>
      <c r="AO15" s="1622"/>
      <c r="AP15" s="1599">
        <f>SUM(AQ15:AT15)</f>
        <v>6985950</v>
      </c>
      <c r="AQ15" s="1601">
        <v>6985950</v>
      </c>
      <c r="AR15" s="1622"/>
      <c r="AS15" s="1622"/>
      <c r="AT15" s="1622"/>
      <c r="AU15" s="1616">
        <f>SUM(AN15+AG15+Y15+G15)</f>
        <v>31947564</v>
      </c>
      <c r="AV15" s="1617">
        <f>AM15/$AM$7</f>
        <v>0</v>
      </c>
      <c r="AW15" s="1618">
        <f>2000000/1000</f>
        <v>2000</v>
      </c>
      <c r="AX15" s="1619">
        <f>AW15/$AW$7</f>
        <v>3.7669876548747494E-5</v>
      </c>
    </row>
    <row r="16" spans="1:53" ht="15.75" customHeight="1" x14ac:dyDescent="0.25">
      <c r="A16" s="1623"/>
      <c r="B16" s="1624"/>
      <c r="C16" s="1513"/>
      <c r="D16" s="1608"/>
      <c r="E16" s="1552"/>
      <c r="F16" s="1447"/>
      <c r="G16" s="1608"/>
      <c r="H16" s="1103"/>
      <c r="I16" s="1103"/>
      <c r="J16" s="1103"/>
      <c r="K16" s="1103"/>
      <c r="L16" s="78"/>
      <c r="M16" s="1586"/>
      <c r="N16" s="1103"/>
      <c r="O16" s="1103"/>
      <c r="P16" s="78"/>
      <c r="Q16" s="1103"/>
      <c r="R16" s="1586"/>
      <c r="S16" s="1586"/>
      <c r="T16" s="1586"/>
      <c r="U16" s="1586"/>
      <c r="V16" s="1586"/>
      <c r="W16" s="1586"/>
      <c r="X16" s="1588"/>
      <c r="Y16" s="1561"/>
      <c r="Z16" s="1561"/>
      <c r="AA16" s="1561"/>
      <c r="AB16" s="1561"/>
      <c r="AC16" s="1561"/>
      <c r="AD16" s="1561"/>
      <c r="AE16" s="1575"/>
      <c r="AF16" s="1561"/>
      <c r="AG16" s="1576"/>
      <c r="AH16" s="1611"/>
      <c r="AI16" s="1612"/>
      <c r="AJ16" s="1514"/>
      <c r="AK16" s="1514"/>
      <c r="AL16" s="1625"/>
      <c r="AM16" s="1614"/>
      <c r="AN16" s="1562"/>
      <c r="AO16" s="1514"/>
      <c r="AP16" s="1626"/>
      <c r="AQ16" s="1516"/>
      <c r="AR16" s="1514"/>
      <c r="AS16" s="1514"/>
      <c r="AT16" s="1514"/>
      <c r="AU16" s="1463"/>
      <c r="AV16" s="1603"/>
      <c r="AW16" s="1627"/>
      <c r="AX16" s="1592"/>
      <c r="AY16" s="1569"/>
      <c r="AZ16" s="1569"/>
    </row>
    <row r="17" spans="1:52" ht="15.75" customHeight="1" x14ac:dyDescent="0.25">
      <c r="A17" s="1593" t="s">
        <v>33</v>
      </c>
      <c r="B17" s="2013" t="s">
        <v>34</v>
      </c>
      <c r="C17" s="2002"/>
      <c r="D17" s="1573">
        <f>SUM(D18:D21)</f>
        <v>117688768.22999999</v>
      </c>
      <c r="E17" s="1572">
        <f>SUM(G17+Y17+AG17+AN17)</f>
        <v>117688768.23000002</v>
      </c>
      <c r="F17" s="1495">
        <f>+X17+AF17+AM17+AW17</f>
        <v>49246.127999999997</v>
      </c>
      <c r="G17" s="1573">
        <f>SUM(H17:W17)</f>
        <v>83970864.830000013</v>
      </c>
      <c r="H17" s="1573">
        <f t="shared" ref="H17:W17" si="9">SUM(H18:H21)</f>
        <v>26485894.649999999</v>
      </c>
      <c r="I17" s="1573">
        <f t="shared" si="9"/>
        <v>0</v>
      </c>
      <c r="J17" s="1573">
        <f t="shared" si="9"/>
        <v>0</v>
      </c>
      <c r="K17" s="1573">
        <f t="shared" si="9"/>
        <v>0</v>
      </c>
      <c r="L17" s="1573">
        <f t="shared" si="9"/>
        <v>0</v>
      </c>
      <c r="M17" s="1573">
        <f t="shared" si="9"/>
        <v>4000000</v>
      </c>
      <c r="N17" s="1573">
        <f t="shared" si="9"/>
        <v>0</v>
      </c>
      <c r="O17" s="1573">
        <f t="shared" si="9"/>
        <v>0</v>
      </c>
      <c r="P17" s="1573">
        <f t="shared" si="9"/>
        <v>0</v>
      </c>
      <c r="Q17" s="1573">
        <f t="shared" si="9"/>
        <v>6637344</v>
      </c>
      <c r="R17" s="1573">
        <f t="shared" si="9"/>
        <v>5869614</v>
      </c>
      <c r="S17" s="1573">
        <f t="shared" si="9"/>
        <v>11797892</v>
      </c>
      <c r="T17" s="1573">
        <f t="shared" si="9"/>
        <v>4000000</v>
      </c>
      <c r="U17" s="1573">
        <f t="shared" si="9"/>
        <v>644733</v>
      </c>
      <c r="V17" s="1573">
        <f t="shared" si="9"/>
        <v>21082200</v>
      </c>
      <c r="W17" s="1573">
        <f t="shared" si="9"/>
        <v>3453187.18</v>
      </c>
      <c r="X17" s="1628">
        <f>+X18+X19+X21</f>
        <v>44746.127999999997</v>
      </c>
      <c r="Y17" s="1576">
        <f t="shared" ref="Y17:AD17" si="10">SUM(Y18:Y21)</f>
        <v>6498000</v>
      </c>
      <c r="Z17" s="1576">
        <f t="shared" si="10"/>
        <v>6498000</v>
      </c>
      <c r="AA17" s="1576">
        <f t="shared" si="10"/>
        <v>0</v>
      </c>
      <c r="AB17" s="1576">
        <f t="shared" si="10"/>
        <v>0</v>
      </c>
      <c r="AC17" s="1576">
        <f t="shared" si="10"/>
        <v>0</v>
      </c>
      <c r="AD17" s="1576">
        <f t="shared" si="10"/>
        <v>0</v>
      </c>
      <c r="AE17" s="1575">
        <f>X17/$X$7</f>
        <v>1.0446416449931323E-2</v>
      </c>
      <c r="AF17" s="1557">
        <f>+AF18+AF19+AF21</f>
        <v>1500</v>
      </c>
      <c r="AG17" s="1576">
        <f>SUM(AG18:AG21)</f>
        <v>5937000</v>
      </c>
      <c r="AH17" s="1629">
        <f>SUM(AH18:AH21)</f>
        <v>5937000</v>
      </c>
      <c r="AI17" s="1576">
        <f>SUM(AI18:AI21)</f>
        <v>0</v>
      </c>
      <c r="AJ17" s="1597">
        <f>SUM(AJ18:AJ21)</f>
        <v>0</v>
      </c>
      <c r="AK17" s="1597">
        <f>SUM(AK18:AK21)</f>
        <v>0</v>
      </c>
      <c r="AL17" s="1577">
        <f>(AF17/AF7)</f>
        <v>9.9435487238302414E-4</v>
      </c>
      <c r="AM17" s="1598">
        <f>+AM18+AM19+AM21</f>
        <v>0</v>
      </c>
      <c r="AN17" s="1599">
        <f t="shared" ref="AN17:AU17" si="11">SUM(AN18:AN21)</f>
        <v>21282903.399999999</v>
      </c>
      <c r="AO17" s="1600">
        <f t="shared" si="11"/>
        <v>0</v>
      </c>
      <c r="AP17" s="1599">
        <f t="shared" si="11"/>
        <v>21282903.399999999</v>
      </c>
      <c r="AQ17" s="1601">
        <f t="shared" si="11"/>
        <v>21282903.399999999</v>
      </c>
      <c r="AR17" s="1600">
        <f t="shared" si="11"/>
        <v>0</v>
      </c>
      <c r="AS17" s="1600">
        <f t="shared" si="11"/>
        <v>0</v>
      </c>
      <c r="AT17" s="1600">
        <f t="shared" si="11"/>
        <v>0</v>
      </c>
      <c r="AU17" s="1630">
        <f t="shared" si="11"/>
        <v>117688768.22999999</v>
      </c>
      <c r="AV17" s="1603">
        <f>AM17/$AM$7</f>
        <v>0</v>
      </c>
      <c r="AW17" s="1631">
        <f>+AW18+AW19+AW21</f>
        <v>3000</v>
      </c>
      <c r="AX17" s="1592">
        <f>AW17/$AW$7</f>
        <v>5.6504814823121234E-5</v>
      </c>
    </row>
    <row r="18" spans="1:52" ht="15.75" customHeight="1" x14ac:dyDescent="0.25">
      <c r="A18" s="1607" t="s">
        <v>35</v>
      </c>
      <c r="B18" s="2009" t="s">
        <v>36</v>
      </c>
      <c r="C18" s="2004"/>
      <c r="D18" s="1608">
        <f>+G18+Y18+AG18+AN18</f>
        <v>52192765.579999998</v>
      </c>
      <c r="E18" s="1552">
        <f>SUM(G18+Y18+AG18+AN18)</f>
        <v>52192765.579999998</v>
      </c>
      <c r="F18" s="1447">
        <f>+X18+AF18+AM18+AW18</f>
        <v>21500</v>
      </c>
      <c r="G18" s="1608">
        <f>SUM(H18:W18)</f>
        <v>37895812.18</v>
      </c>
      <c r="H18" s="1103"/>
      <c r="I18" s="1103"/>
      <c r="J18" s="1103"/>
      <c r="K18" s="1103"/>
      <c r="L18" s="78">
        <v>0</v>
      </c>
      <c r="M18" s="1586">
        <v>1000000</v>
      </c>
      <c r="N18" s="1103"/>
      <c r="O18" s="1103"/>
      <c r="P18" s="78"/>
      <c r="Q18" s="1103"/>
      <c r="R18" s="1586"/>
      <c r="S18" s="1586">
        <v>11797892</v>
      </c>
      <c r="T18" s="1586">
        <v>1000000</v>
      </c>
      <c r="U18" s="1586">
        <v>644733</v>
      </c>
      <c r="V18" s="1586">
        <v>20000000</v>
      </c>
      <c r="W18" s="1586">
        <v>3453187.18</v>
      </c>
      <c r="X18" s="1588">
        <f>17000000/1000</f>
        <v>17000</v>
      </c>
      <c r="Y18" s="1561">
        <f>SUM(Z18:AD18)</f>
        <v>0</v>
      </c>
      <c r="Z18" s="1561"/>
      <c r="AA18" s="1561"/>
      <c r="AB18" s="1561"/>
      <c r="AC18" s="1561"/>
      <c r="AD18" s="1561"/>
      <c r="AE18" s="1609">
        <f>X18/$X$7</f>
        <v>3.9688144558302904E-3</v>
      </c>
      <c r="AF18" s="1610">
        <f>1500000/1000</f>
        <v>1500</v>
      </c>
      <c r="AG18" s="1576">
        <f>SUM(AH18:AK18)</f>
        <v>0</v>
      </c>
      <c r="AH18" s="1611"/>
      <c r="AI18" s="1612"/>
      <c r="AJ18" s="1600"/>
      <c r="AK18" s="1600"/>
      <c r="AL18" s="1613">
        <f>(AF18/AF7)</f>
        <v>9.9435487238302414E-4</v>
      </c>
      <c r="AM18" s="1614">
        <v>0</v>
      </c>
      <c r="AN18" s="1615">
        <f>SUM(AO18+AP18)</f>
        <v>14296953.4</v>
      </c>
      <c r="AO18" s="1600"/>
      <c r="AP18" s="1615">
        <f>SUM(AQ18:AT18)</f>
        <v>14296953.4</v>
      </c>
      <c r="AQ18" s="1601">
        <v>14296953.4</v>
      </c>
      <c r="AR18" s="1600"/>
      <c r="AS18" s="1600"/>
      <c r="AT18" s="1600"/>
      <c r="AU18" s="1632">
        <f>SUM(AN18+AG18+Y18+G18)</f>
        <v>52192765.579999998</v>
      </c>
      <c r="AV18" s="1617">
        <f>AM18/$AM$7</f>
        <v>0</v>
      </c>
      <c r="AW18" s="1627">
        <f>3000000/1000</f>
        <v>3000</v>
      </c>
      <c r="AX18" s="1619">
        <f>AW18/$AW$7</f>
        <v>5.6504814823121234E-5</v>
      </c>
    </row>
    <row r="19" spans="1:52" ht="15.75" hidden="1" customHeight="1" x14ac:dyDescent="0.25">
      <c r="A19" s="1607" t="s">
        <v>37</v>
      </c>
      <c r="B19" s="2009" t="s">
        <v>38</v>
      </c>
      <c r="C19" s="2004"/>
      <c r="D19" s="1608">
        <f>+G19+Y19+AG19+AN19</f>
        <v>39010108</v>
      </c>
      <c r="E19" s="1552">
        <f>SUM(G19+Y19+AG19+AN19)</f>
        <v>39010108</v>
      </c>
      <c r="F19" s="1447">
        <f>+X19+AF19+AM19+AW19</f>
        <v>0</v>
      </c>
      <c r="G19" s="1608">
        <f>SUM(H19:W19)</f>
        <v>19589158</v>
      </c>
      <c r="H19" s="1103"/>
      <c r="I19" s="1103"/>
      <c r="J19" s="1103"/>
      <c r="K19" s="1103"/>
      <c r="L19" s="78">
        <v>0</v>
      </c>
      <c r="M19" s="1586">
        <v>3000000</v>
      </c>
      <c r="N19" s="1103"/>
      <c r="O19" s="1103"/>
      <c r="P19" s="78"/>
      <c r="Q19" s="1103">
        <v>6637344</v>
      </c>
      <c r="R19" s="1586">
        <v>5869614</v>
      </c>
      <c r="S19" s="1586"/>
      <c r="T19" s="1586">
        <v>3000000</v>
      </c>
      <c r="U19" s="1586"/>
      <c r="V19" s="1586">
        <v>1082200</v>
      </c>
      <c r="W19" s="1586"/>
      <c r="X19" s="1588">
        <v>0</v>
      </c>
      <c r="Y19" s="1561">
        <f>SUM(Z19:AD19)</f>
        <v>6498000</v>
      </c>
      <c r="Z19" s="1561">
        <v>6498000</v>
      </c>
      <c r="AA19" s="1561"/>
      <c r="AB19" s="1561"/>
      <c r="AC19" s="1561"/>
      <c r="AD19" s="1561"/>
      <c r="AE19" s="1609">
        <f>X19/$X$7</f>
        <v>0</v>
      </c>
      <c r="AF19" s="1561">
        <v>0</v>
      </c>
      <c r="AG19" s="1576">
        <f>SUM(AH19:AK19)</f>
        <v>5937000</v>
      </c>
      <c r="AH19" s="1611">
        <v>5937000</v>
      </c>
      <c r="AI19" s="1612"/>
      <c r="AJ19" s="1600"/>
      <c r="AK19" s="1600"/>
      <c r="AL19" s="1613">
        <f>(AF19/AF7)</f>
        <v>0</v>
      </c>
      <c r="AM19" s="1614">
        <v>0</v>
      </c>
      <c r="AN19" s="1615">
        <f>SUM(AO19+AP19)</f>
        <v>6985950</v>
      </c>
      <c r="AO19" s="1600"/>
      <c r="AP19" s="1615">
        <f>SUM(AQ19:AT19)</f>
        <v>6985950</v>
      </c>
      <c r="AQ19" s="1601">
        <v>6985950</v>
      </c>
      <c r="AR19" s="1600"/>
      <c r="AS19" s="1600"/>
      <c r="AT19" s="1600"/>
      <c r="AU19" s="1632">
        <f>SUM(AN19+AG19+Y19+G19)</f>
        <v>39010108</v>
      </c>
      <c r="AV19" s="1617">
        <f>AM19/$AM$7</f>
        <v>0</v>
      </c>
      <c r="AW19" s="1627">
        <v>0</v>
      </c>
      <c r="AX19" s="1619">
        <f>AW19/$AW$7</f>
        <v>0</v>
      </c>
      <c r="AZ19" s="1633"/>
    </row>
    <row r="20" spans="1:52" ht="15.75" hidden="1" customHeight="1" x14ac:dyDescent="0.25">
      <c r="A20" s="1607" t="s">
        <v>39</v>
      </c>
      <c r="B20" s="2009" t="s">
        <v>40</v>
      </c>
      <c r="C20" s="2004"/>
      <c r="D20" s="1608">
        <f>+G20+Y20+AG20+AN20</f>
        <v>0</v>
      </c>
      <c r="E20" s="1552">
        <f>SUM(G20+Y20+AG20+AN20)</f>
        <v>0</v>
      </c>
      <c r="F20" s="1447">
        <f>+X20+AF20+AM20+AW20</f>
        <v>0</v>
      </c>
      <c r="G20" s="1608">
        <f>SUM(H20:W20)</f>
        <v>0</v>
      </c>
      <c r="H20" s="1103"/>
      <c r="I20" s="1103"/>
      <c r="J20" s="1103"/>
      <c r="K20" s="1103"/>
      <c r="L20" s="78"/>
      <c r="M20" s="1586"/>
      <c r="N20" s="1103"/>
      <c r="O20" s="1103"/>
      <c r="P20" s="78"/>
      <c r="Q20" s="1103"/>
      <c r="R20" s="1586"/>
      <c r="S20" s="1586"/>
      <c r="T20" s="1586"/>
      <c r="U20" s="1586"/>
      <c r="V20" s="1586"/>
      <c r="W20" s="1586"/>
      <c r="X20" s="1588"/>
      <c r="Y20" s="1561">
        <f>SUM(Z20:AD20)</f>
        <v>0</v>
      </c>
      <c r="Z20" s="1561"/>
      <c r="AA20" s="1561"/>
      <c r="AB20" s="1561"/>
      <c r="AC20" s="1561"/>
      <c r="AD20" s="1561"/>
      <c r="AE20" s="1609"/>
      <c r="AF20" s="1561">
        <f>Y20/1000</f>
        <v>0</v>
      </c>
      <c r="AG20" s="1576">
        <f>SUM(AH20:AK20)</f>
        <v>0</v>
      </c>
      <c r="AH20" s="1611"/>
      <c r="AI20" s="1612"/>
      <c r="AJ20" s="1600"/>
      <c r="AK20" s="1600"/>
      <c r="AL20" s="1613" t="e">
        <f>(AF20/AF8)*100</f>
        <v>#DIV/0!</v>
      </c>
      <c r="AM20" s="1614">
        <f>AG20/1000</f>
        <v>0</v>
      </c>
      <c r="AN20" s="1615">
        <f>SUM(AO20+AP20)</f>
        <v>0</v>
      </c>
      <c r="AO20" s="1600"/>
      <c r="AP20" s="1615">
        <f>SUM(AQ20:AT20)</f>
        <v>0</v>
      </c>
      <c r="AQ20" s="1601"/>
      <c r="AR20" s="1600"/>
      <c r="AS20" s="1600"/>
      <c r="AT20" s="1600"/>
      <c r="AU20" s="1632">
        <f>SUM(AN20+AG20+Y20+G20)</f>
        <v>0</v>
      </c>
      <c r="AV20" s="1617">
        <f>AM20/$AM$7</f>
        <v>0</v>
      </c>
      <c r="AW20" s="1627">
        <f>AN20/1000</f>
        <v>0</v>
      </c>
      <c r="AX20" s="1619">
        <f>AW20/$AW$7</f>
        <v>0</v>
      </c>
    </row>
    <row r="21" spans="1:52" ht="15.75" customHeight="1" x14ac:dyDescent="0.25">
      <c r="A21" s="1607" t="s">
        <v>41</v>
      </c>
      <c r="B21" s="2009" t="s">
        <v>42</v>
      </c>
      <c r="C21" s="2004"/>
      <c r="D21" s="1608">
        <f>+G21+Y21+AG21+AN21</f>
        <v>26485894.649999999</v>
      </c>
      <c r="E21" s="1552">
        <f>SUM(G21+Y21+AG21+AN21)</f>
        <v>26485894.649999999</v>
      </c>
      <c r="F21" s="1447">
        <f>+X21+AF21+AM21+AW21</f>
        <v>27746.128000000001</v>
      </c>
      <c r="G21" s="1608">
        <f>SUM(H21:W21)</f>
        <v>26485894.649999999</v>
      </c>
      <c r="H21" s="1103">
        <v>26485894.649999999</v>
      </c>
      <c r="I21" s="1103"/>
      <c r="J21" s="1103"/>
      <c r="K21" s="1103"/>
      <c r="L21" s="78"/>
      <c r="M21" s="1586"/>
      <c r="N21" s="1103"/>
      <c r="O21" s="1103"/>
      <c r="P21" s="78"/>
      <c r="Q21" s="1103"/>
      <c r="R21" s="1586"/>
      <c r="S21" s="1586"/>
      <c r="T21" s="1586" t="s">
        <v>0</v>
      </c>
      <c r="U21" s="1586" t="s">
        <v>0</v>
      </c>
      <c r="V21" s="1586"/>
      <c r="W21" s="1586"/>
      <c r="X21" s="1588">
        <f>27746128/1000</f>
        <v>27746.128000000001</v>
      </c>
      <c r="Y21" s="1561">
        <f>SUM(Z21:AD21)</f>
        <v>0</v>
      </c>
      <c r="Z21" s="1561"/>
      <c r="AA21" s="1561"/>
      <c r="AB21" s="1561"/>
      <c r="AC21" s="1561"/>
      <c r="AD21" s="1561"/>
      <c r="AE21" s="1609">
        <f>X21/$X$7</f>
        <v>6.4776019941010336E-3</v>
      </c>
      <c r="AF21" s="1561">
        <v>0</v>
      </c>
      <c r="AG21" s="1576">
        <f>SUM(AH21:AK21)</f>
        <v>0</v>
      </c>
      <c r="AH21" s="1611"/>
      <c r="AI21" s="1612"/>
      <c r="AJ21" s="1600"/>
      <c r="AK21" s="1600"/>
      <c r="AL21" s="1613">
        <f>(AF21/AF7)</f>
        <v>0</v>
      </c>
      <c r="AM21" s="1614">
        <f>AG21/1000</f>
        <v>0</v>
      </c>
      <c r="AN21" s="1615">
        <f>SUM(AO21+AP21)</f>
        <v>0</v>
      </c>
      <c r="AO21" s="1600"/>
      <c r="AP21" s="1615">
        <f>SUM(AQ21:AT21)</f>
        <v>0</v>
      </c>
      <c r="AQ21" s="1601"/>
      <c r="AR21" s="1600"/>
      <c r="AS21" s="1600"/>
      <c r="AT21" s="1600"/>
      <c r="AU21" s="1632">
        <f>SUM(AN21+AG21+Y21+G21)</f>
        <v>26485894.649999999</v>
      </c>
      <c r="AV21" s="1617">
        <f>AM21/$AM$7</f>
        <v>0</v>
      </c>
      <c r="AW21" s="1627">
        <f>AN21/1000</f>
        <v>0</v>
      </c>
      <c r="AX21" s="1619">
        <f>AW21/$AW$7</f>
        <v>0</v>
      </c>
    </row>
    <row r="22" spans="1:52" ht="15.75" customHeight="1" x14ac:dyDescent="0.25">
      <c r="A22" s="1623"/>
      <c r="B22" s="1624"/>
      <c r="C22" s="1513"/>
      <c r="D22" s="1608"/>
      <c r="E22" s="1552"/>
      <c r="F22" s="1447"/>
      <c r="G22" s="1608"/>
      <c r="H22" s="1103"/>
      <c r="I22" s="78"/>
      <c r="J22" s="1103"/>
      <c r="K22" s="1103"/>
      <c r="L22" s="78"/>
      <c r="M22" s="1586"/>
      <c r="N22" s="1103"/>
      <c r="O22" s="1103"/>
      <c r="P22" s="78"/>
      <c r="Q22" s="1103"/>
      <c r="R22" s="1586"/>
      <c r="S22" s="1586"/>
      <c r="T22" s="1586"/>
      <c r="U22" s="1586"/>
      <c r="V22" s="1586"/>
      <c r="W22" s="1586"/>
      <c r="X22" s="1588"/>
      <c r="Y22" s="1561"/>
      <c r="Z22" s="1561"/>
      <c r="AA22" s="1561"/>
      <c r="AB22" s="1561"/>
      <c r="AC22" s="1561"/>
      <c r="AD22" s="1561"/>
      <c r="AE22" s="1575"/>
      <c r="AF22" s="1561"/>
      <c r="AG22" s="1576"/>
      <c r="AH22" s="1611"/>
      <c r="AI22" s="1612"/>
      <c r="AJ22" s="1600"/>
      <c r="AK22" s="1600"/>
      <c r="AL22" s="1613"/>
      <c r="AM22" s="1614"/>
      <c r="AN22" s="1599"/>
      <c r="AO22" s="1600"/>
      <c r="AP22" s="1599"/>
      <c r="AQ22" s="1601"/>
      <c r="AR22" s="1600"/>
      <c r="AS22" s="1600"/>
      <c r="AT22" s="1600"/>
      <c r="AU22" s="1616"/>
      <c r="AV22" s="1603"/>
      <c r="AW22" s="1627"/>
      <c r="AX22" s="1592"/>
    </row>
    <row r="23" spans="1:52" ht="15.75" customHeight="1" x14ac:dyDescent="0.25">
      <c r="A23" s="1634" t="s">
        <v>43</v>
      </c>
      <c r="B23" s="2027" t="s">
        <v>44</v>
      </c>
      <c r="C23" s="2019"/>
      <c r="D23" s="1573">
        <f>+D24+D28+D32+D33+D35</f>
        <v>1695051066.1300001</v>
      </c>
      <c r="E23" s="1572">
        <f>SUM(G23+Y23+AG23+AN23)</f>
        <v>1695051066.1300001</v>
      </c>
      <c r="F23" s="1495">
        <f>+X23+AF23+AM23+AW23</f>
        <v>1606428.9569999999</v>
      </c>
      <c r="G23" s="1573">
        <f>SUM(H23:W23)</f>
        <v>787262327.73000002</v>
      </c>
      <c r="H23" s="1573">
        <f t="shared" ref="H23:W23" si="12">H24+H28+H32+H33+H35</f>
        <v>0</v>
      </c>
      <c r="I23" s="1573">
        <f t="shared" si="12"/>
        <v>99203725.950000003</v>
      </c>
      <c r="J23" s="1573">
        <f t="shared" si="12"/>
        <v>51222238.07</v>
      </c>
      <c r="K23" s="1573">
        <f t="shared" si="12"/>
        <v>21598507.140000001</v>
      </c>
      <c r="L23" s="1573">
        <f t="shared" si="12"/>
        <v>0</v>
      </c>
      <c r="M23" s="1573">
        <f t="shared" si="12"/>
        <v>70432650.879999995</v>
      </c>
      <c r="N23" s="1573">
        <f t="shared" si="12"/>
        <v>0</v>
      </c>
      <c r="O23" s="1573">
        <f t="shared" si="12"/>
        <v>8833596.910000002</v>
      </c>
      <c r="P23" s="1573">
        <f t="shared" si="12"/>
        <v>101886201.73</v>
      </c>
      <c r="Q23" s="1573">
        <f t="shared" si="12"/>
        <v>155706942.31999999</v>
      </c>
      <c r="R23" s="1573">
        <f t="shared" si="12"/>
        <v>21666331.509999998</v>
      </c>
      <c r="S23" s="1573">
        <f t="shared" si="12"/>
        <v>56824126.989999995</v>
      </c>
      <c r="T23" s="1573">
        <f t="shared" si="12"/>
        <v>32129069.579999998</v>
      </c>
      <c r="U23" s="1573">
        <f t="shared" si="12"/>
        <v>53437962.590000004</v>
      </c>
      <c r="V23" s="1573">
        <f t="shared" si="12"/>
        <v>99767142.260000005</v>
      </c>
      <c r="W23" s="1573">
        <f t="shared" si="12"/>
        <v>14553831.800000001</v>
      </c>
      <c r="X23" s="1557">
        <f>+X24+X28+X32+X33+X35</f>
        <v>759002.1129999999</v>
      </c>
      <c r="Y23" s="1576">
        <f t="shared" ref="Y23:AD23" si="13">Y24+Y28+Y32+Y33+Y35</f>
        <v>386118636.34000003</v>
      </c>
      <c r="Z23" s="1576">
        <f t="shared" si="13"/>
        <v>30081025.280000001</v>
      </c>
      <c r="AA23" s="1576">
        <f t="shared" si="13"/>
        <v>52812845.770000003</v>
      </c>
      <c r="AB23" s="1576">
        <f t="shared" si="13"/>
        <v>127540604.34999999</v>
      </c>
      <c r="AC23" s="1576">
        <f t="shared" si="13"/>
        <v>124416845.25999999</v>
      </c>
      <c r="AD23" s="1576">
        <f t="shared" si="13"/>
        <v>51267315.68</v>
      </c>
      <c r="AE23" s="1575">
        <f>X23/$X$7</f>
        <v>0.17719638576941971</v>
      </c>
      <c r="AF23" s="1557">
        <f>+AF24+AF28+AF32+AF33+AF35</f>
        <v>362654.39199999999</v>
      </c>
      <c r="AG23" s="1576">
        <f>SUM(AG24+AG28+AG32+AG33+AG35)</f>
        <v>224965738.75999999</v>
      </c>
      <c r="AH23" s="1629">
        <f>AH24+AH28+AH32+AH33+AH35</f>
        <v>18088301.98</v>
      </c>
      <c r="AI23" s="1576">
        <f>AI24+AI28+AI32+AI33+AI35</f>
        <v>90490218.959999993</v>
      </c>
      <c r="AJ23" s="1576">
        <f>AJ24+AJ28+AJ32+AJ33+AJ35</f>
        <v>48661007.649999999</v>
      </c>
      <c r="AK23" s="1576">
        <f>AK24+AK28+AK32+AK33+AK35</f>
        <v>67726210.170000002</v>
      </c>
      <c r="AL23" s="1577">
        <f>(AF23/AF7)</f>
        <v>0.24040477445086883</v>
      </c>
      <c r="AM23" s="1598">
        <f>+AM24+AM28+AM32+AM33+AM35</f>
        <v>237838.26799999998</v>
      </c>
      <c r="AN23" s="1579">
        <f t="shared" ref="AN23:AU23" si="14">AN24+AN28+AN32+AN33+AN35</f>
        <v>296704363.29999995</v>
      </c>
      <c r="AO23" s="1580">
        <f t="shared" si="14"/>
        <v>164533193.55999997</v>
      </c>
      <c r="AP23" s="1579">
        <f t="shared" si="14"/>
        <v>132171169.73999999</v>
      </c>
      <c r="AQ23" s="1581">
        <f t="shared" si="14"/>
        <v>33811261.379999995</v>
      </c>
      <c r="AR23" s="1580">
        <f t="shared" si="14"/>
        <v>27845682.539999999</v>
      </c>
      <c r="AS23" s="1580">
        <f t="shared" si="14"/>
        <v>22680382.029999997</v>
      </c>
      <c r="AT23" s="1580">
        <f t="shared" si="14"/>
        <v>47833843.789999992</v>
      </c>
      <c r="AU23" s="1635">
        <f t="shared" si="14"/>
        <v>1695051066.1300001</v>
      </c>
      <c r="AV23" s="1603">
        <f>AM23/$AM$7</f>
        <v>3.8481377532640373E-2</v>
      </c>
      <c r="AW23" s="1631">
        <f>+AW24+AW28+AW32+AW33+AW35</f>
        <v>246934.18400000001</v>
      </c>
      <c r="AX23" s="1592">
        <f>AW23/$AW$7</f>
        <v>4.650990113472849E-3</v>
      </c>
    </row>
    <row r="24" spans="1:52" ht="15.75" customHeight="1" x14ac:dyDescent="0.25">
      <c r="A24" s="1607" t="s">
        <v>45</v>
      </c>
      <c r="B24" s="2009" t="s">
        <v>46</v>
      </c>
      <c r="C24" s="2004"/>
      <c r="D24" s="1608">
        <f>+D25+D26</f>
        <v>575792099.45000005</v>
      </c>
      <c r="E24" s="1552">
        <f>SUM(G24+Y24+AG24+AN24)</f>
        <v>575792099.45000005</v>
      </c>
      <c r="F24" s="1447">
        <f>+X24+AF24+AM24+AW24</f>
        <v>500534.62099999998</v>
      </c>
      <c r="G24" s="1608">
        <f>SUM(G25:G26)</f>
        <v>269040958.44</v>
      </c>
      <c r="H24" s="1608"/>
      <c r="I24" s="1573">
        <f>SUM(I25:I26)</f>
        <v>36708390.420000002</v>
      </c>
      <c r="J24" s="1573">
        <f>SUM(J25:J26)</f>
        <v>11170852</v>
      </c>
      <c r="K24" s="1573">
        <f>SUM(K25:K26)</f>
        <v>7533420</v>
      </c>
      <c r="L24" s="1573">
        <f>SUM(L25:L26)</f>
        <v>0</v>
      </c>
      <c r="M24" s="1608">
        <f>+M25+M26</f>
        <v>21722714.829999998</v>
      </c>
      <c r="N24" s="1573">
        <f>+N25+N26</f>
        <v>0</v>
      </c>
      <c r="O24" s="1608">
        <f>SUM(O25:O26)</f>
        <v>1310160</v>
      </c>
      <c r="P24" s="1608">
        <f>SUM(P25:P26)</f>
        <v>24237960</v>
      </c>
      <c r="Q24" s="1608">
        <f>SUM(Q25:Q26)</f>
        <v>67194424.849999994</v>
      </c>
      <c r="R24" s="1608">
        <f>SUM(R25:R26)</f>
        <v>5240640</v>
      </c>
      <c r="S24" s="1608">
        <f>+S25+S26</f>
        <v>27794101.09</v>
      </c>
      <c r="T24" s="1608">
        <f>+T25+T26</f>
        <v>5961228</v>
      </c>
      <c r="U24" s="1608">
        <f>+U25+U26</f>
        <v>15721920</v>
      </c>
      <c r="V24" s="1608">
        <f>+V25+V26</f>
        <v>40514667.25</v>
      </c>
      <c r="W24" s="1608">
        <f>+W25+W26</f>
        <v>3930480</v>
      </c>
      <c r="X24" s="1636">
        <f>X25+X26</f>
        <v>250463.625</v>
      </c>
      <c r="Y24" s="1580">
        <f t="shared" ref="Y24:AD24" si="15">SUM(Y25:Y26)</f>
        <v>150755512.53999999</v>
      </c>
      <c r="Z24" s="1580">
        <f t="shared" si="15"/>
        <v>11267376</v>
      </c>
      <c r="AA24" s="1580">
        <f t="shared" si="15"/>
        <v>24368976</v>
      </c>
      <c r="AB24" s="1580">
        <f t="shared" si="15"/>
        <v>54699180</v>
      </c>
      <c r="AC24" s="1580">
        <f t="shared" si="15"/>
        <v>44676456</v>
      </c>
      <c r="AD24" s="1580">
        <f t="shared" si="15"/>
        <v>15743524.539999999</v>
      </c>
      <c r="AE24" s="1609">
        <f>X24/$X$7</f>
        <v>5.8473156209391579E-2</v>
      </c>
      <c r="AF24" s="1561">
        <f>+AF25+AF26</f>
        <v>142842.38399999999</v>
      </c>
      <c r="AG24" s="1580">
        <f>SUM(AG25:AG26)</f>
        <v>51947844</v>
      </c>
      <c r="AH24" s="1581">
        <f>SUM(AH25:AH26)</f>
        <v>2816844</v>
      </c>
      <c r="AI24" s="1580">
        <f>SUM(AI25:AI26)</f>
        <v>11791440</v>
      </c>
      <c r="AJ24" s="1600">
        <f>+AJ25+AJ26</f>
        <v>13101600</v>
      </c>
      <c r="AK24" s="1600">
        <f>+AK25+AK26</f>
        <v>24237960</v>
      </c>
      <c r="AL24" s="1613">
        <f>(AF24/AF7)</f>
        <v>9.4690680342137956E-2</v>
      </c>
      <c r="AM24" s="1614">
        <f>+AM25+AM26</f>
        <v>55200.243000000002</v>
      </c>
      <c r="AN24" s="1599">
        <f>SUM(AN25:AN26)</f>
        <v>104047784.47</v>
      </c>
      <c r="AO24" s="1600">
        <f t="shared" ref="AO24:AT24" si="16">+AO25+AO26</f>
        <v>59993881.130000003</v>
      </c>
      <c r="AP24" s="1599">
        <f t="shared" si="16"/>
        <v>44053903.340000004</v>
      </c>
      <c r="AQ24" s="1601">
        <f t="shared" si="16"/>
        <v>14411760</v>
      </c>
      <c r="AR24" s="1600">
        <f t="shared" si="16"/>
        <v>3930480</v>
      </c>
      <c r="AS24" s="1600">
        <f t="shared" si="16"/>
        <v>11343939.129999999</v>
      </c>
      <c r="AT24" s="1600">
        <f t="shared" si="16"/>
        <v>14367724.210000001</v>
      </c>
      <c r="AU24" s="1632">
        <f>SUM(AU25:AU26)</f>
        <v>575792099.45000005</v>
      </c>
      <c r="AV24" s="1617">
        <f>AM24/$AM$7</f>
        <v>8.9312010579243265E-3</v>
      </c>
      <c r="AW24" s="1627">
        <f>AW25+AW26</f>
        <v>52028.368999999999</v>
      </c>
      <c r="AX24" s="1619">
        <f>AW24/$AW$7</f>
        <v>9.7995111863134038E-4</v>
      </c>
    </row>
    <row r="25" spans="1:52" ht="15.75" customHeight="1" x14ac:dyDescent="0.25">
      <c r="A25" s="1607" t="s">
        <v>47</v>
      </c>
      <c r="B25" s="2009" t="s">
        <v>940</v>
      </c>
      <c r="C25" s="2004"/>
      <c r="D25" s="1608">
        <f>+G25+Y25+AG25+AN25</f>
        <v>446113340.45999998</v>
      </c>
      <c r="E25" s="1552">
        <f>SUM(G25+Y25+AG25+AN25)</f>
        <v>446113340.45999998</v>
      </c>
      <c r="F25" s="1447">
        <f>+X25+AF25+AM25+AW25</f>
        <v>386214.859</v>
      </c>
      <c r="G25" s="1608">
        <f>SUM(H25:W25)</f>
        <v>218342024.45999998</v>
      </c>
      <c r="H25" s="1103"/>
      <c r="I25" s="78">
        <v>29478600</v>
      </c>
      <c r="J25" s="1103">
        <f>11070852+100000</f>
        <v>11170852</v>
      </c>
      <c r="K25" s="1103">
        <v>7533420</v>
      </c>
      <c r="L25" s="78">
        <v>0</v>
      </c>
      <c r="M25" s="1586">
        <v>17687160</v>
      </c>
      <c r="N25" s="1103"/>
      <c r="O25" s="1103">
        <v>1310160</v>
      </c>
      <c r="P25" s="78">
        <v>24237960</v>
      </c>
      <c r="Q25" s="1103">
        <v>47542024.850000001</v>
      </c>
      <c r="R25" s="1586">
        <v>5240640</v>
      </c>
      <c r="S25" s="1586">
        <v>20883203.609999999</v>
      </c>
      <c r="T25" s="1586">
        <v>5961228</v>
      </c>
      <c r="U25" s="1586">
        <v>11136360</v>
      </c>
      <c r="V25" s="1586">
        <v>32229936</v>
      </c>
      <c r="W25" s="1586">
        <v>3930480</v>
      </c>
      <c r="X25" s="1636">
        <f>205064469/1000</f>
        <v>205064.46900000001</v>
      </c>
      <c r="Y25" s="1561">
        <f>SUM(Z25:AD25)</f>
        <v>104747292</v>
      </c>
      <c r="Z25" s="1561">
        <v>6681816</v>
      </c>
      <c r="AA25" s="1561">
        <v>13887696</v>
      </c>
      <c r="AB25" s="1561">
        <v>38322180</v>
      </c>
      <c r="AC25" s="1561">
        <v>34064160</v>
      </c>
      <c r="AD25" s="1561">
        <v>11791440</v>
      </c>
      <c r="AE25" s="1609">
        <f>X25/$X$7</f>
        <v>4.7874284055550727E-2</v>
      </c>
      <c r="AF25" s="1561">
        <f>86633932/1000</f>
        <v>86633.932000000001</v>
      </c>
      <c r="AG25" s="1576">
        <f>SUM(AH25:AK25)</f>
        <v>51947844</v>
      </c>
      <c r="AH25" s="1611">
        <v>2816844</v>
      </c>
      <c r="AI25" s="1612">
        <v>11791440</v>
      </c>
      <c r="AJ25" s="1600">
        <v>13101600</v>
      </c>
      <c r="AK25" s="1600">
        <v>24237960</v>
      </c>
      <c r="AL25" s="1613">
        <f>(AF25/AF7)</f>
        <v>5.7429914931933064E-2</v>
      </c>
      <c r="AM25" s="1614">
        <f>42488089/1000</f>
        <v>42488.089</v>
      </c>
      <c r="AN25" s="1615">
        <f>SUM(AO25+AP25)</f>
        <v>71076180</v>
      </c>
      <c r="AO25" s="1600">
        <f>17425128+22698522</f>
        <v>40123650</v>
      </c>
      <c r="AP25" s="1615">
        <f>SUM(AQ25:AT25)</f>
        <v>30952530</v>
      </c>
      <c r="AQ25" s="1601">
        <v>9826200</v>
      </c>
      <c r="AR25" s="1600">
        <v>3930480</v>
      </c>
      <c r="AS25" s="1600">
        <v>7467912</v>
      </c>
      <c r="AT25" s="1600">
        <v>9727938</v>
      </c>
      <c r="AU25" s="1632">
        <f>SUM(AN25+AG25+Y25+G25)</f>
        <v>446113340.45999998</v>
      </c>
      <c r="AV25" s="1617">
        <f>AM25/$AM$7</f>
        <v>6.8744201982223682E-3</v>
      </c>
      <c r="AW25" s="1627">
        <f>52028369/1000</f>
        <v>52028.368999999999</v>
      </c>
      <c r="AX25" s="1619">
        <f>AW25/$AW$7</f>
        <v>9.7995111863134038E-4</v>
      </c>
    </row>
    <row r="26" spans="1:52" ht="15.75" customHeight="1" x14ac:dyDescent="0.25">
      <c r="A26" s="1607" t="s">
        <v>48</v>
      </c>
      <c r="B26" s="2009" t="s">
        <v>49</v>
      </c>
      <c r="C26" s="2004"/>
      <c r="D26" s="1608">
        <f>+G26+Y26+AG26+AN26</f>
        <v>129678758.99000001</v>
      </c>
      <c r="E26" s="1552">
        <f>SUM(G26+Y26+AG26+AN26)</f>
        <v>129678758.99000001</v>
      </c>
      <c r="F26" s="1447">
        <f>+X26+AF26+AM26+AW26</f>
        <v>114319.762</v>
      </c>
      <c r="G26" s="1608">
        <f>SUM(H26:W26)</f>
        <v>50698933.980000004</v>
      </c>
      <c r="H26" s="1103"/>
      <c r="I26" s="78">
        <v>7229790.4199999999</v>
      </c>
      <c r="J26" s="1103"/>
      <c r="K26" s="1103"/>
      <c r="L26" s="78">
        <v>0</v>
      </c>
      <c r="M26" s="1586">
        <v>4035554.83</v>
      </c>
      <c r="N26" s="1103"/>
      <c r="O26" s="1103"/>
      <c r="P26" s="78"/>
      <c r="Q26" s="1103">
        <v>19652400</v>
      </c>
      <c r="R26" s="1586"/>
      <c r="S26" s="1586">
        <v>6910897.4800000004</v>
      </c>
      <c r="T26" s="1586"/>
      <c r="U26" s="1586">
        <v>4585560</v>
      </c>
      <c r="V26" s="1586">
        <v>8284731.25</v>
      </c>
      <c r="W26" s="1586"/>
      <c r="X26" s="1636">
        <f>45399156/1000</f>
        <v>45399.156000000003</v>
      </c>
      <c r="Y26" s="1561">
        <f>SUM(Z26:AD26)</f>
        <v>46008220.539999999</v>
      </c>
      <c r="Z26" s="1561">
        <v>4585560</v>
      </c>
      <c r="AA26" s="1561">
        <v>10481280</v>
      </c>
      <c r="AB26" s="1561">
        <v>16377000</v>
      </c>
      <c r="AC26" s="1561">
        <v>10612296</v>
      </c>
      <c r="AD26" s="1561">
        <v>3952084.54</v>
      </c>
      <c r="AE26" s="1609">
        <f>X26/$X$7</f>
        <v>1.059887215384085E-2</v>
      </c>
      <c r="AF26" s="1561">
        <f>56208452/1000</f>
        <v>56208.451999999997</v>
      </c>
      <c r="AG26" s="1576">
        <f>SUM(AH26:AK26)</f>
        <v>0</v>
      </c>
      <c r="AH26" s="1611"/>
      <c r="AI26" s="1612"/>
      <c r="AJ26" s="1600"/>
      <c r="AK26" s="1600"/>
      <c r="AL26" s="1613">
        <f>(AF26/AF7)</f>
        <v>3.7260765410204892E-2</v>
      </c>
      <c r="AM26" s="1614">
        <f>12712154/1000</f>
        <v>12712.154</v>
      </c>
      <c r="AN26" s="1615">
        <f>SUM(AO26+AP26)</f>
        <v>32971604.470000003</v>
      </c>
      <c r="AO26" s="1600">
        <f>9044063.3+10826167.83</f>
        <v>19870231.130000003</v>
      </c>
      <c r="AP26" s="1615">
        <f>SUM(AQ26:AT26)</f>
        <v>13101373.34</v>
      </c>
      <c r="AQ26" s="1601">
        <v>4585560</v>
      </c>
      <c r="AR26" s="1600"/>
      <c r="AS26" s="1600">
        <v>3876027.13</v>
      </c>
      <c r="AT26" s="1600">
        <v>4639786.21</v>
      </c>
      <c r="AU26" s="1632">
        <f>SUM(AN26+AG26+Y26+G26)</f>
        <v>129678758.99000001</v>
      </c>
      <c r="AV26" s="1617">
        <f>AM26/$AM$7</f>
        <v>2.0567808597019574E-3</v>
      </c>
      <c r="AW26" s="1627">
        <f>0/1000</f>
        <v>0</v>
      </c>
      <c r="AX26" s="1619">
        <f>AW26/$AW$7</f>
        <v>0</v>
      </c>
    </row>
    <row r="27" spans="1:52" ht="15.75" customHeight="1" x14ac:dyDescent="0.25">
      <c r="A27" s="1607"/>
      <c r="B27" s="1624"/>
      <c r="C27" s="1513"/>
      <c r="D27" s="1608"/>
      <c r="E27" s="1552"/>
      <c r="F27" s="1447"/>
      <c r="G27" s="1608"/>
      <c r="H27" s="1103"/>
      <c r="I27" s="78"/>
      <c r="J27" s="1103"/>
      <c r="K27" s="1103"/>
      <c r="L27" s="78"/>
      <c r="M27" s="1586"/>
      <c r="N27" s="1103"/>
      <c r="O27" s="1103"/>
      <c r="P27" s="78"/>
      <c r="Q27" s="1103"/>
      <c r="R27" s="1586"/>
      <c r="S27" s="1586"/>
      <c r="T27" s="1586"/>
      <c r="U27" s="1586"/>
      <c r="V27" s="1586"/>
      <c r="W27" s="1586"/>
      <c r="X27" s="1588"/>
      <c r="Y27" s="1561"/>
      <c r="Z27" s="1561"/>
      <c r="AA27" s="1561"/>
      <c r="AB27" s="1561"/>
      <c r="AC27" s="1561"/>
      <c r="AD27" s="1561"/>
      <c r="AE27" s="1575"/>
      <c r="AF27" s="1561"/>
      <c r="AG27" s="1576"/>
      <c r="AH27" s="1611"/>
      <c r="AI27" s="1612"/>
      <c r="AJ27" s="1600"/>
      <c r="AK27" s="1600"/>
      <c r="AL27" s="1613"/>
      <c r="AM27" s="1614"/>
      <c r="AN27" s="1599"/>
      <c r="AO27" s="1600"/>
      <c r="AP27" s="1599"/>
      <c r="AQ27" s="1601"/>
      <c r="AR27" s="1600"/>
      <c r="AS27" s="1600"/>
      <c r="AT27" s="1600"/>
      <c r="AU27" s="1616"/>
      <c r="AV27" s="1617"/>
      <c r="AW27" s="1627"/>
      <c r="AX27" s="1619"/>
    </row>
    <row r="28" spans="1:52" ht="15.75" customHeight="1" x14ac:dyDescent="0.25">
      <c r="A28" s="1607" t="s">
        <v>50</v>
      </c>
      <c r="B28" s="2009" t="s">
        <v>51</v>
      </c>
      <c r="C28" s="2004"/>
      <c r="D28" s="1608">
        <f>SUM(D29:D30)</f>
        <v>539420810.18000007</v>
      </c>
      <c r="E28" s="1572">
        <f>SUM(G28+Y28+AG28+AN28)</f>
        <v>539420810.18000007</v>
      </c>
      <c r="F28" s="1447">
        <f>+X28+AF28+AM28+AW28</f>
        <v>556975.77999999991</v>
      </c>
      <c r="G28" s="1608">
        <f t="shared" ref="G28:W28" si="17">SUM(G29:G30)</f>
        <v>234857446.39000005</v>
      </c>
      <c r="H28" s="1103">
        <f t="shared" si="17"/>
        <v>0</v>
      </c>
      <c r="I28" s="78">
        <f t="shared" si="17"/>
        <v>31023540.670000002</v>
      </c>
      <c r="J28" s="1103">
        <f t="shared" si="17"/>
        <v>17152294.079999998</v>
      </c>
      <c r="K28" s="1103">
        <f t="shared" si="17"/>
        <v>0</v>
      </c>
      <c r="L28" s="78">
        <f t="shared" si="17"/>
        <v>0</v>
      </c>
      <c r="M28" s="78">
        <f t="shared" si="17"/>
        <v>24160234.760000002</v>
      </c>
      <c r="N28" s="1103">
        <f t="shared" si="17"/>
        <v>0</v>
      </c>
      <c r="O28" s="1103">
        <f t="shared" si="17"/>
        <v>4568888.21</v>
      </c>
      <c r="P28" s="78">
        <f t="shared" si="17"/>
        <v>42776265.439999998</v>
      </c>
      <c r="Q28" s="1103">
        <f t="shared" si="17"/>
        <v>41005420.43</v>
      </c>
      <c r="R28" s="78">
        <f t="shared" si="17"/>
        <v>7517534.3099999996</v>
      </c>
      <c r="S28" s="78">
        <f t="shared" si="17"/>
        <v>5474667.3300000001</v>
      </c>
      <c r="T28" s="78">
        <f t="shared" si="17"/>
        <v>13813009.02</v>
      </c>
      <c r="U28" s="78">
        <f t="shared" si="17"/>
        <v>20594536.050000001</v>
      </c>
      <c r="V28" s="78">
        <f t="shared" si="17"/>
        <v>21798638.600000001</v>
      </c>
      <c r="W28" s="78">
        <f t="shared" si="17"/>
        <v>4972417.49</v>
      </c>
      <c r="X28" s="1610">
        <f>+X29+X30</f>
        <v>240778.23499999999</v>
      </c>
      <c r="Y28" s="1637">
        <f t="shared" ref="Y28:AD28" si="18">SUM(Y29:Y30)</f>
        <v>115085469.77</v>
      </c>
      <c r="Z28" s="1637">
        <f t="shared" si="18"/>
        <v>8674798.6400000006</v>
      </c>
      <c r="AA28" s="1637">
        <f t="shared" si="18"/>
        <v>12776385.529999999</v>
      </c>
      <c r="AB28" s="1637">
        <f t="shared" si="18"/>
        <v>34362319.659999996</v>
      </c>
      <c r="AC28" s="1637">
        <f t="shared" si="18"/>
        <v>39738266.439999998</v>
      </c>
      <c r="AD28" s="1637">
        <f t="shared" si="18"/>
        <v>19533699.5</v>
      </c>
      <c r="AE28" s="1609">
        <f>X28/$X$7</f>
        <v>5.6212008218664858E-2</v>
      </c>
      <c r="AF28" s="1561">
        <f>+AF29+AF30</f>
        <v>110815.47500000001</v>
      </c>
      <c r="AG28" s="1576">
        <f>SUM(AG29:AG30)</f>
        <v>92442433.060000002</v>
      </c>
      <c r="AH28" s="1638">
        <f>SUM(AH29:AH30)</f>
        <v>7803968.04</v>
      </c>
      <c r="AI28" s="1639">
        <f>SUM(AI29:AI30)</f>
        <v>44397948.740000002</v>
      </c>
      <c r="AJ28" s="1600">
        <f>SUM(AJ29:AJ30)</f>
        <v>18035957.350000001</v>
      </c>
      <c r="AK28" s="1600">
        <f>SUM(AK29:AK30)</f>
        <v>22204558.93</v>
      </c>
      <c r="AL28" s="1613">
        <f>(AF28/AF7)</f>
        <v>7.3459938334459476E-2</v>
      </c>
      <c r="AM28" s="1614">
        <f>+AM29+AM30</f>
        <v>99711.622000000003</v>
      </c>
      <c r="AN28" s="1599">
        <f t="shared" ref="AN28:AU28" si="19">SUM(AN29:AN30)</f>
        <v>97035460.959999993</v>
      </c>
      <c r="AO28" s="1600">
        <f t="shared" si="19"/>
        <v>52233334.409999996</v>
      </c>
      <c r="AP28" s="1599">
        <f t="shared" si="19"/>
        <v>44802126.549999997</v>
      </c>
      <c r="AQ28" s="1601">
        <f t="shared" si="19"/>
        <v>7803968.04</v>
      </c>
      <c r="AR28" s="1600">
        <f t="shared" si="19"/>
        <v>14612443.76</v>
      </c>
      <c r="AS28" s="1600">
        <f t="shared" si="19"/>
        <v>4489443.3899999997</v>
      </c>
      <c r="AT28" s="1600">
        <f t="shared" si="19"/>
        <v>17896271.359999999</v>
      </c>
      <c r="AU28" s="1632">
        <f t="shared" si="19"/>
        <v>539420810.18000007</v>
      </c>
      <c r="AV28" s="1617">
        <f>AM28/$AM$7</f>
        <v>1.6132982311214655E-2</v>
      </c>
      <c r="AW28" s="1627">
        <f>+AW29+AW30</f>
        <v>105670.448</v>
      </c>
      <c r="AX28" s="1619">
        <f>AW28/$AW$7</f>
        <v>1.9902963655054205E-3</v>
      </c>
    </row>
    <row r="29" spans="1:52" ht="15.75" customHeight="1" x14ac:dyDescent="0.25">
      <c r="A29" s="1607" t="s">
        <v>52</v>
      </c>
      <c r="B29" s="2009" t="s">
        <v>53</v>
      </c>
      <c r="C29" s="2004"/>
      <c r="D29" s="1608">
        <f>+G29+Y29+AG29+AN29</f>
        <v>489213218.96000004</v>
      </c>
      <c r="E29" s="1552">
        <f>SUM(G29+Y29+AG29+AN29)</f>
        <v>489213218.96000004</v>
      </c>
      <c r="F29" s="1447">
        <f>+X29+AF29+AM29+AW29</f>
        <v>513945.62699999998</v>
      </c>
      <c r="G29" s="1608">
        <f>SUM(H29:W29)</f>
        <v>184649855.17000005</v>
      </c>
      <c r="H29" s="1103"/>
      <c r="I29" s="78">
        <v>2096256</v>
      </c>
      <c r="J29" s="1103">
        <f>16772766.58+379527.5</f>
        <v>17152294.079999998</v>
      </c>
      <c r="K29" s="1103"/>
      <c r="L29" s="78">
        <v>0</v>
      </c>
      <c r="M29" s="1586">
        <v>24160234.760000002</v>
      </c>
      <c r="N29" s="1103"/>
      <c r="O29" s="1103">
        <v>4568888.21</v>
      </c>
      <c r="P29" s="78">
        <v>42776265.439999998</v>
      </c>
      <c r="Q29" s="1103">
        <v>41005420.43</v>
      </c>
      <c r="R29" s="1586"/>
      <c r="S29" s="1586">
        <v>5474667.3300000001</v>
      </c>
      <c r="T29" s="1586">
        <v>13813009.02</v>
      </c>
      <c r="U29" s="1586">
        <v>13713149.93</v>
      </c>
      <c r="V29" s="1586">
        <v>14917252.48</v>
      </c>
      <c r="W29" s="1586">
        <v>4972417.49</v>
      </c>
      <c r="X29" s="1588">
        <f>197748082/1000</f>
        <v>197748.08199999999</v>
      </c>
      <c r="Y29" s="1561">
        <f>SUM(Z29:AD29)</f>
        <v>115085469.77</v>
      </c>
      <c r="Z29" s="1561">
        <v>8674798.6400000006</v>
      </c>
      <c r="AA29" s="1561">
        <v>12776385.529999999</v>
      </c>
      <c r="AB29" s="1561">
        <v>34362319.659999996</v>
      </c>
      <c r="AC29" s="1561">
        <v>39738266.439999998</v>
      </c>
      <c r="AD29" s="1561">
        <v>19533699.5</v>
      </c>
      <c r="AE29" s="1609">
        <f>X29/$X$7</f>
        <v>4.616620273260668E-2</v>
      </c>
      <c r="AF29" s="1561">
        <f>110815475/1000</f>
        <v>110815.47500000001</v>
      </c>
      <c r="AG29" s="1576">
        <f>SUM(AH29:AK29)</f>
        <v>92442433.060000002</v>
      </c>
      <c r="AH29" s="1640">
        <v>7803968.04</v>
      </c>
      <c r="AI29" s="1561">
        <v>44397948.740000002</v>
      </c>
      <c r="AJ29" s="1600">
        <v>18035957.350000001</v>
      </c>
      <c r="AK29" s="1600">
        <v>22204558.93</v>
      </c>
      <c r="AL29" s="1613">
        <f>(AF29/AF7)</f>
        <v>7.3459938334459476E-2</v>
      </c>
      <c r="AM29" s="1614">
        <f>99711622/1000</f>
        <v>99711.622000000003</v>
      </c>
      <c r="AN29" s="1615">
        <f>SUM(AO29+AP29)</f>
        <v>97035460.959999993</v>
      </c>
      <c r="AO29" s="1600">
        <f>10475367.9+41757966.51</f>
        <v>52233334.409999996</v>
      </c>
      <c r="AP29" s="1615">
        <f>SUM(AQ29:AT29)</f>
        <v>44802126.549999997</v>
      </c>
      <c r="AQ29" s="1601">
        <v>7803968.04</v>
      </c>
      <c r="AR29" s="1600">
        <v>14612443.76</v>
      </c>
      <c r="AS29" s="1600">
        <v>4489443.3899999997</v>
      </c>
      <c r="AT29" s="1600">
        <v>17896271.359999999</v>
      </c>
      <c r="AU29" s="1632">
        <f>SUM(AN29+AG29+Y29+G29)</f>
        <v>489213218.96000004</v>
      </c>
      <c r="AV29" s="1617">
        <f>AM29/$AM$7</f>
        <v>1.6132982311214655E-2</v>
      </c>
      <c r="AW29" s="1627">
        <f>105670448/1000</f>
        <v>105670.448</v>
      </c>
      <c r="AX29" s="1619">
        <f>AW29/$AW$7</f>
        <v>1.9902963655054205E-3</v>
      </c>
    </row>
    <row r="30" spans="1:52" ht="15.75" customHeight="1" x14ac:dyDescent="0.25">
      <c r="A30" s="1607" t="s">
        <v>54</v>
      </c>
      <c r="B30" s="2009" t="s">
        <v>55</v>
      </c>
      <c r="C30" s="2004"/>
      <c r="D30" s="1608">
        <f>+G30+Y30+AG30+AN30</f>
        <v>50207591.219999999</v>
      </c>
      <c r="E30" s="1552">
        <f>SUM(G30+Y30+AG30+AN30)</f>
        <v>50207591.219999999</v>
      </c>
      <c r="F30" s="1447">
        <f>+X30+AF30+AM30+AW30</f>
        <v>43030.152999999998</v>
      </c>
      <c r="G30" s="1608">
        <f>SUM(H30:W30)</f>
        <v>50207591.219999999</v>
      </c>
      <c r="H30" s="1608"/>
      <c r="I30" s="1608">
        <v>28927284.670000002</v>
      </c>
      <c r="J30" s="1608"/>
      <c r="K30" s="1608"/>
      <c r="L30" s="1608"/>
      <c r="M30" s="1586"/>
      <c r="N30" s="1608"/>
      <c r="O30" s="1608"/>
      <c r="P30" s="1608"/>
      <c r="Q30" s="1608"/>
      <c r="R30" s="1586">
        <v>7517534.3099999996</v>
      </c>
      <c r="S30" s="1586"/>
      <c r="T30" s="1586"/>
      <c r="U30" s="1586">
        <v>6881386.1200000001</v>
      </c>
      <c r="V30" s="1586">
        <v>6881386.1200000001</v>
      </c>
      <c r="W30" s="1586"/>
      <c r="X30" s="1588">
        <f>43030153/1000</f>
        <v>43030.152999999998</v>
      </c>
      <c r="Y30" s="1561">
        <f>SUM(Z30:AD30)</f>
        <v>0</v>
      </c>
      <c r="Z30" s="1561"/>
      <c r="AA30" s="1561"/>
      <c r="AB30" s="1561"/>
      <c r="AC30" s="1561"/>
      <c r="AD30" s="1561"/>
      <c r="AE30" s="1609">
        <f>X30/$X$7</f>
        <v>1.0045805486058183E-2</v>
      </c>
      <c r="AF30" s="1561">
        <f>Y30/1000</f>
        <v>0</v>
      </c>
      <c r="AG30" s="1576">
        <f>SUM(AH30:AK30)</f>
        <v>0</v>
      </c>
      <c r="AH30" s="1611"/>
      <c r="AI30" s="1612"/>
      <c r="AJ30" s="1600"/>
      <c r="AK30" s="1600"/>
      <c r="AL30" s="1613">
        <f>(AF30/AF7)</f>
        <v>0</v>
      </c>
      <c r="AM30" s="1614">
        <f>AG30/1000</f>
        <v>0</v>
      </c>
      <c r="AN30" s="1615">
        <f>SUM(AO30+AP30)</f>
        <v>0</v>
      </c>
      <c r="AO30" s="1600"/>
      <c r="AP30" s="1599"/>
      <c r="AQ30" s="1601"/>
      <c r="AR30" s="1600"/>
      <c r="AS30" s="1600"/>
      <c r="AT30" s="1600"/>
      <c r="AU30" s="1632">
        <f>SUM(AN30+AG30+Y30+G30)</f>
        <v>50207591.219999999</v>
      </c>
      <c r="AV30" s="1617">
        <f>AM30/$AM$7</f>
        <v>0</v>
      </c>
      <c r="AW30" s="1627">
        <f>AN30/1000</f>
        <v>0</v>
      </c>
      <c r="AX30" s="1619">
        <f>AW30/$AW$7</f>
        <v>0</v>
      </c>
    </row>
    <row r="31" spans="1:52" ht="15.75" customHeight="1" x14ac:dyDescent="0.25">
      <c r="A31" s="1607"/>
      <c r="B31" s="1624"/>
      <c r="C31" s="1513"/>
      <c r="D31" s="1608"/>
      <c r="E31" s="1552"/>
      <c r="F31" s="1447"/>
      <c r="G31" s="1608"/>
      <c r="H31" s="1608"/>
      <c r="I31" s="1608"/>
      <c r="J31" s="1608"/>
      <c r="K31" s="1608"/>
      <c r="L31" s="1608"/>
      <c r="M31" s="1586"/>
      <c r="N31" s="1608"/>
      <c r="O31" s="1608"/>
      <c r="P31" s="1608"/>
      <c r="Q31" s="1608"/>
      <c r="R31" s="1586"/>
      <c r="S31" s="1586"/>
      <c r="T31" s="1586"/>
      <c r="U31" s="1586"/>
      <c r="V31" s="1586"/>
      <c r="W31" s="1586"/>
      <c r="X31" s="1588"/>
      <c r="Y31" s="1561"/>
      <c r="Z31" s="1561"/>
      <c r="AA31" s="1561"/>
      <c r="AB31" s="1561"/>
      <c r="AC31" s="1561"/>
      <c r="AD31" s="1561"/>
      <c r="AE31" s="1575"/>
      <c r="AF31" s="1561"/>
      <c r="AG31" s="1576"/>
      <c r="AH31" s="1611"/>
      <c r="AI31" s="1612"/>
      <c r="AJ31" s="1600"/>
      <c r="AK31" s="1600"/>
      <c r="AL31" s="1613"/>
      <c r="AM31" s="1614"/>
      <c r="AN31" s="1599"/>
      <c r="AO31" s="1600"/>
      <c r="AP31" s="1599"/>
      <c r="AQ31" s="1601"/>
      <c r="AR31" s="1600"/>
      <c r="AS31" s="1600"/>
      <c r="AT31" s="1600"/>
      <c r="AU31" s="1616"/>
      <c r="AV31" s="1617"/>
      <c r="AW31" s="1627"/>
      <c r="AX31" s="1619"/>
    </row>
    <row r="32" spans="1:52" ht="15.75" customHeight="1" x14ac:dyDescent="0.25">
      <c r="A32" s="1607" t="s">
        <v>56</v>
      </c>
      <c r="B32" s="2009" t="s">
        <v>57</v>
      </c>
      <c r="C32" s="2004"/>
      <c r="D32" s="1608">
        <f>+G32+Y32+AG32+AN32</f>
        <v>240471075.56999999</v>
      </c>
      <c r="E32" s="1552">
        <f>SUM(G32+Y32+AG32+AN32)</f>
        <v>240471075.56999999</v>
      </c>
      <c r="F32" s="1447">
        <f>+X32+AF32+AM32+AW32</f>
        <v>228743.462</v>
      </c>
      <c r="G32" s="1608">
        <f>SUM(H32:W32)</f>
        <v>118359137.13</v>
      </c>
      <c r="H32" s="1103"/>
      <c r="I32" s="1103">
        <f>11683297.99</f>
        <v>11683297.99</v>
      </c>
      <c r="J32" s="1103">
        <f>10163692.73+112164.15</f>
        <v>10275856.880000001</v>
      </c>
      <c r="K32" s="1103">
        <f>6844784.17</f>
        <v>6844784.1699999999</v>
      </c>
      <c r="L32" s="78">
        <v>0</v>
      </c>
      <c r="M32" s="1586">
        <f>8983985.86+333200</f>
        <v>9317185.8599999994</v>
      </c>
      <c r="N32" s="1103"/>
      <c r="O32" s="1103">
        <f>1318025.95</f>
        <v>1318025.95</v>
      </c>
      <c r="P32" s="78">
        <f>14116720.9</f>
        <v>14116720.9</v>
      </c>
      <c r="Q32" s="1103">
        <f>18627650.33+552890.76</f>
        <v>19180541.09</v>
      </c>
      <c r="R32" s="1586">
        <f>2781881.7+977877.69</f>
        <v>3759759.39</v>
      </c>
      <c r="S32" s="1586">
        <f>9628664.87+982764.4</f>
        <v>10611429.27</v>
      </c>
      <c r="T32" s="1586">
        <f>5096934.7+333200</f>
        <v>5430134.7000000002</v>
      </c>
      <c r="U32" s="1586">
        <f>7225822.69+53706.26</f>
        <v>7279528.9500000002</v>
      </c>
      <c r="V32" s="1586">
        <f>14291347.31+1839447.26</f>
        <v>16130794.57</v>
      </c>
      <c r="W32" s="1586">
        <f>2123426.92+287650.49</f>
        <v>2411077.41</v>
      </c>
      <c r="X32" s="1588">
        <f>113970271/1000</f>
        <v>113970.27099999999</v>
      </c>
      <c r="Y32" s="1561">
        <f>SUM(Z32:AD32)</f>
        <v>48359488.109999999</v>
      </c>
      <c r="Z32" s="1561">
        <f>4058185.4+1082566.8</f>
        <v>5140752.2</v>
      </c>
      <c r="AA32" s="1561">
        <f>6149003.06</f>
        <v>6149003.0599999996</v>
      </c>
      <c r="AB32" s="1561">
        <f>14942584.78</f>
        <v>14942584.779999999</v>
      </c>
      <c r="AC32" s="1561">
        <f>15122740.04</f>
        <v>15122740.039999999</v>
      </c>
      <c r="AD32" s="1561">
        <f>7004408.03</f>
        <v>7004408.0300000003</v>
      </c>
      <c r="AE32" s="1609">
        <f>X32/$X$7</f>
        <v>2.6607462298805628E-2</v>
      </c>
      <c r="AF32" s="1561">
        <f>45095059/1000</f>
        <v>45095.059000000001</v>
      </c>
      <c r="AG32" s="1580">
        <f>SUM(AH32:AK32)</f>
        <v>32216837.979999997</v>
      </c>
      <c r="AH32" s="1611">
        <f>2707627.54+989104.2</f>
        <v>3696731.74</v>
      </c>
      <c r="AI32" s="1612">
        <f>13165426.37</f>
        <v>13165426.369999999</v>
      </c>
      <c r="AJ32" s="1600">
        <f>6263352.4</f>
        <v>6263352.4000000004</v>
      </c>
      <c r="AK32" s="1600">
        <f>9091327.47</f>
        <v>9091327.4700000007</v>
      </c>
      <c r="AL32" s="1613">
        <f>(AF32/AF7)</f>
        <v>2.9893661091366631E-2</v>
      </c>
      <c r="AM32" s="1614">
        <f>33241378/1000</f>
        <v>33241.377999999997</v>
      </c>
      <c r="AN32" s="1615">
        <f>SUM(AO32+AP32)</f>
        <v>41535612.350000001</v>
      </c>
      <c r="AO32" s="1600">
        <f>(7409034.26+14420510.12)</f>
        <v>21829544.379999999</v>
      </c>
      <c r="AP32" s="1615">
        <f>SUM(AQ32:AT32)</f>
        <v>19706067.970000003</v>
      </c>
      <c r="AQ32" s="1601">
        <f>3811624.98+2354795.49</f>
        <v>6166420.4700000007</v>
      </c>
      <c r="AR32" s="1600">
        <f>4184128.48</f>
        <v>4184128.48</v>
      </c>
      <c r="AS32" s="1600">
        <f>(3175300.4)</f>
        <v>3175300.4</v>
      </c>
      <c r="AT32" s="1600">
        <f>(6180218.62)</f>
        <v>6180218.6200000001</v>
      </c>
      <c r="AU32" s="1632">
        <f>SUM(AN32+AG32+Y32+G32)</f>
        <v>240471075.56999999</v>
      </c>
      <c r="AV32" s="1617">
        <f>AM32/$AM$7</f>
        <v>5.3783355692920117E-3</v>
      </c>
      <c r="AW32" s="1627">
        <f>36436754/1000</f>
        <v>36436.754000000001</v>
      </c>
      <c r="AX32" s="1619">
        <f>AW32/$AW$7</f>
        <v>6.8628401250854065E-4</v>
      </c>
    </row>
    <row r="33" spans="1:50" ht="15.75" customHeight="1" x14ac:dyDescent="0.25">
      <c r="A33" s="1607" t="s">
        <v>58</v>
      </c>
      <c r="B33" s="2009" t="s">
        <v>59</v>
      </c>
      <c r="C33" s="2004"/>
      <c r="D33" s="1608">
        <f>+G33+Y33+AG33+AN33</f>
        <v>211637519.51000002</v>
      </c>
      <c r="E33" s="1552">
        <f>SUM(G33+Y33+AG33+AN33)</f>
        <v>211637519.51000002</v>
      </c>
      <c r="F33" s="1447">
        <f>+X33+AF33+AM33+AW33</f>
        <v>209109.02499999999</v>
      </c>
      <c r="G33" s="1608">
        <f>SUM(H33:W33)</f>
        <v>104689035.49000001</v>
      </c>
      <c r="H33" s="1103"/>
      <c r="I33" s="1103">
        <v>10617376.869999999</v>
      </c>
      <c r="J33" s="1103">
        <f>9236412.21+101930.9</f>
        <v>9338343.1100000013</v>
      </c>
      <c r="K33" s="1103">
        <v>6220302.9699999997</v>
      </c>
      <c r="L33" s="78">
        <v>0</v>
      </c>
      <c r="M33" s="1586">
        <v>8164335.4299999997</v>
      </c>
      <c r="N33" s="1103"/>
      <c r="O33" s="1103">
        <v>1197776.3700000001</v>
      </c>
      <c r="P33" s="78">
        <v>12828787.390000001</v>
      </c>
      <c r="Q33" s="1103">
        <v>16928163.949999999</v>
      </c>
      <c r="R33" s="1586">
        <v>2528077.81</v>
      </c>
      <c r="S33" s="1586">
        <f>8750197.4+2000000</f>
        <v>10750197.4</v>
      </c>
      <c r="T33" s="1586">
        <v>4631917.8600000003</v>
      </c>
      <c r="U33" s="1586">
        <v>6566577.5899999999</v>
      </c>
      <c r="V33" s="1586">
        <v>12987481.84</v>
      </c>
      <c r="W33" s="1586">
        <v>1929696.9</v>
      </c>
      <c r="X33" s="1588">
        <f>103703482/1000</f>
        <v>103703.482</v>
      </c>
      <c r="Y33" s="1561">
        <f>SUM(Z33:AD33)</f>
        <v>42963629.920000002</v>
      </c>
      <c r="Z33" s="1561">
        <v>3687938.44</v>
      </c>
      <c r="AA33" s="1561">
        <v>5588001.1799999997</v>
      </c>
      <c r="AB33" s="1561">
        <v>13579303.91</v>
      </c>
      <c r="AC33" s="1561">
        <v>13743022.779999999</v>
      </c>
      <c r="AD33" s="1561">
        <v>6365363.6100000003</v>
      </c>
      <c r="AE33" s="1609">
        <f>X33/$X$7</f>
        <v>2.4210581087149192E-2</v>
      </c>
      <c r="AF33" s="1561">
        <f>41495494/1000</f>
        <v>41495.493999999999</v>
      </c>
      <c r="AG33" s="1576">
        <f>SUM(AH33:AK33)</f>
        <v>28378683.720000003</v>
      </c>
      <c r="AH33" s="1611">
        <v>2460598.2000000002</v>
      </c>
      <c r="AI33" s="1612">
        <v>11964283.85</v>
      </c>
      <c r="AJ33" s="1600">
        <v>5691917.9000000004</v>
      </c>
      <c r="AK33" s="1600">
        <v>8261883.7699999996</v>
      </c>
      <c r="AL33" s="1613">
        <f>(AF33/AF7)</f>
        <v>2.7507497760560363E-2</v>
      </c>
      <c r="AM33" s="1614">
        <f>30673017/1000</f>
        <v>30673.017</v>
      </c>
      <c r="AN33" s="1615">
        <f>SUM(AO33+AP33)</f>
        <v>35606170.379999995</v>
      </c>
      <c r="AO33" s="1600">
        <f>6733073.92+13104860.52</f>
        <v>19837934.439999998</v>
      </c>
      <c r="AP33" s="1615">
        <f>SUM(AQ33:AT33)</f>
        <v>15768235.940000001</v>
      </c>
      <c r="AQ33" s="1601">
        <v>3463872.87</v>
      </c>
      <c r="AR33" s="1600">
        <v>3802391.16</v>
      </c>
      <c r="AS33" s="1600">
        <v>2885603.11</v>
      </c>
      <c r="AT33" s="1600">
        <v>5616368.7999999998</v>
      </c>
      <c r="AU33" s="1632">
        <f>SUM(AN33+AG33+Y33+G33)</f>
        <v>211637519.50999999</v>
      </c>
      <c r="AV33" s="1617">
        <f>AM33/$AM$7</f>
        <v>4.9627839841235996E-3</v>
      </c>
      <c r="AW33" s="1627">
        <f>33237032/1000</f>
        <v>33237.031999999999</v>
      </c>
      <c r="AX33" s="1619">
        <f>AW33/$AW$7</f>
        <v>6.2601744614338491E-4</v>
      </c>
    </row>
    <row r="34" spans="1:50" ht="15.75" customHeight="1" x14ac:dyDescent="0.25">
      <c r="A34" s="1607"/>
      <c r="B34" s="1624"/>
      <c r="C34" s="1513"/>
      <c r="D34" s="1608"/>
      <c r="E34" s="1552"/>
      <c r="F34" s="1447"/>
      <c r="G34" s="1608"/>
      <c r="H34" s="1103"/>
      <c r="I34" s="1103"/>
      <c r="J34" s="1103"/>
      <c r="K34" s="1103"/>
      <c r="L34" s="78"/>
      <c r="M34" s="1586"/>
      <c r="N34" s="1103"/>
      <c r="O34" s="1103"/>
      <c r="P34" s="78"/>
      <c r="Q34" s="1103"/>
      <c r="R34" s="1586"/>
      <c r="S34" s="1586"/>
      <c r="T34" s="1586"/>
      <c r="U34" s="1586"/>
      <c r="V34" s="1586"/>
      <c r="W34" s="1586"/>
      <c r="X34" s="1588"/>
      <c r="Y34" s="1561"/>
      <c r="Z34" s="1561"/>
      <c r="AA34" s="1561"/>
      <c r="AB34" s="1561"/>
      <c r="AC34" s="1561"/>
      <c r="AD34" s="1561"/>
      <c r="AE34" s="1575"/>
      <c r="AF34" s="1561"/>
      <c r="AG34" s="1576"/>
      <c r="AH34" s="1611"/>
      <c r="AI34" s="1612"/>
      <c r="AJ34" s="1600"/>
      <c r="AK34" s="1600"/>
      <c r="AL34" s="1613"/>
      <c r="AM34" s="1614"/>
      <c r="AN34" s="1599"/>
      <c r="AO34" s="1600"/>
      <c r="AP34" s="1599"/>
      <c r="AQ34" s="1601"/>
      <c r="AR34" s="1600"/>
      <c r="AS34" s="1600"/>
      <c r="AT34" s="1600"/>
      <c r="AU34" s="1616"/>
      <c r="AV34" s="1617"/>
      <c r="AW34" s="1627"/>
      <c r="AX34" s="1619"/>
    </row>
    <row r="35" spans="1:50" ht="15.75" customHeight="1" x14ac:dyDescent="0.25">
      <c r="A35" s="1620" t="s">
        <v>60</v>
      </c>
      <c r="B35" s="2009" t="s">
        <v>61</v>
      </c>
      <c r="C35" s="2019"/>
      <c r="D35" s="1641">
        <f>SUM(D36:D42)</f>
        <v>127729561.42</v>
      </c>
      <c r="E35" s="1552">
        <f t="shared" ref="E35:E42" si="20">SUM(G35+Y35+AG35+AN35)</f>
        <v>127729561.42</v>
      </c>
      <c r="F35" s="1447">
        <f t="shared" ref="F35:F43" si="21">+X35+AF35+AM35+AW35</f>
        <v>111066.06899999999</v>
      </c>
      <c r="G35" s="1641">
        <f t="shared" ref="G35:W35" si="22">SUM(G36:G43)</f>
        <v>60315750.279999994</v>
      </c>
      <c r="H35" s="1641">
        <f t="shared" si="22"/>
        <v>0</v>
      </c>
      <c r="I35" s="1641">
        <f t="shared" si="22"/>
        <v>9171120</v>
      </c>
      <c r="J35" s="1641">
        <f t="shared" si="22"/>
        <v>3284892</v>
      </c>
      <c r="K35" s="1641">
        <f t="shared" si="22"/>
        <v>1000000</v>
      </c>
      <c r="L35" s="1641">
        <f t="shared" si="22"/>
        <v>0</v>
      </c>
      <c r="M35" s="1641">
        <f t="shared" si="22"/>
        <v>7068180</v>
      </c>
      <c r="N35" s="1641">
        <f t="shared" si="22"/>
        <v>0</v>
      </c>
      <c r="O35" s="1641">
        <f t="shared" si="22"/>
        <v>438746.38</v>
      </c>
      <c r="P35" s="1641">
        <f t="shared" si="22"/>
        <v>7926468</v>
      </c>
      <c r="Q35" s="1641">
        <f t="shared" si="22"/>
        <v>11398392</v>
      </c>
      <c r="R35" s="1641">
        <f t="shared" si="22"/>
        <v>2620320</v>
      </c>
      <c r="S35" s="1641">
        <f t="shared" si="22"/>
        <v>2193731.9</v>
      </c>
      <c r="T35" s="1641">
        <f t="shared" si="22"/>
        <v>2292780</v>
      </c>
      <c r="U35" s="1641">
        <f t="shared" si="22"/>
        <v>3275400</v>
      </c>
      <c r="V35" s="1641">
        <f t="shared" si="22"/>
        <v>8335560</v>
      </c>
      <c r="W35" s="1641">
        <f t="shared" si="22"/>
        <v>1310160</v>
      </c>
      <c r="X35" s="1588">
        <f>X36+X37+X38</f>
        <v>50086.5</v>
      </c>
      <c r="Y35" s="1590">
        <f t="shared" ref="Y35:AD35" si="23">SUM(Y36:Y43)</f>
        <v>28954536</v>
      </c>
      <c r="Z35" s="1590">
        <f t="shared" si="23"/>
        <v>1310160</v>
      </c>
      <c r="AA35" s="1590">
        <f t="shared" si="23"/>
        <v>3930480</v>
      </c>
      <c r="AB35" s="1590">
        <f t="shared" si="23"/>
        <v>9957216</v>
      </c>
      <c r="AC35" s="1590">
        <f t="shared" si="23"/>
        <v>11136360</v>
      </c>
      <c r="AD35" s="1590">
        <f t="shared" si="23"/>
        <v>2620320</v>
      </c>
      <c r="AE35" s="1609">
        <f>X35/$X$7</f>
        <v>1.169317795540846E-2</v>
      </c>
      <c r="AF35" s="1561">
        <f>+AF37</f>
        <v>22405.98</v>
      </c>
      <c r="AG35" s="1580">
        <f>SUM(AG36:AG43)</f>
        <v>19979940</v>
      </c>
      <c r="AH35" s="1642">
        <f>SUM(AH36:AH43)</f>
        <v>1310160</v>
      </c>
      <c r="AI35" s="1590">
        <f>SUM(AI36:AI43)</f>
        <v>9171120</v>
      </c>
      <c r="AJ35" s="1600">
        <f>SUM(AJ36:AJ43)</f>
        <v>5568180</v>
      </c>
      <c r="AK35" s="1600">
        <f>SUM(AK36:AK43)</f>
        <v>3930480</v>
      </c>
      <c r="AL35" s="1613">
        <f>(AF35/AF7)</f>
        <v>1.4852996922344396E-2</v>
      </c>
      <c r="AM35" s="1614">
        <f>+AM36+AM37+AM38+AM39</f>
        <v>19012.008000000002</v>
      </c>
      <c r="AN35" s="1599">
        <f t="shared" ref="AN35:AU35" si="24">SUM(AN36:AN43)</f>
        <v>18479335.140000001</v>
      </c>
      <c r="AO35" s="1600">
        <f t="shared" si="24"/>
        <v>10638499.199999999</v>
      </c>
      <c r="AP35" s="1599">
        <f t="shared" si="24"/>
        <v>7840835.9399999995</v>
      </c>
      <c r="AQ35" s="1601">
        <f t="shared" si="24"/>
        <v>1965240</v>
      </c>
      <c r="AR35" s="1600">
        <f t="shared" si="24"/>
        <v>1316239.1399999999</v>
      </c>
      <c r="AS35" s="1600">
        <f t="shared" si="24"/>
        <v>786096</v>
      </c>
      <c r="AT35" s="1600">
        <f t="shared" si="24"/>
        <v>3773260.8</v>
      </c>
      <c r="AU35" s="1616">
        <f t="shared" si="24"/>
        <v>127729561.41999999</v>
      </c>
      <c r="AV35" s="1617">
        <f>AM35/$AM$7</f>
        <v>3.0760746100857881E-3</v>
      </c>
      <c r="AW35" s="1627">
        <f>+AW36+AW37+AW38+AW39</f>
        <v>19561.580999999998</v>
      </c>
      <c r="AX35" s="1619">
        <f>AW35/$AW$7</f>
        <v>3.6844117068416223E-4</v>
      </c>
    </row>
    <row r="36" spans="1:50" ht="15.75" hidden="1" customHeight="1" x14ac:dyDescent="0.25">
      <c r="A36" s="1620" t="s">
        <v>938</v>
      </c>
      <c r="B36" s="2009" t="s">
        <v>937</v>
      </c>
      <c r="C36" s="2004"/>
      <c r="D36" s="1608">
        <f t="shared" ref="D36:D43" si="25">+G36+Y36+AG36+AN36</f>
        <v>2250000</v>
      </c>
      <c r="E36" s="1552">
        <f t="shared" si="20"/>
        <v>2250000</v>
      </c>
      <c r="F36" s="1447">
        <f t="shared" si="21"/>
        <v>0</v>
      </c>
      <c r="G36" s="1608">
        <f t="shared" ref="G36:G43" si="26">SUM(H36:W36)</f>
        <v>2250000</v>
      </c>
      <c r="H36" s="1061"/>
      <c r="I36" s="1061"/>
      <c r="J36" s="1061"/>
      <c r="K36" s="1061">
        <v>1000000</v>
      </c>
      <c r="L36" s="1061"/>
      <c r="M36" s="1586"/>
      <c r="N36" s="1061"/>
      <c r="O36" s="1061"/>
      <c r="P36" s="1061"/>
      <c r="Q36" s="1061"/>
      <c r="R36" s="1586"/>
      <c r="S36" s="1586"/>
      <c r="T36" s="1586"/>
      <c r="U36" s="1586"/>
      <c r="V36" s="1586">
        <v>1250000</v>
      </c>
      <c r="W36" s="1586"/>
      <c r="X36" s="1588"/>
      <c r="Y36" s="1561">
        <f t="shared" ref="Y36:Y43" si="27">SUM(Z36:AD36)</f>
        <v>0</v>
      </c>
      <c r="Z36" s="1561"/>
      <c r="AA36" s="1561"/>
      <c r="AB36" s="1561"/>
      <c r="AC36" s="1561"/>
      <c r="AD36" s="1561"/>
      <c r="AE36" s="1609">
        <f>X36/$X$7</f>
        <v>0</v>
      </c>
      <c r="AF36" s="1561">
        <f>Y36/1000</f>
        <v>0</v>
      </c>
      <c r="AG36" s="1576">
        <f t="shared" ref="AG36:AG43" si="28">SUM(AH36:AK36)</f>
        <v>0</v>
      </c>
      <c r="AH36" s="1611"/>
      <c r="AI36" s="1612"/>
      <c r="AJ36" s="1600"/>
      <c r="AK36" s="1600"/>
      <c r="AL36" s="1613">
        <f>(AF36/AF7)</f>
        <v>0</v>
      </c>
      <c r="AM36" s="1614">
        <f>AG36/1000</f>
        <v>0</v>
      </c>
      <c r="AN36" s="1615">
        <f t="shared" ref="AN36:AN43" si="29">SUM(AO36+AP36)</f>
        <v>0</v>
      </c>
      <c r="AO36" s="1600"/>
      <c r="AP36" s="1599"/>
      <c r="AQ36" s="1601"/>
      <c r="AR36" s="1600"/>
      <c r="AS36" s="1600"/>
      <c r="AT36" s="1600"/>
      <c r="AU36" s="1616">
        <f t="shared" ref="AU36:AU43" si="30">SUM(AN36+AG36+Y36+G36)</f>
        <v>2250000</v>
      </c>
      <c r="AV36" s="1617">
        <f>AM36/$AM$7</f>
        <v>0</v>
      </c>
      <c r="AW36" s="1627">
        <v>0</v>
      </c>
      <c r="AX36" s="1619">
        <f>AW36/$AW$7</f>
        <v>0</v>
      </c>
    </row>
    <row r="37" spans="1:50" ht="15.75" customHeight="1" x14ac:dyDescent="0.25">
      <c r="A37" s="1620" t="s">
        <v>62</v>
      </c>
      <c r="B37" s="2009" t="s">
        <v>63</v>
      </c>
      <c r="C37" s="2004"/>
      <c r="D37" s="1608">
        <f t="shared" si="25"/>
        <v>121479561.42</v>
      </c>
      <c r="E37" s="1552">
        <f t="shared" si="20"/>
        <v>121479561.42</v>
      </c>
      <c r="F37" s="1447">
        <f t="shared" si="21"/>
        <v>111066.06899999999</v>
      </c>
      <c r="G37" s="1608">
        <f t="shared" si="26"/>
        <v>54065750.279999994</v>
      </c>
      <c r="H37" s="1061"/>
      <c r="I37" s="1061">
        <v>9171120</v>
      </c>
      <c r="J37" s="1061">
        <f>3209892+75000</f>
        <v>3284892</v>
      </c>
      <c r="K37" s="1061">
        <v>0</v>
      </c>
      <c r="L37" s="1061">
        <v>0</v>
      </c>
      <c r="M37" s="1586">
        <v>5568180</v>
      </c>
      <c r="N37" s="1061"/>
      <c r="O37" s="1061">
        <v>438746.38</v>
      </c>
      <c r="P37" s="1061">
        <v>7926468</v>
      </c>
      <c r="Q37" s="1061">
        <v>11398392</v>
      </c>
      <c r="R37" s="1586">
        <v>2620320</v>
      </c>
      <c r="S37" s="1586">
        <v>2193731.9</v>
      </c>
      <c r="T37" s="1586">
        <v>2292780</v>
      </c>
      <c r="U37" s="1586">
        <v>3275400</v>
      </c>
      <c r="V37" s="1586">
        <v>4585560</v>
      </c>
      <c r="W37" s="1586">
        <v>1310160</v>
      </c>
      <c r="X37" s="1588">
        <f>50086500/1000</f>
        <v>50086.5</v>
      </c>
      <c r="Y37" s="1561">
        <f t="shared" si="27"/>
        <v>28954536</v>
      </c>
      <c r="Z37" s="1561">
        <v>1310160</v>
      </c>
      <c r="AA37" s="1561">
        <v>3930480</v>
      </c>
      <c r="AB37" s="1561">
        <v>9957216</v>
      </c>
      <c r="AC37" s="1561">
        <v>11136360</v>
      </c>
      <c r="AD37" s="1561">
        <v>2620320</v>
      </c>
      <c r="AE37" s="1609">
        <f>X37/$X$7</f>
        <v>1.169317795540846E-2</v>
      </c>
      <c r="AF37" s="1561">
        <f>22405980/1000</f>
        <v>22405.98</v>
      </c>
      <c r="AG37" s="1576">
        <f t="shared" si="28"/>
        <v>19979940</v>
      </c>
      <c r="AH37" s="1611">
        <v>1310160</v>
      </c>
      <c r="AI37" s="1612">
        <v>9171120</v>
      </c>
      <c r="AJ37" s="1600">
        <v>5568180</v>
      </c>
      <c r="AK37" s="1600">
        <v>3930480</v>
      </c>
      <c r="AL37" s="1613">
        <f>(AF37/AF7)</f>
        <v>1.4852996922344396E-2</v>
      </c>
      <c r="AM37" s="1614">
        <f>19012008/1000</f>
        <v>19012.008000000002</v>
      </c>
      <c r="AN37" s="1615">
        <f t="shared" si="29"/>
        <v>18479335.140000001</v>
      </c>
      <c r="AO37" s="1600">
        <f>1834224+8804275.2</f>
        <v>10638499.199999999</v>
      </c>
      <c r="AP37" s="1615">
        <f t="shared" ref="AP37:AP43" si="31">SUM(AQ37:AT37)</f>
        <v>7840835.9399999995</v>
      </c>
      <c r="AQ37" s="1601">
        <v>1965240</v>
      </c>
      <c r="AR37" s="1600">
        <v>1316239.1399999999</v>
      </c>
      <c r="AS37" s="1600">
        <v>786096</v>
      </c>
      <c r="AT37" s="1600">
        <v>3773260.8</v>
      </c>
      <c r="AU37" s="1616">
        <f t="shared" si="30"/>
        <v>121479561.41999999</v>
      </c>
      <c r="AV37" s="1617">
        <f>AM37/$AM$7</f>
        <v>3.0760746100857881E-3</v>
      </c>
      <c r="AW37" s="1627">
        <f>19561581/1000</f>
        <v>19561.580999999998</v>
      </c>
      <c r="AX37" s="1619">
        <f>AW37/$AW$7</f>
        <v>3.6844117068416223E-4</v>
      </c>
    </row>
    <row r="38" spans="1:50" ht="15.75" hidden="1" customHeight="1" x14ac:dyDescent="0.25">
      <c r="A38" s="1620" t="s">
        <v>936</v>
      </c>
      <c r="B38" s="2009" t="s">
        <v>935</v>
      </c>
      <c r="C38" s="2004"/>
      <c r="D38" s="1608">
        <f t="shared" si="25"/>
        <v>3000000</v>
      </c>
      <c r="E38" s="1552">
        <f t="shared" si="20"/>
        <v>3000000</v>
      </c>
      <c r="F38" s="1447">
        <f t="shared" si="21"/>
        <v>0</v>
      </c>
      <c r="G38" s="1608">
        <f t="shared" si="26"/>
        <v>3000000</v>
      </c>
      <c r="H38" s="1643"/>
      <c r="I38" s="1643"/>
      <c r="J38" s="1643"/>
      <c r="K38" s="1643"/>
      <c r="L38" s="1644"/>
      <c r="M38" s="1586">
        <v>1500000</v>
      </c>
      <c r="N38" s="1643"/>
      <c r="O38" s="1643"/>
      <c r="P38" s="1644"/>
      <c r="Q38" s="1643"/>
      <c r="R38" s="1586"/>
      <c r="S38" s="1586"/>
      <c r="T38" s="1586"/>
      <c r="U38" s="1586"/>
      <c r="V38" s="1586">
        <v>1500000</v>
      </c>
      <c r="W38" s="1586"/>
      <c r="X38" s="1588">
        <v>0</v>
      </c>
      <c r="Y38" s="1561">
        <f t="shared" si="27"/>
        <v>0</v>
      </c>
      <c r="Z38" s="1561"/>
      <c r="AA38" s="1561"/>
      <c r="AB38" s="1561"/>
      <c r="AC38" s="1561"/>
      <c r="AD38" s="1561"/>
      <c r="AE38" s="1609">
        <f>X38/$X$7</f>
        <v>0</v>
      </c>
      <c r="AF38" s="1561">
        <f t="shared" ref="AF38:AF43" si="32">Y38/1000</f>
        <v>0</v>
      </c>
      <c r="AG38" s="1576">
        <f t="shared" si="28"/>
        <v>0</v>
      </c>
      <c r="AH38" s="1611"/>
      <c r="AI38" s="1612"/>
      <c r="AJ38" s="1600"/>
      <c r="AK38" s="1600"/>
      <c r="AL38" s="1613">
        <f>(AF38/AF7)</f>
        <v>0</v>
      </c>
      <c r="AM38" s="1614">
        <f t="shared" ref="AM38:AM43" si="33">AG38/1000</f>
        <v>0</v>
      </c>
      <c r="AN38" s="1615">
        <f t="shared" si="29"/>
        <v>0</v>
      </c>
      <c r="AO38" s="1600"/>
      <c r="AP38" s="1615">
        <f t="shared" si="31"/>
        <v>0</v>
      </c>
      <c r="AQ38" s="1601"/>
      <c r="AR38" s="1600"/>
      <c r="AS38" s="1600"/>
      <c r="AT38" s="1600"/>
      <c r="AU38" s="1616">
        <f t="shared" si="30"/>
        <v>3000000</v>
      </c>
      <c r="AV38" s="1617">
        <f>AM38/$AM$7</f>
        <v>0</v>
      </c>
      <c r="AW38" s="1627">
        <v>0</v>
      </c>
      <c r="AX38" s="1619">
        <f>AW38/$AW$7</f>
        <v>0</v>
      </c>
    </row>
    <row r="39" spans="1:50" ht="15.75" hidden="1" customHeight="1" x14ac:dyDescent="0.25">
      <c r="A39" s="1620" t="s">
        <v>64</v>
      </c>
      <c r="B39" s="2009" t="s">
        <v>65</v>
      </c>
      <c r="C39" s="2004"/>
      <c r="D39" s="1608">
        <f t="shared" si="25"/>
        <v>1000000</v>
      </c>
      <c r="E39" s="1552">
        <f t="shared" si="20"/>
        <v>1000000</v>
      </c>
      <c r="F39" s="1447">
        <f t="shared" si="21"/>
        <v>0</v>
      </c>
      <c r="G39" s="1608">
        <f t="shared" si="26"/>
        <v>1000000</v>
      </c>
      <c r="H39" s="1643"/>
      <c r="I39" s="1643"/>
      <c r="J39" s="1643"/>
      <c r="K39" s="1643"/>
      <c r="L39" s="1644"/>
      <c r="M39" s="1586"/>
      <c r="N39" s="1643"/>
      <c r="O39" s="1643"/>
      <c r="P39" s="1644"/>
      <c r="Q39" s="1643"/>
      <c r="R39" s="1586"/>
      <c r="S39" s="1586"/>
      <c r="T39" s="1586"/>
      <c r="U39" s="1586"/>
      <c r="V39" s="1586">
        <v>1000000</v>
      </c>
      <c r="W39" s="1586"/>
      <c r="X39" s="1588">
        <v>0</v>
      </c>
      <c r="Y39" s="1561">
        <f t="shared" si="27"/>
        <v>0</v>
      </c>
      <c r="Z39" s="1561"/>
      <c r="AA39" s="1561"/>
      <c r="AB39" s="1561"/>
      <c r="AC39" s="1561"/>
      <c r="AD39" s="1561"/>
      <c r="AE39" s="1609">
        <f>X39/$X$7*100</f>
        <v>0</v>
      </c>
      <c r="AF39" s="1561">
        <f t="shared" si="32"/>
        <v>0</v>
      </c>
      <c r="AG39" s="1576">
        <f t="shared" si="28"/>
        <v>0</v>
      </c>
      <c r="AH39" s="1611"/>
      <c r="AI39" s="1612"/>
      <c r="AJ39" s="1600"/>
      <c r="AK39" s="1600"/>
      <c r="AL39" s="1613"/>
      <c r="AM39" s="1614">
        <f t="shared" si="33"/>
        <v>0</v>
      </c>
      <c r="AN39" s="1615">
        <f t="shared" si="29"/>
        <v>0</v>
      </c>
      <c r="AO39" s="1600"/>
      <c r="AP39" s="1615">
        <f t="shared" si="31"/>
        <v>0</v>
      </c>
      <c r="AQ39" s="1601"/>
      <c r="AR39" s="1600"/>
      <c r="AS39" s="1600"/>
      <c r="AT39" s="1600"/>
      <c r="AU39" s="1616">
        <f t="shared" si="30"/>
        <v>1000000</v>
      </c>
      <c r="AV39" s="1603"/>
      <c r="AW39" s="1627">
        <v>0</v>
      </c>
      <c r="AX39" s="1592"/>
    </row>
    <row r="40" spans="1:50" ht="15.75" hidden="1" customHeight="1" x14ac:dyDescent="0.25">
      <c r="A40" s="1620" t="s">
        <v>66</v>
      </c>
      <c r="B40" s="2009" t="s">
        <v>67</v>
      </c>
      <c r="C40" s="2004"/>
      <c r="D40" s="1608">
        <f t="shared" si="25"/>
        <v>0</v>
      </c>
      <c r="E40" s="1552">
        <f t="shared" si="20"/>
        <v>0</v>
      </c>
      <c r="F40" s="1447">
        <f t="shared" si="21"/>
        <v>0</v>
      </c>
      <c r="G40" s="1608">
        <f t="shared" si="26"/>
        <v>0</v>
      </c>
      <c r="H40" s="1643"/>
      <c r="I40" s="1643"/>
      <c r="J40" s="1643"/>
      <c r="K40" s="1643"/>
      <c r="L40" s="1644"/>
      <c r="M40" s="1586"/>
      <c r="N40" s="1643"/>
      <c r="O40" s="1643"/>
      <c r="P40" s="1644"/>
      <c r="Q40" s="1643"/>
      <c r="R40" s="1586"/>
      <c r="S40" s="1586"/>
      <c r="T40" s="1586"/>
      <c r="U40" s="1586"/>
      <c r="V40" s="1586"/>
      <c r="W40" s="1586"/>
      <c r="X40" s="1588"/>
      <c r="Y40" s="1561">
        <f t="shared" si="27"/>
        <v>0</v>
      </c>
      <c r="Z40" s="1561"/>
      <c r="AA40" s="1561"/>
      <c r="AB40" s="1561"/>
      <c r="AC40" s="1561"/>
      <c r="AD40" s="1561"/>
      <c r="AE40" s="1575"/>
      <c r="AF40" s="1561">
        <f t="shared" si="32"/>
        <v>0</v>
      </c>
      <c r="AG40" s="1576">
        <f t="shared" si="28"/>
        <v>0</v>
      </c>
      <c r="AH40" s="1611"/>
      <c r="AI40" s="1612"/>
      <c r="AJ40" s="1600"/>
      <c r="AK40" s="1600"/>
      <c r="AL40" s="1613"/>
      <c r="AM40" s="1614">
        <f t="shared" si="33"/>
        <v>0</v>
      </c>
      <c r="AN40" s="1615">
        <f t="shared" si="29"/>
        <v>0</v>
      </c>
      <c r="AO40" s="1600"/>
      <c r="AP40" s="1615">
        <f t="shared" si="31"/>
        <v>0</v>
      </c>
      <c r="AQ40" s="1601"/>
      <c r="AR40" s="1600"/>
      <c r="AS40" s="1600"/>
      <c r="AT40" s="1600"/>
      <c r="AU40" s="1616">
        <f t="shared" si="30"/>
        <v>0</v>
      </c>
      <c r="AV40" s="1603"/>
      <c r="AW40" s="1627">
        <f>AN40/1000</f>
        <v>0</v>
      </c>
      <c r="AX40" s="1592"/>
    </row>
    <row r="41" spans="1:50" ht="15.75" hidden="1" customHeight="1" x14ac:dyDescent="0.25">
      <c r="A41" s="1620" t="s">
        <v>68</v>
      </c>
      <c r="B41" s="2009" t="s">
        <v>69</v>
      </c>
      <c r="C41" s="2004"/>
      <c r="D41" s="1608">
        <f t="shared" si="25"/>
        <v>0</v>
      </c>
      <c r="E41" s="1552">
        <f t="shared" si="20"/>
        <v>0</v>
      </c>
      <c r="F41" s="1447">
        <f t="shared" si="21"/>
        <v>0</v>
      </c>
      <c r="G41" s="1608">
        <f t="shared" si="26"/>
        <v>0</v>
      </c>
      <c r="H41" s="1643"/>
      <c r="I41" s="1643"/>
      <c r="J41" s="1643"/>
      <c r="K41" s="1643"/>
      <c r="L41" s="1644"/>
      <c r="M41" s="1586"/>
      <c r="N41" s="1643"/>
      <c r="O41" s="1643"/>
      <c r="P41" s="1644"/>
      <c r="Q41" s="1643"/>
      <c r="R41" s="1586"/>
      <c r="S41" s="1586"/>
      <c r="T41" s="1586"/>
      <c r="U41" s="1586"/>
      <c r="V41" s="1586"/>
      <c r="W41" s="1586"/>
      <c r="X41" s="1588"/>
      <c r="Y41" s="1561">
        <f t="shared" si="27"/>
        <v>0</v>
      </c>
      <c r="Z41" s="1561"/>
      <c r="AA41" s="1561"/>
      <c r="AB41" s="1561"/>
      <c r="AC41" s="1561"/>
      <c r="AD41" s="1561"/>
      <c r="AE41" s="1575"/>
      <c r="AF41" s="1561">
        <f t="shared" si="32"/>
        <v>0</v>
      </c>
      <c r="AG41" s="1576">
        <f t="shared" si="28"/>
        <v>0</v>
      </c>
      <c r="AH41" s="1611"/>
      <c r="AI41" s="1612"/>
      <c r="AJ41" s="1600"/>
      <c r="AK41" s="1600"/>
      <c r="AL41" s="1613"/>
      <c r="AM41" s="1614">
        <f t="shared" si="33"/>
        <v>0</v>
      </c>
      <c r="AN41" s="1615">
        <f t="shared" si="29"/>
        <v>0</v>
      </c>
      <c r="AO41" s="1600"/>
      <c r="AP41" s="1615">
        <f t="shared" si="31"/>
        <v>0</v>
      </c>
      <c r="AQ41" s="1601"/>
      <c r="AR41" s="1600"/>
      <c r="AS41" s="1600"/>
      <c r="AT41" s="1600"/>
      <c r="AU41" s="1616">
        <f t="shared" si="30"/>
        <v>0</v>
      </c>
      <c r="AV41" s="1603"/>
      <c r="AW41" s="1627">
        <f>AN41/1000</f>
        <v>0</v>
      </c>
      <c r="AX41" s="1592"/>
    </row>
    <row r="42" spans="1:50" ht="15.75" hidden="1" customHeight="1" x14ac:dyDescent="0.25">
      <c r="A42" s="1620" t="s">
        <v>70</v>
      </c>
      <c r="B42" s="2009" t="s">
        <v>71</v>
      </c>
      <c r="C42" s="2004"/>
      <c r="D42" s="1608">
        <f t="shared" si="25"/>
        <v>0</v>
      </c>
      <c r="E42" s="1552">
        <f t="shared" si="20"/>
        <v>0</v>
      </c>
      <c r="F42" s="1447">
        <f t="shared" si="21"/>
        <v>0</v>
      </c>
      <c r="G42" s="1608">
        <f t="shared" si="26"/>
        <v>0</v>
      </c>
      <c r="H42" s="1643"/>
      <c r="I42" s="1643"/>
      <c r="J42" s="1643"/>
      <c r="K42" s="1643"/>
      <c r="L42" s="1644"/>
      <c r="M42" s="1586"/>
      <c r="N42" s="1643"/>
      <c r="O42" s="1643"/>
      <c r="P42" s="1644"/>
      <c r="Q42" s="1643"/>
      <c r="R42" s="1586"/>
      <c r="S42" s="1586"/>
      <c r="T42" s="1586"/>
      <c r="U42" s="1586"/>
      <c r="V42" s="1586"/>
      <c r="W42" s="1586"/>
      <c r="X42" s="1588"/>
      <c r="Y42" s="1561">
        <f t="shared" si="27"/>
        <v>0</v>
      </c>
      <c r="Z42" s="1561"/>
      <c r="AA42" s="1561"/>
      <c r="AB42" s="1561"/>
      <c r="AC42" s="1561"/>
      <c r="AD42" s="1561"/>
      <c r="AE42" s="1575"/>
      <c r="AF42" s="1561">
        <f t="shared" si="32"/>
        <v>0</v>
      </c>
      <c r="AG42" s="1576">
        <f t="shared" si="28"/>
        <v>0</v>
      </c>
      <c r="AH42" s="1611"/>
      <c r="AI42" s="1612"/>
      <c r="AJ42" s="1600"/>
      <c r="AK42" s="1600"/>
      <c r="AL42" s="1613"/>
      <c r="AM42" s="1614">
        <f t="shared" si="33"/>
        <v>0</v>
      </c>
      <c r="AN42" s="1615">
        <f t="shared" si="29"/>
        <v>0</v>
      </c>
      <c r="AO42" s="1600"/>
      <c r="AP42" s="1615">
        <f t="shared" si="31"/>
        <v>0</v>
      </c>
      <c r="AQ42" s="1601"/>
      <c r="AR42" s="1600"/>
      <c r="AS42" s="1600"/>
      <c r="AT42" s="1600"/>
      <c r="AU42" s="1616">
        <f t="shared" si="30"/>
        <v>0</v>
      </c>
      <c r="AV42" s="1603"/>
      <c r="AW42" s="1627">
        <f>AN42/1000</f>
        <v>0</v>
      </c>
      <c r="AX42" s="1592"/>
    </row>
    <row r="43" spans="1:50" ht="15.75" hidden="1" customHeight="1" x14ac:dyDescent="0.25">
      <c r="A43" s="1620" t="s">
        <v>72</v>
      </c>
      <c r="B43" s="1624" t="s">
        <v>73</v>
      </c>
      <c r="C43" s="1513"/>
      <c r="D43" s="1608">
        <f t="shared" si="25"/>
        <v>0</v>
      </c>
      <c r="E43" s="1552"/>
      <c r="F43" s="1447">
        <f t="shared" si="21"/>
        <v>0</v>
      </c>
      <c r="G43" s="1608">
        <f t="shared" si="26"/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1586"/>
      <c r="N43" s="78"/>
      <c r="O43" s="78"/>
      <c r="P43" s="78"/>
      <c r="Q43" s="78"/>
      <c r="R43" s="1586"/>
      <c r="S43" s="1586"/>
      <c r="T43" s="1586"/>
      <c r="U43" s="1586"/>
      <c r="V43" s="1586"/>
      <c r="W43" s="1586"/>
      <c r="X43" s="1588"/>
      <c r="Y43" s="1561">
        <f t="shared" si="27"/>
        <v>0</v>
      </c>
      <c r="Z43" s="1561"/>
      <c r="AA43" s="1561"/>
      <c r="AB43" s="1561"/>
      <c r="AC43" s="1561"/>
      <c r="AD43" s="1561"/>
      <c r="AE43" s="1575"/>
      <c r="AF43" s="1561">
        <f t="shared" si="32"/>
        <v>0</v>
      </c>
      <c r="AG43" s="1576">
        <f t="shared" si="28"/>
        <v>0</v>
      </c>
      <c r="AH43" s="1645"/>
      <c r="AI43" s="1586"/>
      <c r="AJ43" s="1600"/>
      <c r="AK43" s="1600"/>
      <c r="AL43" s="1613"/>
      <c r="AM43" s="1614">
        <f t="shared" si="33"/>
        <v>0</v>
      </c>
      <c r="AN43" s="1615">
        <f t="shared" si="29"/>
        <v>0</v>
      </c>
      <c r="AO43" s="1600"/>
      <c r="AP43" s="1615">
        <f t="shared" si="31"/>
        <v>0</v>
      </c>
      <c r="AQ43" s="1601"/>
      <c r="AR43" s="1600"/>
      <c r="AS43" s="1600"/>
      <c r="AT43" s="1600"/>
      <c r="AU43" s="1616">
        <f t="shared" si="30"/>
        <v>0</v>
      </c>
      <c r="AV43" s="1603"/>
      <c r="AW43" s="1627">
        <f>AN43/1000</f>
        <v>0</v>
      </c>
      <c r="AX43" s="1592"/>
    </row>
    <row r="44" spans="1:50" ht="15.75" customHeight="1" x14ac:dyDescent="0.25">
      <c r="A44" s="1620"/>
      <c r="B44" s="1624"/>
      <c r="C44" s="1513"/>
      <c r="D44" s="1608"/>
      <c r="E44" s="1552"/>
      <c r="F44" s="1447"/>
      <c r="G44" s="1608"/>
      <c r="H44" s="1061"/>
      <c r="I44" s="1061"/>
      <c r="J44" s="1061"/>
      <c r="K44" s="1061"/>
      <c r="L44" s="1061"/>
      <c r="M44" s="1586"/>
      <c r="N44" s="1061"/>
      <c r="O44" s="1061"/>
      <c r="P44" s="1061"/>
      <c r="Q44" s="1061"/>
      <c r="R44" s="1586"/>
      <c r="S44" s="1586"/>
      <c r="T44" s="1586"/>
      <c r="U44" s="1586"/>
      <c r="V44" s="1586"/>
      <c r="W44" s="1586"/>
      <c r="X44" s="1588"/>
      <c r="Y44" s="1561"/>
      <c r="Z44" s="1561"/>
      <c r="AA44" s="1561"/>
      <c r="AB44" s="1561"/>
      <c r="AC44" s="1561"/>
      <c r="AD44" s="1561"/>
      <c r="AE44" s="1575"/>
      <c r="AF44" s="1561"/>
      <c r="AG44" s="1576">
        <f>SUM(AH44:AJ44)</f>
        <v>0</v>
      </c>
      <c r="AH44" s="1611"/>
      <c r="AI44" s="1612"/>
      <c r="AJ44" s="1600"/>
      <c r="AK44" s="1600"/>
      <c r="AL44" s="1613"/>
      <c r="AM44" s="1614"/>
      <c r="AN44" s="1599"/>
      <c r="AO44" s="1600"/>
      <c r="AP44" s="1599"/>
      <c r="AQ44" s="1601"/>
      <c r="AR44" s="1600"/>
      <c r="AS44" s="1600"/>
      <c r="AT44" s="1600"/>
      <c r="AU44" s="1616"/>
      <c r="AV44" s="1603"/>
      <c r="AW44" s="1627"/>
      <c r="AX44" s="1592"/>
    </row>
    <row r="45" spans="1:50" ht="15.75" customHeight="1" x14ac:dyDescent="0.25">
      <c r="A45" s="1646" t="s">
        <v>74</v>
      </c>
      <c r="B45" s="2013" t="s">
        <v>75</v>
      </c>
      <c r="C45" s="2002"/>
      <c r="D45" s="1647">
        <f>SUM(D46:D50)</f>
        <v>484719311.32999998</v>
      </c>
      <c r="E45" s="1572">
        <f t="shared" ref="E45:E50" si="34">SUM(G45+Y45+AG45+AN45)</f>
        <v>484719311.33000004</v>
      </c>
      <c r="F45" s="1495">
        <f t="shared" ref="F45:F50" si="35">+X45+AF45+AM45+AW45</f>
        <v>453950.40299999999</v>
      </c>
      <c r="G45" s="1647">
        <f t="shared" ref="G45:W45" si="36">SUM(G46:G50)</f>
        <v>237998376.5</v>
      </c>
      <c r="H45" s="1647">
        <f t="shared" si="36"/>
        <v>0</v>
      </c>
      <c r="I45" s="1647">
        <f t="shared" si="36"/>
        <v>23492826.100000001</v>
      </c>
      <c r="J45" s="1647">
        <f t="shared" si="36"/>
        <v>20662737.440000001</v>
      </c>
      <c r="K45" s="1647">
        <f t="shared" si="36"/>
        <v>13763521.6</v>
      </c>
      <c r="L45" s="1647">
        <f t="shared" si="36"/>
        <v>0</v>
      </c>
      <c r="M45" s="1647">
        <f t="shared" si="36"/>
        <v>18735037.59</v>
      </c>
      <c r="N45" s="1647">
        <f t="shared" si="36"/>
        <v>0</v>
      </c>
      <c r="O45" s="1647">
        <f t="shared" si="36"/>
        <v>2650292.23</v>
      </c>
      <c r="P45" s="1647">
        <f t="shared" si="36"/>
        <v>28385963.399999999</v>
      </c>
      <c r="Q45" s="1647">
        <f t="shared" si="36"/>
        <v>38568314.899999999</v>
      </c>
      <c r="R45" s="1647">
        <f t="shared" si="36"/>
        <v>7560452.4299999997</v>
      </c>
      <c r="S45" s="1647">
        <f t="shared" si="36"/>
        <v>21337507.849999998</v>
      </c>
      <c r="T45" s="1647">
        <f t="shared" si="36"/>
        <v>10918938.34</v>
      </c>
      <c r="U45" s="1647">
        <f t="shared" si="36"/>
        <v>14637708.290000001</v>
      </c>
      <c r="V45" s="1647">
        <f t="shared" si="36"/>
        <v>32435871.440000001</v>
      </c>
      <c r="W45" s="1647">
        <f t="shared" si="36"/>
        <v>4849204.8899999997</v>
      </c>
      <c r="X45" s="1628">
        <f>X46+X47+X48+X49+X50</f>
        <v>226825.85500000001</v>
      </c>
      <c r="Y45" s="1639">
        <f t="shared" ref="Y45:AD45" si="37">SUM(Y46:Y50)</f>
        <v>97241467.74000001</v>
      </c>
      <c r="Z45" s="1639">
        <f t="shared" si="37"/>
        <v>10337046.74</v>
      </c>
      <c r="AA45" s="1639">
        <f t="shared" si="37"/>
        <v>12364441.940000001</v>
      </c>
      <c r="AB45" s="1639">
        <f t="shared" si="37"/>
        <v>30046614.059999999</v>
      </c>
      <c r="AC45" s="1639">
        <f t="shared" si="37"/>
        <v>30408871.039999999</v>
      </c>
      <c r="AD45" s="1639">
        <f t="shared" si="37"/>
        <v>14084493.960000001</v>
      </c>
      <c r="AE45" s="1575">
        <f t="shared" ref="AE45:AE50" si="38">X45/$X$7</f>
        <v>5.295469013412149E-2</v>
      </c>
      <c r="AF45" s="1557">
        <f>+AF46+AF47+AF48+AF49+AF50</f>
        <v>90641.073000000004</v>
      </c>
      <c r="AG45" s="1576">
        <f>SUM(AG46:AG50)</f>
        <v>65959477.979999997</v>
      </c>
      <c r="AH45" s="1638">
        <f>SUM(AH46:AH50)</f>
        <v>7433404.1399999997</v>
      </c>
      <c r="AI45" s="1639">
        <f>SUM(AI46:AI50)</f>
        <v>26473096.25</v>
      </c>
      <c r="AJ45" s="1597">
        <f>SUM(AJ46:AJ50)</f>
        <v>12594375.859999999</v>
      </c>
      <c r="AK45" s="1597">
        <f>SUM(AK46:AK50)</f>
        <v>19458601.73</v>
      </c>
      <c r="AL45" s="1577">
        <f>(AF45/AF7)</f>
        <v>6.0086261717050254E-2</v>
      </c>
      <c r="AM45" s="1598">
        <f>+AM46+AM47+AM48+AM49+AM50</f>
        <v>66815.171999999991</v>
      </c>
      <c r="AN45" s="1599">
        <f t="shared" ref="AN45:AU45" si="39">SUM(AN46:AN50)</f>
        <v>83519989.110000014</v>
      </c>
      <c r="AO45" s="1600">
        <f t="shared" si="39"/>
        <v>43894942.160000004</v>
      </c>
      <c r="AP45" s="1599">
        <f t="shared" si="39"/>
        <v>39625046.950000003</v>
      </c>
      <c r="AQ45" s="1601">
        <f t="shared" si="39"/>
        <v>12399465.269999998</v>
      </c>
      <c r="AR45" s="1600">
        <f t="shared" si="39"/>
        <v>8413463.620000001</v>
      </c>
      <c r="AS45" s="1600">
        <f t="shared" si="39"/>
        <v>6384907.75</v>
      </c>
      <c r="AT45" s="1600">
        <f t="shared" si="39"/>
        <v>12427210.310000001</v>
      </c>
      <c r="AU45" s="1602">
        <f t="shared" si="39"/>
        <v>484719311.33000004</v>
      </c>
      <c r="AV45" s="1603">
        <f t="shared" ref="AV45:AV50" si="40">AM45/$AM$7</f>
        <v>1.0810454853464969E-2</v>
      </c>
      <c r="AW45" s="1631">
        <f>+AW46+AW47+AW48+AW49+AW50</f>
        <v>69668.303</v>
      </c>
      <c r="AX45" s="1592">
        <f t="shared" ref="AX45:AX50" si="41">AW45/$AW$7</f>
        <v>1.3121981866853671E-3</v>
      </c>
    </row>
    <row r="46" spans="1:50" ht="15.75" customHeight="1" x14ac:dyDescent="0.25">
      <c r="A46" s="1648" t="s">
        <v>76</v>
      </c>
      <c r="B46" s="2009" t="s">
        <v>77</v>
      </c>
      <c r="C46" s="2004"/>
      <c r="D46" s="1608">
        <f>+G46+Y46+AG46+AN46</f>
        <v>267029705.51999998</v>
      </c>
      <c r="E46" s="1552">
        <f t="shared" si="34"/>
        <v>267029705.51999998</v>
      </c>
      <c r="F46" s="1447">
        <f t="shared" si="35"/>
        <v>250689.02100000001</v>
      </c>
      <c r="G46" s="1608">
        <f>SUM(H46:W46)</f>
        <v>131431214.67000002</v>
      </c>
      <c r="H46" s="78"/>
      <c r="I46" s="78">
        <f>12973650.23</f>
        <v>12973650.23</v>
      </c>
      <c r="J46" s="78">
        <f>11286213.42+124552.03</f>
        <v>11410765.449999999</v>
      </c>
      <c r="K46" s="78">
        <f>7600750.73</f>
        <v>7600750.7300000004</v>
      </c>
      <c r="L46" s="78">
        <v>0</v>
      </c>
      <c r="M46" s="1586">
        <f>9976214.79+370000</f>
        <v>10346214.789999999</v>
      </c>
      <c r="N46" s="78"/>
      <c r="O46" s="78">
        <f>1463594.2</f>
        <v>1463594.2</v>
      </c>
      <c r="P46" s="78">
        <f>15675830.53</f>
        <v>15675830.529999999</v>
      </c>
      <c r="Q46" s="78">
        <f>20684965.85+613954.32</f>
        <v>21298920.170000002</v>
      </c>
      <c r="R46" s="1586">
        <f>3089124.33+1085878.59</f>
        <v>4175002.92</v>
      </c>
      <c r="S46" s="1586">
        <f>10692094.84+1091305.01</f>
        <v>11783399.85</v>
      </c>
      <c r="T46" s="1586">
        <f>5659861.47+370000</f>
        <v>6029861.4699999997</v>
      </c>
      <c r="U46" s="1586">
        <f>8023872.74+59637.8</f>
        <v>8083510.54</v>
      </c>
      <c r="V46" s="1586">
        <f>15869743.42+2042603.5</f>
        <v>17912346.920000002</v>
      </c>
      <c r="W46" s="1586">
        <f>2357947.06+319419.81</f>
        <v>2677366.87</v>
      </c>
      <c r="X46" s="1588">
        <f>125262038/1000</f>
        <v>125262.038</v>
      </c>
      <c r="Y46" s="1561">
        <f>SUM(Z46:AD46)</f>
        <v>53700512.019999996</v>
      </c>
      <c r="Z46" s="1561">
        <f>4506388.35+1202130</f>
        <v>5708518.3499999996</v>
      </c>
      <c r="AA46" s="1561">
        <f>6828124.65</f>
        <v>6828124.6500000004</v>
      </c>
      <c r="AB46" s="1561">
        <f>16592906.27</f>
        <v>16592906.27</v>
      </c>
      <c r="AC46" s="1561">
        <f>16792958.63</f>
        <v>16792958.629999999</v>
      </c>
      <c r="AD46" s="1561">
        <f>7778004.12</f>
        <v>7778004.1200000001</v>
      </c>
      <c r="AE46" s="1609">
        <f t="shared" si="38"/>
        <v>2.9243634540068418E-2</v>
      </c>
      <c r="AF46" s="1561">
        <f>50055515/1000</f>
        <v>50055.514999999999</v>
      </c>
      <c r="AG46" s="1576">
        <f>SUM(AH46:AK46)</f>
        <v>35774999.939999998</v>
      </c>
      <c r="AH46" s="1611">
        <f>3006669.23+1098345</f>
        <v>4105014.23</v>
      </c>
      <c r="AI46" s="1612">
        <f>14619471.06</f>
        <v>14619471.060000001</v>
      </c>
      <c r="AJ46" s="1600">
        <f>6955103</f>
        <v>6955103</v>
      </c>
      <c r="AK46" s="1600">
        <f>10095411.65</f>
        <v>10095411.65</v>
      </c>
      <c r="AL46" s="1613">
        <f>(AF46/AF7)</f>
        <v>3.3181963486594371E-2</v>
      </c>
      <c r="AM46" s="1614">
        <f>36897929/1000</f>
        <v>36897.928999999996</v>
      </c>
      <c r="AN46" s="1615">
        <f>SUM(AO46+AP46)</f>
        <v>46122978.890000001</v>
      </c>
      <c r="AO46" s="1600">
        <f>(8227318.95+16013171.5)</f>
        <v>24240490.449999999</v>
      </c>
      <c r="AP46" s="1615">
        <f>SUM(AQ46:AT46)</f>
        <v>21882488.440000001</v>
      </c>
      <c r="AQ46" s="1601">
        <f>4232596.77+2614868.94</f>
        <v>6847465.709999999</v>
      </c>
      <c r="AR46" s="1600">
        <f>4646241.11</f>
        <v>4646241.1100000003</v>
      </c>
      <c r="AS46" s="1600">
        <f>3525993.84</f>
        <v>3525993.84</v>
      </c>
      <c r="AT46" s="1600">
        <f>6862787.78</f>
        <v>6862787.7800000003</v>
      </c>
      <c r="AU46" s="1616">
        <f>SUM(AN46+AG46+Y46+G46)</f>
        <v>267029705.52000001</v>
      </c>
      <c r="AV46" s="1617">
        <f t="shared" si="40"/>
        <v>5.9699523880722164E-3</v>
      </c>
      <c r="AW46" s="1627">
        <f>38473539/1000</f>
        <v>38473.538999999997</v>
      </c>
      <c r="AX46" s="1619">
        <f t="shared" si="41"/>
        <v>7.2464673226171092E-4</v>
      </c>
    </row>
    <row r="47" spans="1:50" ht="15.75" customHeight="1" x14ac:dyDescent="0.25">
      <c r="A47" s="1520" t="s">
        <v>78</v>
      </c>
      <c r="B47" s="2009" t="s">
        <v>79</v>
      </c>
      <c r="C47" s="2004"/>
      <c r="D47" s="1608">
        <f>+G47+Y47+AG47+AN47</f>
        <v>14434350.139999999</v>
      </c>
      <c r="E47" s="1552">
        <f t="shared" si="34"/>
        <v>14434350.139999999</v>
      </c>
      <c r="F47" s="1447">
        <f t="shared" si="35"/>
        <v>13550.763000000001</v>
      </c>
      <c r="G47" s="1608">
        <f>SUM(H47:W47)</f>
        <v>7104701.9800000004</v>
      </c>
      <c r="H47" s="78"/>
      <c r="I47" s="78">
        <f>701278.39</f>
        <v>701278.39</v>
      </c>
      <c r="J47" s="78">
        <f>610065.59+6732.54</f>
        <v>616798.13</v>
      </c>
      <c r="K47" s="78">
        <f>410851.39</f>
        <v>410851.39</v>
      </c>
      <c r="L47" s="78">
        <v>0</v>
      </c>
      <c r="M47" s="1586">
        <f>539254.85+20000</f>
        <v>559254.85</v>
      </c>
      <c r="N47" s="78"/>
      <c r="O47" s="78">
        <f>79113.2</f>
        <v>79113.2</v>
      </c>
      <c r="P47" s="78">
        <f>847342.19</f>
        <v>847342.19</v>
      </c>
      <c r="Q47" s="78">
        <f>1118106.26+33186.72</f>
        <v>1151292.98</v>
      </c>
      <c r="R47" s="1586">
        <f>312+166979.69+58696.14</f>
        <v>225987.83000000002</v>
      </c>
      <c r="S47" s="1586">
        <f>577951.07+58989.46</f>
        <v>636940.52999999991</v>
      </c>
      <c r="T47" s="1586">
        <f>305938.46+20000</f>
        <v>325938.46000000002</v>
      </c>
      <c r="U47" s="1586">
        <f>433722.85+3223.67</f>
        <v>436946.51999999996</v>
      </c>
      <c r="V47" s="1586">
        <f>857823.97+110411</f>
        <v>968234.97</v>
      </c>
      <c r="W47" s="1586">
        <f>127456.6+17265.94</f>
        <v>144722.54</v>
      </c>
      <c r="X47" s="1588">
        <f>6770923/1000</f>
        <v>6770.9229999999998</v>
      </c>
      <c r="Y47" s="1561">
        <f>SUM(Z47:AD47)</f>
        <v>2902730.38</v>
      </c>
      <c r="Z47" s="1561">
        <f>243588.56+64980</f>
        <v>308568.56</v>
      </c>
      <c r="AA47" s="1561">
        <f>369087.82</f>
        <v>369087.82</v>
      </c>
      <c r="AB47" s="1561">
        <f>896913.85</f>
        <v>896913.85</v>
      </c>
      <c r="AC47" s="1561">
        <f>907727.49</f>
        <v>907727.49</v>
      </c>
      <c r="AD47" s="1561">
        <f>420432.66</f>
        <v>420432.66</v>
      </c>
      <c r="AE47" s="1609">
        <f t="shared" si="38"/>
        <v>1.580737475394929E-3</v>
      </c>
      <c r="AF47" s="1561">
        <f>2705705/1000</f>
        <v>2705.7049999999999</v>
      </c>
      <c r="AG47" s="1576">
        <f>SUM(AH47:AK47)</f>
        <v>1933783.79</v>
      </c>
      <c r="AH47" s="1611">
        <f>162522.66+59370</f>
        <v>221892.66</v>
      </c>
      <c r="AI47" s="1612">
        <f>790241.68</f>
        <v>790241.68</v>
      </c>
      <c r="AJ47" s="1600">
        <f>375951.52</f>
        <v>375951.52</v>
      </c>
      <c r="AK47" s="1600">
        <f>545697.93</f>
        <v>545697.93000000005</v>
      </c>
      <c r="AL47" s="1613">
        <f>(AF47/AF7)</f>
        <v>1.7936206333207404E-3</v>
      </c>
      <c r="AM47" s="1614">
        <f>1994484/1000</f>
        <v>1994.4839999999999</v>
      </c>
      <c r="AN47" s="1615">
        <f>SUM(AO47+AP47)</f>
        <v>2493133.9900000002</v>
      </c>
      <c r="AO47" s="1600">
        <f>(444719.94+865576.84)</f>
        <v>1310296.78</v>
      </c>
      <c r="AP47" s="1615">
        <f>SUM(AQ47:AT47)</f>
        <v>1182837.21</v>
      </c>
      <c r="AQ47" s="1601">
        <f>228789.01+141344.27</f>
        <v>370133.28</v>
      </c>
      <c r="AR47" s="1600">
        <f>251148.17</f>
        <v>251148.17</v>
      </c>
      <c r="AS47" s="1600">
        <f>190594.26</f>
        <v>190594.26</v>
      </c>
      <c r="AT47" s="1600">
        <f>370961.5</f>
        <v>370961.5</v>
      </c>
      <c r="AU47" s="1616">
        <f>SUM(AN47+AG47+Y47+G47)</f>
        <v>14434350.140000001</v>
      </c>
      <c r="AV47" s="1617">
        <f t="shared" si="40"/>
        <v>3.2270034772877978E-4</v>
      </c>
      <c r="AW47" s="1627">
        <f>2079651/1000</f>
        <v>2079.6509999999998</v>
      </c>
      <c r="AX47" s="1619">
        <f t="shared" si="41"/>
        <v>3.9170098217239632E-5</v>
      </c>
    </row>
    <row r="48" spans="1:50" ht="15.75" customHeight="1" x14ac:dyDescent="0.25">
      <c r="A48" s="1648" t="s">
        <v>80</v>
      </c>
      <c r="B48" s="2009" t="s">
        <v>81</v>
      </c>
      <c r="C48" s="2004"/>
      <c r="D48" s="1608">
        <f>+G48+Y48+AG48+AN48</f>
        <v>43302114.449999996</v>
      </c>
      <c r="E48" s="1552">
        <f t="shared" si="34"/>
        <v>43302114.449999996</v>
      </c>
      <c r="F48" s="1447">
        <f t="shared" si="35"/>
        <v>40652.276000000005</v>
      </c>
      <c r="G48" s="1608">
        <f>SUM(H48:W48)</f>
        <v>21313169.960000001</v>
      </c>
      <c r="H48" s="78"/>
      <c r="I48" s="78">
        <f>2103835.17</f>
        <v>2103835.17</v>
      </c>
      <c r="J48" s="78">
        <f>1830196.77+20197.63</f>
        <v>1850394.4</v>
      </c>
      <c r="K48" s="78">
        <f>1232554.17</f>
        <v>1232554.17</v>
      </c>
      <c r="L48" s="78">
        <v>0</v>
      </c>
      <c r="M48" s="1586">
        <f>1617764.56+60000</f>
        <v>1677764.56</v>
      </c>
      <c r="N48" s="78"/>
      <c r="O48" s="78">
        <f>237339.61</f>
        <v>237339.61</v>
      </c>
      <c r="P48" s="78">
        <f>2542026.57</f>
        <v>2542026.5699999998</v>
      </c>
      <c r="Q48" s="78">
        <f>3354318.79+99560.16</f>
        <v>3453878.95</v>
      </c>
      <c r="R48" s="1586">
        <f>500939.08+176088.42</f>
        <v>677027.5</v>
      </c>
      <c r="S48" s="1586">
        <f>1733853.22+176968.38</f>
        <v>1910821.6</v>
      </c>
      <c r="T48" s="1586">
        <f>917815.37+60000</f>
        <v>977815.37</v>
      </c>
      <c r="U48" s="1586">
        <f>1301168.55+9671</f>
        <v>1310839.55</v>
      </c>
      <c r="V48" s="1586">
        <f>2573471.91+331233</f>
        <v>2904704.91</v>
      </c>
      <c r="W48" s="1586">
        <f>382369.79+51797.81</f>
        <v>434167.6</v>
      </c>
      <c r="X48" s="1588">
        <f>20312763/1000</f>
        <v>20312.762999999999</v>
      </c>
      <c r="Y48" s="1561">
        <f>SUM(Z48:AD48)</f>
        <v>8708191.1500000004</v>
      </c>
      <c r="Z48" s="1561">
        <f>730765.68+194940</f>
        <v>925705.68</v>
      </c>
      <c r="AA48" s="1561">
        <f>1107263.46</f>
        <v>1107263.46</v>
      </c>
      <c r="AB48" s="1561">
        <f>2690741.56</f>
        <v>2690741.56</v>
      </c>
      <c r="AC48" s="1561">
        <f>2723182.48</f>
        <v>2723182.48</v>
      </c>
      <c r="AD48" s="1561">
        <f>1261297.97</f>
        <v>1261297.97</v>
      </c>
      <c r="AE48" s="1609">
        <f t="shared" si="38"/>
        <v>4.7422110254267437E-3</v>
      </c>
      <c r="AF48" s="1561">
        <f>8117112/1000</f>
        <v>8117.1120000000001</v>
      </c>
      <c r="AG48" s="1576">
        <f>SUM(AH48:AK48)</f>
        <v>5801351.3700000001</v>
      </c>
      <c r="AH48" s="1611">
        <f>487567.98+178110</f>
        <v>665677.98</v>
      </c>
      <c r="AI48" s="1612">
        <f>2370725.04</f>
        <v>2370725.04</v>
      </c>
      <c r="AJ48" s="1600">
        <f>1127854.57</f>
        <v>1127854.57</v>
      </c>
      <c r="AK48" s="1600">
        <f>1637093.78</f>
        <v>1637093.78</v>
      </c>
      <c r="AL48" s="1613">
        <f>(AF48/AF7)</f>
        <v>5.3808599112524762E-3</v>
      </c>
      <c r="AM48" s="1614">
        <f>5983448/1000</f>
        <v>5983.4480000000003</v>
      </c>
      <c r="AN48" s="1615">
        <f>SUM(AO48+AP48)</f>
        <v>7479401.9699999997</v>
      </c>
      <c r="AO48" s="1600">
        <f>(1334159.83+2596730.51)</f>
        <v>3930890.34</v>
      </c>
      <c r="AP48" s="1615">
        <f>SUM(AQ48:AT48)</f>
        <v>3548511.63</v>
      </c>
      <c r="AQ48" s="1601">
        <f>686367.04+424032.8</f>
        <v>1110399.8400000001</v>
      </c>
      <c r="AR48" s="1600">
        <f>753444.5</f>
        <v>753444.5</v>
      </c>
      <c r="AS48" s="1600">
        <f>571782.78</f>
        <v>571782.78</v>
      </c>
      <c r="AT48" s="1600">
        <f>1112884.51</f>
        <v>1112884.51</v>
      </c>
      <c r="AU48" s="1616">
        <f>SUM(AN48+AG48+Y48+G48)</f>
        <v>43302114.450000003</v>
      </c>
      <c r="AV48" s="1617">
        <f t="shared" si="40"/>
        <v>9.6810039600070592E-4</v>
      </c>
      <c r="AW48" s="1627">
        <f>6238953/1000</f>
        <v>6238.9530000000004</v>
      </c>
      <c r="AX48" s="1619">
        <f t="shared" si="41"/>
        <v>1.1751029465171891E-4</v>
      </c>
    </row>
    <row r="49" spans="1:50" ht="15.75" customHeight="1" x14ac:dyDescent="0.25">
      <c r="A49" s="1648" t="s">
        <v>82</v>
      </c>
      <c r="B49" s="2009" t="s">
        <v>83</v>
      </c>
      <c r="C49" s="2004"/>
      <c r="D49" s="1608">
        <f>+G49+Y49+AG49+AN49</f>
        <v>145518102.67999998</v>
      </c>
      <c r="E49" s="1552">
        <f t="shared" si="34"/>
        <v>145518102.67999998</v>
      </c>
      <c r="F49" s="1447">
        <f t="shared" si="35"/>
        <v>135507.579</v>
      </c>
      <c r="G49" s="1608">
        <f>SUM(H49:W49)</f>
        <v>71043899.849999994</v>
      </c>
      <c r="H49" s="78"/>
      <c r="I49" s="78">
        <f>7012783.91</f>
        <v>7012783.9100000001</v>
      </c>
      <c r="J49" s="78">
        <f>6100655.9+67325.42</f>
        <v>6167981.3200000003</v>
      </c>
      <c r="K49" s="78">
        <f>4108513.91</f>
        <v>4108513.91</v>
      </c>
      <c r="L49" s="78">
        <v>0</v>
      </c>
      <c r="M49" s="1586">
        <f>5392548.53+200000</f>
        <v>5592548.5300000003</v>
      </c>
      <c r="N49" s="78"/>
      <c r="O49" s="78">
        <f>791132.02</f>
        <v>791132.02</v>
      </c>
      <c r="P49" s="78">
        <f>8473421.91</f>
        <v>8473421.9100000001</v>
      </c>
      <c r="Q49" s="78">
        <f>11181062.62+331867.2</f>
        <v>11512929.819999998</v>
      </c>
      <c r="R49" s="1586">
        <f>1669796.94+586961.4</f>
        <v>2256758.34</v>
      </c>
      <c r="S49" s="1586">
        <f>5779510.73+589894.6</f>
        <v>6369405.3300000001</v>
      </c>
      <c r="T49" s="1586">
        <f>3059384.58+200000</f>
        <v>3259384.58</v>
      </c>
      <c r="U49" s="1586">
        <f>4337228.51+32236.65</f>
        <v>4369465.16</v>
      </c>
      <c r="V49" s="1586">
        <f>8578239.68+1104110</f>
        <v>9682349.6799999997</v>
      </c>
      <c r="W49" s="1586">
        <f>1274565.98+172659.36</f>
        <v>1447225.3399999999</v>
      </c>
      <c r="X49" s="1588">
        <f>67709207/1000</f>
        <v>67709.206999999995</v>
      </c>
      <c r="Y49" s="1561">
        <f>SUM(Z49:AD49)</f>
        <v>29027303.789999999</v>
      </c>
      <c r="Z49" s="1561">
        <f>2435885.59+649800</f>
        <v>3085685.59</v>
      </c>
      <c r="AA49" s="1561">
        <f>3690878.19</f>
        <v>3690878.19</v>
      </c>
      <c r="AB49" s="1561">
        <f>8969138.52</f>
        <v>8969138.5199999996</v>
      </c>
      <c r="AC49" s="1561">
        <f>9077274.94</f>
        <v>9077274.9399999995</v>
      </c>
      <c r="AD49" s="1561">
        <f>4204326.55</f>
        <v>4204326.55</v>
      </c>
      <c r="AE49" s="1609">
        <f t="shared" si="38"/>
        <v>1.5807369384376789E-2</v>
      </c>
      <c r="AF49" s="1561">
        <f>27057036/1000</f>
        <v>27057.036</v>
      </c>
      <c r="AG49" s="1576">
        <f>SUM(AH49:AK49)</f>
        <v>20515559.100000001</v>
      </c>
      <c r="AH49" s="1611">
        <f>1625226.61+593700</f>
        <v>2218926.6100000003</v>
      </c>
      <c r="AI49" s="1612">
        <f>7902416.79</f>
        <v>7902416.79</v>
      </c>
      <c r="AJ49" s="1600">
        <f>3759515.25</f>
        <v>3759515.25</v>
      </c>
      <c r="AK49" s="1600">
        <f>5456979.27+1177721.18</f>
        <v>6634700.4499999993</v>
      </c>
      <c r="AL49" s="1613">
        <f>(AF49/AF7)</f>
        <v>1.7936197052561928E-2</v>
      </c>
      <c r="AM49" s="1614">
        <f>19944827/1000</f>
        <v>19944.827000000001</v>
      </c>
      <c r="AN49" s="1615">
        <f>SUM(AO49+AP49)</f>
        <v>24931339.940000001</v>
      </c>
      <c r="AO49" s="1600">
        <f>(4447199.43+8655768.38)</f>
        <v>13102967.810000001</v>
      </c>
      <c r="AP49" s="1615">
        <f>SUM(AQ49:AT49)</f>
        <v>11828372.130000001</v>
      </c>
      <c r="AQ49" s="1601">
        <f>2287890.15+1413442.67</f>
        <v>3701332.82</v>
      </c>
      <c r="AR49" s="1600">
        <f>2511481.68</f>
        <v>2511481.6800000002</v>
      </c>
      <c r="AS49" s="1600">
        <f>1905942.61</f>
        <v>1905942.61</v>
      </c>
      <c r="AT49" s="1600">
        <f>3709615.02</f>
        <v>3709615.02</v>
      </c>
      <c r="AU49" s="1616">
        <f>SUM(AN49+AG49+Y49+G49)</f>
        <v>145518102.68000001</v>
      </c>
      <c r="AV49" s="1617">
        <f t="shared" si="40"/>
        <v>3.227001373934489E-3</v>
      </c>
      <c r="AW49" s="1627">
        <f>20796509/1000</f>
        <v>20796.508999999998</v>
      </c>
      <c r="AX49" s="1619">
        <f t="shared" si="41"/>
        <v>3.9170096333745802E-4</v>
      </c>
    </row>
    <row r="50" spans="1:50" ht="15.75" customHeight="1" x14ac:dyDescent="0.25">
      <c r="A50" s="1648" t="s">
        <v>84</v>
      </c>
      <c r="B50" s="2009" t="s">
        <v>85</v>
      </c>
      <c r="C50" s="2004"/>
      <c r="D50" s="1608">
        <f>+G50+Y50+AG50+AN50</f>
        <v>14435038.540000003</v>
      </c>
      <c r="E50" s="1552">
        <f t="shared" si="34"/>
        <v>14435038.540000003</v>
      </c>
      <c r="F50" s="1447">
        <f t="shared" si="35"/>
        <v>13550.764000000001</v>
      </c>
      <c r="G50" s="1608">
        <f>SUM(H50:W50)</f>
        <v>7105390.040000001</v>
      </c>
      <c r="H50" s="78"/>
      <c r="I50" s="78">
        <f>350639.2+350639.2</f>
        <v>701278.4</v>
      </c>
      <c r="J50" s="78">
        <f>305032.8+305032.8+3366.27+3366.27</f>
        <v>616798.14</v>
      </c>
      <c r="K50" s="78">
        <f>205425.7+205425.7</f>
        <v>410851.4</v>
      </c>
      <c r="L50" s="78">
        <v>0</v>
      </c>
      <c r="M50" s="1586">
        <f>269627.43+269627.43+10000+10000</f>
        <v>559254.86</v>
      </c>
      <c r="N50" s="78"/>
      <c r="O50" s="78">
        <f>39556.6+39556.6</f>
        <v>79113.2</v>
      </c>
      <c r="P50" s="78">
        <f>423671.1+423671.1</f>
        <v>847342.2</v>
      </c>
      <c r="Q50" s="78">
        <f>559053.13+559053.13+16593.36+16593.36</f>
        <v>1151292.9800000002</v>
      </c>
      <c r="R50" s="1586">
        <f>83489.85+83489.85+29348.07+29348.07</f>
        <v>225675.84000000003</v>
      </c>
      <c r="S50" s="1586">
        <f>288975.54+288975.54+29494.73+29494.73</f>
        <v>636940.53999999992</v>
      </c>
      <c r="T50" s="1586">
        <f>152969.23+152969.23+10000+10000</f>
        <v>325938.46000000002</v>
      </c>
      <c r="U50" s="1586">
        <f>216861.43+216861.43+1611.83+1611.83</f>
        <v>436946.52</v>
      </c>
      <c r="V50" s="1586">
        <f>428911.98+428911.98+55205.5+55205.5</f>
        <v>968234.96</v>
      </c>
      <c r="W50" s="1586">
        <f>63728.3+63728.3+8632.97+9632.97</f>
        <v>145722.54</v>
      </c>
      <c r="X50" s="1588">
        <f>6770924/1000</f>
        <v>6770.924</v>
      </c>
      <c r="Y50" s="1561">
        <f>SUM(Z50:AD50)</f>
        <v>2902730.4000000004</v>
      </c>
      <c r="Z50" s="1561">
        <f>121794.28+121794.28+32490+32490</f>
        <v>308568.56</v>
      </c>
      <c r="AA50" s="1561">
        <f>184543.91+184543.91</f>
        <v>369087.82</v>
      </c>
      <c r="AB50" s="1561">
        <f>448456.93+448456.93</f>
        <v>896913.86</v>
      </c>
      <c r="AC50" s="1561">
        <f>453863.75+453863.75</f>
        <v>907727.5</v>
      </c>
      <c r="AD50" s="1561">
        <f>210216.33+210216.33</f>
        <v>420432.66</v>
      </c>
      <c r="AE50" s="1609">
        <f t="shared" si="38"/>
        <v>1.5807377088546029E-3</v>
      </c>
      <c r="AF50" s="1561">
        <f>2705705/1000</f>
        <v>2705.7049999999999</v>
      </c>
      <c r="AG50" s="1576">
        <f>SUM(AH50:AK50)</f>
        <v>1933783.7800000003</v>
      </c>
      <c r="AH50" s="1611">
        <f>81261.33+81261.33+29685+29685</f>
        <v>221892.66</v>
      </c>
      <c r="AI50" s="1612">
        <f>395120.84+395120.84</f>
        <v>790241.68</v>
      </c>
      <c r="AJ50" s="1600">
        <f>187975.76+187975.76</f>
        <v>375951.52</v>
      </c>
      <c r="AK50" s="1600">
        <f>272848.96+272848.96</f>
        <v>545697.92000000004</v>
      </c>
      <c r="AL50" s="1613">
        <f>(AF50/AF7)</f>
        <v>1.7936206333207404E-3</v>
      </c>
      <c r="AM50" s="1614">
        <f>1994484/1000</f>
        <v>1994.4839999999999</v>
      </c>
      <c r="AN50" s="1615">
        <f>SUM(AO50+AP50)</f>
        <v>2493134.3200000003</v>
      </c>
      <c r="AO50" s="1600">
        <f>(222359.97+222359.97+432788.42+432788.42)</f>
        <v>1310296.78</v>
      </c>
      <c r="AP50" s="1615">
        <f>SUM(AQ50:AT50)</f>
        <v>1182837.54</v>
      </c>
      <c r="AQ50" s="1601">
        <f>114394.51+114394.51+70672.3+70672.3</f>
        <v>370133.62</v>
      </c>
      <c r="AR50" s="1600">
        <f>125574.08+125574.08</f>
        <v>251148.16</v>
      </c>
      <c r="AS50" s="1600">
        <f>(95297.13+95297.13)</f>
        <v>190594.26</v>
      </c>
      <c r="AT50" s="1600">
        <f>(185480.75+185480.75)</f>
        <v>370961.5</v>
      </c>
      <c r="AU50" s="1616">
        <f>SUM(AN50+AG50+Y50+G50)</f>
        <v>14435038.540000003</v>
      </c>
      <c r="AV50" s="1617">
        <f t="shared" si="40"/>
        <v>3.2270034772877978E-4</v>
      </c>
      <c r="AW50" s="1627">
        <f>2079651/1000</f>
        <v>2079.6509999999998</v>
      </c>
      <c r="AX50" s="1619">
        <f t="shared" si="41"/>
        <v>3.9170098217239632E-5</v>
      </c>
    </row>
    <row r="51" spans="1:50" ht="15.75" customHeight="1" x14ac:dyDescent="0.25">
      <c r="A51" s="1648"/>
      <c r="B51" s="1624"/>
      <c r="C51" s="1513"/>
      <c r="D51" s="1608"/>
      <c r="E51" s="1552"/>
      <c r="F51" s="1447"/>
      <c r="G51" s="1608"/>
      <c r="H51" s="78"/>
      <c r="I51" s="78"/>
      <c r="J51" s="78"/>
      <c r="K51" s="78"/>
      <c r="L51" s="78"/>
      <c r="M51" s="1586"/>
      <c r="N51" s="78"/>
      <c r="O51" s="78"/>
      <c r="P51" s="78"/>
      <c r="Q51" s="78"/>
      <c r="R51" s="1586"/>
      <c r="S51" s="1586"/>
      <c r="T51" s="1586"/>
      <c r="U51" s="1586"/>
      <c r="V51" s="1586"/>
      <c r="W51" s="1586"/>
      <c r="X51" s="1588"/>
      <c r="Y51" s="1561"/>
      <c r="Z51" s="1561"/>
      <c r="AA51" s="1561"/>
      <c r="AB51" s="1561"/>
      <c r="AC51" s="1561"/>
      <c r="AD51" s="1561"/>
      <c r="AE51" s="1575"/>
      <c r="AF51" s="1561"/>
      <c r="AG51" s="1576">
        <f>SUM(AH51:AJ51)</f>
        <v>0</v>
      </c>
      <c r="AH51" s="1611"/>
      <c r="AI51" s="1612"/>
      <c r="AJ51" s="1600"/>
      <c r="AK51" s="1600"/>
      <c r="AL51" s="1613"/>
      <c r="AM51" s="1614"/>
      <c r="AN51" s="1599"/>
      <c r="AO51" s="1600"/>
      <c r="AP51" s="1599"/>
      <c r="AQ51" s="1601"/>
      <c r="AR51" s="1600"/>
      <c r="AS51" s="1600"/>
      <c r="AT51" s="1600"/>
      <c r="AU51" s="1616"/>
      <c r="AV51" s="1603"/>
      <c r="AW51" s="1627"/>
      <c r="AX51" s="1592"/>
    </row>
    <row r="52" spans="1:50" ht="17.25" customHeight="1" x14ac:dyDescent="0.25">
      <c r="A52" s="1649" t="s">
        <v>86</v>
      </c>
      <c r="B52" s="2013" t="s">
        <v>87</v>
      </c>
      <c r="C52" s="2016"/>
      <c r="D52" s="1573">
        <f>SUM(D53:D56)</f>
        <v>387426248.05000001</v>
      </c>
      <c r="E52" s="1572">
        <f t="shared" ref="E52:E59" si="42">SUM(G52+Y52+AG52+AN52)</f>
        <v>387426248.04999995</v>
      </c>
      <c r="F52" s="1495">
        <f>+X52+AF52+AM52+AW52</f>
        <v>368038.69300000003</v>
      </c>
      <c r="G52" s="1573">
        <f t="shared" ref="G52:W52" si="43">SUM(G53:G56)</f>
        <v>190671827.13</v>
      </c>
      <c r="H52" s="1573">
        <f t="shared" si="43"/>
        <v>0</v>
      </c>
      <c r="I52" s="1573">
        <f t="shared" si="43"/>
        <v>18822311.990000002</v>
      </c>
      <c r="J52" s="1573">
        <f t="shared" si="43"/>
        <v>16554861.859999999</v>
      </c>
      <c r="K52" s="1573">
        <f t="shared" si="43"/>
        <v>11027251.34</v>
      </c>
      <c r="L52" s="1573">
        <f t="shared" si="43"/>
        <v>0</v>
      </c>
      <c r="M52" s="1573">
        <f t="shared" si="43"/>
        <v>15010400.27</v>
      </c>
      <c r="N52" s="1573">
        <f t="shared" si="43"/>
        <v>0</v>
      </c>
      <c r="O52" s="1573">
        <f t="shared" si="43"/>
        <v>2123398.34</v>
      </c>
      <c r="P52" s="1573">
        <f t="shared" si="43"/>
        <v>22742664.389999997</v>
      </c>
      <c r="Q52" s="1573">
        <f t="shared" si="43"/>
        <v>30900703.609999999</v>
      </c>
      <c r="R52" s="1573">
        <f t="shared" si="43"/>
        <v>6057139.3700000001</v>
      </c>
      <c r="S52" s="1573">
        <f t="shared" si="43"/>
        <v>17095483.899999999</v>
      </c>
      <c r="T52" s="1573">
        <f t="shared" si="43"/>
        <v>8738188.2100000009</v>
      </c>
      <c r="U52" s="1573">
        <f t="shared" si="43"/>
        <v>11727644.470000001</v>
      </c>
      <c r="V52" s="1573">
        <f t="shared" si="43"/>
        <v>25987426.560000002</v>
      </c>
      <c r="W52" s="1573">
        <f t="shared" si="43"/>
        <v>3884352.8200000003</v>
      </c>
      <c r="X52" s="1628">
        <f>+X53+X54+X55+X56</f>
        <v>183898.21400000001</v>
      </c>
      <c r="Y52" s="1576">
        <f t="shared" ref="Y52:AD52" si="44">SUM(Y53:Y57)</f>
        <v>77909283.379999995</v>
      </c>
      <c r="Z52" s="1576">
        <f t="shared" si="44"/>
        <v>8281980.1299999999</v>
      </c>
      <c r="AA52" s="1576">
        <f t="shared" si="44"/>
        <v>9906317.0600000005</v>
      </c>
      <c r="AB52" s="1576">
        <f t="shared" si="44"/>
        <v>24073167.789999999</v>
      </c>
      <c r="AC52" s="1576">
        <f t="shared" si="44"/>
        <v>24363405.93</v>
      </c>
      <c r="AD52" s="1576">
        <f t="shared" si="44"/>
        <v>11284412.470000001</v>
      </c>
      <c r="AE52" s="1575">
        <f>X52/$X$7</f>
        <v>4.2932817066151312E-2</v>
      </c>
      <c r="AF52" s="1557">
        <f>+AF53+AF54+AF55+AF56</f>
        <v>73487.012000000002</v>
      </c>
      <c r="AG52" s="1576">
        <f>SUM(AG53:AG56)</f>
        <v>51929421.149999999</v>
      </c>
      <c r="AH52" s="1629">
        <f>SUM(AH53:AH57)</f>
        <v>5955599.0300000003</v>
      </c>
      <c r="AI52" s="1576">
        <f>SUM(AI53:AI57)</f>
        <v>21210086.66</v>
      </c>
      <c r="AJ52" s="1597">
        <f>SUM(AJ53:AJ56)</f>
        <v>10117203.1</v>
      </c>
      <c r="AK52" s="1597">
        <f>SUM(AK53:AK56)</f>
        <v>14646532.359999999</v>
      </c>
      <c r="AL52" s="1577">
        <f>(AF52/AF7)</f>
        <v>4.8714778959379847E-2</v>
      </c>
      <c r="AM52" s="1598">
        <f>+AM53+AM54+AM55+AM56</f>
        <v>54170.151000000005</v>
      </c>
      <c r="AN52" s="1599">
        <f t="shared" ref="AN52:AU52" si="45">SUM(AN53:AN56)</f>
        <v>66915716.390000001</v>
      </c>
      <c r="AO52" s="1600">
        <f t="shared" si="45"/>
        <v>35168365.609999999</v>
      </c>
      <c r="AP52" s="1599">
        <f t="shared" si="45"/>
        <v>31747350.780000005</v>
      </c>
      <c r="AQ52" s="1601">
        <f t="shared" si="45"/>
        <v>9934377.2800000012</v>
      </c>
      <c r="AR52" s="1600">
        <f t="shared" si="45"/>
        <v>6740816.8300000001</v>
      </c>
      <c r="AS52" s="1600">
        <f t="shared" si="45"/>
        <v>5115549.9700000007</v>
      </c>
      <c r="AT52" s="1600">
        <f t="shared" si="45"/>
        <v>9956606.6999999993</v>
      </c>
      <c r="AU52" s="1602">
        <f t="shared" si="45"/>
        <v>387426248.05000001</v>
      </c>
      <c r="AV52" s="1603">
        <f>AM52/$AM$7</f>
        <v>8.7645358720453547E-3</v>
      </c>
      <c r="AW52" s="1631">
        <f>+AW53+AW54+AW55+AW56</f>
        <v>56483.316000000006</v>
      </c>
      <c r="AX52" s="1592">
        <f>AW52/$AW$7</f>
        <v>1.0638597703919472E-3</v>
      </c>
    </row>
    <row r="53" spans="1:50" ht="15.75" customHeight="1" x14ac:dyDescent="0.25">
      <c r="A53" s="1520" t="s">
        <v>88</v>
      </c>
      <c r="B53" s="2009" t="s">
        <v>89</v>
      </c>
      <c r="C53" s="2004"/>
      <c r="D53" s="1608">
        <f>+G53+Y53+AG53+AN53</f>
        <v>142030935.37</v>
      </c>
      <c r="E53" s="1552">
        <f t="shared" si="42"/>
        <v>142030935.37</v>
      </c>
      <c r="F53" s="1447">
        <f>+X53+AF53+AM53+AW53</f>
        <v>137675.701</v>
      </c>
      <c r="G53" s="1608">
        <f>SUM(H53:W53)</f>
        <v>69907197.430000007</v>
      </c>
      <c r="H53" s="1103"/>
      <c r="I53" s="1103">
        <f>6900579.36</f>
        <v>6900579.3600000003</v>
      </c>
      <c r="J53" s="1103">
        <f>6003045.41+66248.21</f>
        <v>6069293.6200000001</v>
      </c>
      <c r="K53" s="1103">
        <f>4042777.69</f>
        <v>4042777.69</v>
      </c>
      <c r="L53" s="78">
        <v>0</v>
      </c>
      <c r="M53" s="1586">
        <f>5306267.76+196800</f>
        <v>5503067.7599999998</v>
      </c>
      <c r="N53" s="1103"/>
      <c r="O53" s="1103">
        <f>778473.91</f>
        <v>778473.91</v>
      </c>
      <c r="P53" s="78">
        <f>8337847.16</f>
        <v>8337847.1600000001</v>
      </c>
      <c r="Q53" s="1103">
        <f>11002165.62+326557.32</f>
        <v>11328722.939999999</v>
      </c>
      <c r="R53" s="1586">
        <f>1643080.18+577570.02</f>
        <v>2220650.2000000002</v>
      </c>
      <c r="S53" s="1586">
        <f>5687038.55+580456.29</f>
        <v>6267494.8399999999</v>
      </c>
      <c r="T53" s="1586">
        <f>3010434.42+196800</f>
        <v>3207234.42</v>
      </c>
      <c r="U53" s="1586">
        <f>4267832.85+31720.86</f>
        <v>4299553.71</v>
      </c>
      <c r="V53" s="1586">
        <f>8440987.85+1086444.24</f>
        <v>9527432.0899999999</v>
      </c>
      <c r="W53" s="1586">
        <f>1254172.92+169896.81</f>
        <v>1424069.73</v>
      </c>
      <c r="X53" s="1588">
        <f>68792557/1000</f>
        <v>68792.557000000001</v>
      </c>
      <c r="Y53" s="1561">
        <f>SUM(Z53:AD53)</f>
        <v>28562866.939999998</v>
      </c>
      <c r="Z53" s="1561">
        <f>2396911.42+639403.2</f>
        <v>3036314.62</v>
      </c>
      <c r="AA53" s="1561">
        <f>3631824.14</f>
        <v>3631824.14</v>
      </c>
      <c r="AB53" s="1561">
        <f>8825632.31</f>
        <v>8825632.3100000005</v>
      </c>
      <c r="AC53" s="1561">
        <f>8932038.54</f>
        <v>8932038.5399999991</v>
      </c>
      <c r="AD53" s="1561">
        <f>4137057.33</f>
        <v>4137057.33</v>
      </c>
      <c r="AE53" s="1609">
        <f>X53/$X$7</f>
        <v>1.6060287922066423E-2</v>
      </c>
      <c r="AF53" s="1610">
        <f>27489949/1000</f>
        <v>27489.949000000001</v>
      </c>
      <c r="AG53" s="1576">
        <f>SUM(AH53:AK53)</f>
        <v>19028432.509999998</v>
      </c>
      <c r="AH53" s="1611">
        <f>1599222.99+584200.8</f>
        <v>2183423.79</v>
      </c>
      <c r="AI53" s="1612">
        <f>7775978.12</f>
        <v>7775978.1200000001</v>
      </c>
      <c r="AJ53" s="1600">
        <f>3699363</f>
        <v>3699363</v>
      </c>
      <c r="AK53" s="1600">
        <f>5369667.6</f>
        <v>5369667.5999999996</v>
      </c>
      <c r="AL53" s="1613">
        <f>(AF53/AF7)</f>
        <v>1.8223176486473897E-2</v>
      </c>
      <c r="AM53" s="1614">
        <f>20263944/1000</f>
        <v>20263.944</v>
      </c>
      <c r="AN53" s="1615">
        <f>SUM(AO53+AP53)</f>
        <v>24532438.490000002</v>
      </c>
      <c r="AO53" s="1600">
        <f>(4376044.24+8517276.08)</f>
        <v>12893320.32</v>
      </c>
      <c r="AP53" s="1615">
        <f>SUM(AQ53:AT53)</f>
        <v>11639118.170000002</v>
      </c>
      <c r="AQ53" s="1601">
        <f>2251283.9+1390827.59</f>
        <v>3642111.49</v>
      </c>
      <c r="AR53" s="1600">
        <f>2471297.97</f>
        <v>2471297.9700000002</v>
      </c>
      <c r="AS53" s="1600">
        <f>1875447.53</f>
        <v>1875447.53</v>
      </c>
      <c r="AT53" s="1600">
        <f>3650261.18</f>
        <v>3650261.18</v>
      </c>
      <c r="AU53" s="1616">
        <f>SUM(AN53+AG53+Y53+G53)</f>
        <v>142030935.37</v>
      </c>
      <c r="AV53" s="1617">
        <f>AM53/$AM$7</f>
        <v>3.2786333583806741E-3</v>
      </c>
      <c r="AW53" s="1627">
        <f>21129251/1000</f>
        <v>21129.251</v>
      </c>
      <c r="AX53" s="1619">
        <f>AW53/$AW$7</f>
        <v>3.9796813836874974E-4</v>
      </c>
    </row>
    <row r="54" spans="1:50" ht="15.75" customHeight="1" x14ac:dyDescent="0.25">
      <c r="A54" s="1520" t="s">
        <v>474</v>
      </c>
      <c r="B54" s="1624" t="s">
        <v>475</v>
      </c>
      <c r="C54" s="1513"/>
      <c r="D54" s="1608">
        <f>+G54+Y54+AG54+AN54</f>
        <v>14450702.300000001</v>
      </c>
      <c r="E54" s="1552">
        <f t="shared" si="42"/>
        <v>14450702.300000001</v>
      </c>
      <c r="F54" s="1447">
        <f>+X54+AF54+AM54+AW54</f>
        <v>40652.276000000005</v>
      </c>
      <c r="G54" s="1608">
        <f>SUM(H54:W54)</f>
        <v>7094389.96</v>
      </c>
      <c r="H54" s="1103"/>
      <c r="I54" s="1103">
        <f>701278.39</f>
        <v>701278.39</v>
      </c>
      <c r="J54" s="1103">
        <f>610065.59+6732.54</f>
        <v>616798.13</v>
      </c>
      <c r="K54" s="1103">
        <f>410851.39</f>
        <v>410851.39</v>
      </c>
      <c r="L54" s="78">
        <v>0</v>
      </c>
      <c r="M54" s="1586">
        <f>539254.85+20000</f>
        <v>559254.85</v>
      </c>
      <c r="N54" s="1103"/>
      <c r="O54" s="1103">
        <f>79113.2</f>
        <v>79113.2</v>
      </c>
      <c r="P54" s="78">
        <f>847342.19</f>
        <v>847342.19</v>
      </c>
      <c r="Q54" s="1103">
        <f>1118106.26+33186.7</f>
        <v>1151292.96</v>
      </c>
      <c r="R54" s="1586">
        <f>166979.69+58696.14</f>
        <v>225675.83000000002</v>
      </c>
      <c r="S54" s="1586">
        <f>577951.07+58989.46</f>
        <v>636940.52999999991</v>
      </c>
      <c r="T54" s="1586">
        <f>305938.46+10000</f>
        <v>315938.46000000002</v>
      </c>
      <c r="U54" s="1586">
        <f>433722.85+3223.67</f>
        <v>436946.51999999996</v>
      </c>
      <c r="V54" s="1586">
        <f>857823.97+110411</f>
        <v>968234.97</v>
      </c>
      <c r="W54" s="1586">
        <f>127456.6+17265.94</f>
        <v>144722.54</v>
      </c>
      <c r="X54" s="1588">
        <f>20312763/1000</f>
        <v>20312.762999999999</v>
      </c>
      <c r="Y54" s="1561">
        <f>SUM(Z54:AD54)</f>
        <v>2902730.38</v>
      </c>
      <c r="Z54" s="1561">
        <f>243588.56+64980</f>
        <v>308568.56</v>
      </c>
      <c r="AA54" s="1561">
        <f>369087.82</f>
        <v>369087.82</v>
      </c>
      <c r="AB54" s="1561">
        <f>896913.85</f>
        <v>896913.85</v>
      </c>
      <c r="AC54" s="1561">
        <f>907727.49</f>
        <v>907727.49</v>
      </c>
      <c r="AD54" s="1561">
        <f>420432.66</f>
        <v>420432.66</v>
      </c>
      <c r="AE54" s="1609">
        <f>X54/$X$7</f>
        <v>4.7422110254267437E-3</v>
      </c>
      <c r="AF54" s="1561">
        <f>8117112/1000</f>
        <v>8117.1120000000001</v>
      </c>
      <c r="AG54" s="1576">
        <f>SUM(AH54:AK54)</f>
        <v>1960447.9700000002</v>
      </c>
      <c r="AH54" s="1611">
        <f>162522.66+59370</f>
        <v>221892.66</v>
      </c>
      <c r="AI54" s="1612">
        <f>790241.68</f>
        <v>790241.68</v>
      </c>
      <c r="AJ54" s="1600">
        <f>375951.52+26664.18</f>
        <v>402615.7</v>
      </c>
      <c r="AK54" s="1600">
        <f>545697.93</f>
        <v>545697.93000000005</v>
      </c>
      <c r="AL54" s="1613">
        <f>(AF54/AF7)</f>
        <v>5.3808599112524762E-3</v>
      </c>
      <c r="AM54" s="1614">
        <f>5983448/1000</f>
        <v>5983.4480000000003</v>
      </c>
      <c r="AN54" s="1615">
        <f>SUM(AO54+AP54)</f>
        <v>2493133.9900000002</v>
      </c>
      <c r="AO54" s="1600">
        <f>(444719.94+865576.84)</f>
        <v>1310296.78</v>
      </c>
      <c r="AP54" s="1615">
        <f>SUM(AQ54:AT54)</f>
        <v>1182837.21</v>
      </c>
      <c r="AQ54" s="1601">
        <f>228789.01+141344.27</f>
        <v>370133.28</v>
      </c>
      <c r="AR54" s="1600">
        <f>251148.17</f>
        <v>251148.17</v>
      </c>
      <c r="AS54" s="1600">
        <f>190594.26</f>
        <v>190594.26</v>
      </c>
      <c r="AT54" s="1600">
        <f>370961.5</f>
        <v>370961.5</v>
      </c>
      <c r="AU54" s="1616">
        <f>SUM(AN54+AG54+Y54+G54)</f>
        <v>14450702.300000001</v>
      </c>
      <c r="AV54" s="1617">
        <f>AM54/$AM$7</f>
        <v>9.6810039600070592E-4</v>
      </c>
      <c r="AW54" s="1627">
        <f>6238953/1000</f>
        <v>6238.9530000000004</v>
      </c>
      <c r="AX54" s="1619">
        <f>AW54/$AW$7</f>
        <v>1.1751029465171891E-4</v>
      </c>
    </row>
    <row r="55" spans="1:50" ht="15.75" customHeight="1" x14ac:dyDescent="0.25">
      <c r="A55" s="1520" t="s">
        <v>90</v>
      </c>
      <c r="B55" s="2009" t="s">
        <v>91</v>
      </c>
      <c r="C55" s="2004"/>
      <c r="D55" s="1608">
        <f>+G55+Y55+AG55+AN55</f>
        <v>86604228.890000001</v>
      </c>
      <c r="E55" s="1552">
        <f t="shared" si="42"/>
        <v>86604228.890000001</v>
      </c>
      <c r="F55" s="1447">
        <f>+X55+AF55+AM55+AW55</f>
        <v>81304.551000000007</v>
      </c>
      <c r="G55" s="1608">
        <f>SUM(H55:W55)</f>
        <v>42626339.900000006</v>
      </c>
      <c r="H55" s="1103"/>
      <c r="I55" s="1103">
        <f>4207670.34</f>
        <v>4207670.34</v>
      </c>
      <c r="J55" s="1103">
        <f>3660393.54+40395.25</f>
        <v>3700788.79</v>
      </c>
      <c r="K55" s="1103">
        <f>2465108.35</f>
        <v>2465108.35</v>
      </c>
      <c r="L55" s="78">
        <v>0</v>
      </c>
      <c r="M55" s="1586">
        <f>3235529.12+120000</f>
        <v>3355529.12</v>
      </c>
      <c r="N55" s="1103"/>
      <c r="O55" s="1103">
        <f>474679.21</f>
        <v>474679.21</v>
      </c>
      <c r="P55" s="78">
        <f>5084053.14</f>
        <v>5084053.1399999997</v>
      </c>
      <c r="Q55" s="1103">
        <f>6708637.57+199120.32</f>
        <v>6907757.8900000006</v>
      </c>
      <c r="R55" s="1586">
        <f>1001878.16+352176.84</f>
        <v>1354055</v>
      </c>
      <c r="S55" s="1586">
        <f>3467706.44+353936.76</f>
        <v>3821643.2</v>
      </c>
      <c r="T55" s="1586">
        <f>1835630.75+120000</f>
        <v>1955630.75</v>
      </c>
      <c r="U55" s="1586">
        <f>2602337.1+19341.99</f>
        <v>2621679.0900000003</v>
      </c>
      <c r="V55" s="1586">
        <f>5146943.81+662466</f>
        <v>5809409.8099999996</v>
      </c>
      <c r="W55" s="1586">
        <f>764739.59+103595.62</f>
        <v>868335.21</v>
      </c>
      <c r="X55" s="1588">
        <f>40625527/1000</f>
        <v>40625.527000000002</v>
      </c>
      <c r="Y55" s="1561">
        <f>SUM(Z55:AD55)</f>
        <v>17416382.27</v>
      </c>
      <c r="Z55" s="1561">
        <f>1461531.36+389880</f>
        <v>1851411.36</v>
      </c>
      <c r="AA55" s="1561">
        <f>2214526.91</f>
        <v>2214526.91</v>
      </c>
      <c r="AB55" s="1561">
        <f>5381483.11</f>
        <v>5381483.1100000003</v>
      </c>
      <c r="AC55" s="1561">
        <f>5446364.96</f>
        <v>5446364.96</v>
      </c>
      <c r="AD55" s="1561">
        <f>2522595.93</f>
        <v>2522595.9300000002</v>
      </c>
      <c r="AE55" s="1609">
        <f>X55/$X$7</f>
        <v>9.4844222843131626E-3</v>
      </c>
      <c r="AF55" s="1561">
        <f>16234222/1000</f>
        <v>16234.222</v>
      </c>
      <c r="AG55" s="1576">
        <f>SUM(AH55:AK55)</f>
        <v>11602702.75</v>
      </c>
      <c r="AH55" s="1650">
        <f>975135.97+356220</f>
        <v>1331355.97</v>
      </c>
      <c r="AI55" s="1651">
        <f>4741450.07</f>
        <v>4741450.07</v>
      </c>
      <c r="AJ55" s="1600">
        <f>2255709.15</f>
        <v>2255709.15</v>
      </c>
      <c r="AK55" s="1600">
        <f>3274187.56</f>
        <v>3274187.56</v>
      </c>
      <c r="AL55" s="1613">
        <f>(AF55/AF7)</f>
        <v>1.0761718496698457E-2</v>
      </c>
      <c r="AM55" s="1614">
        <f>11966897/1000</f>
        <v>11966.897000000001</v>
      </c>
      <c r="AN55" s="1615">
        <f>SUM(AO55+AP55)</f>
        <v>14958803.970000001</v>
      </c>
      <c r="AO55" s="1600">
        <f>(2668319.66+5193461.03)</f>
        <v>7861780.6900000004</v>
      </c>
      <c r="AP55" s="1615">
        <f>SUM(AQ55:AT55)</f>
        <v>7097023.2800000003</v>
      </c>
      <c r="AQ55" s="1601">
        <f>1372734.09+848065.6</f>
        <v>2220799.69</v>
      </c>
      <c r="AR55" s="1600">
        <f>1506889.01</f>
        <v>1506889.01</v>
      </c>
      <c r="AS55" s="1600">
        <f>1143565.57</f>
        <v>1143565.57</v>
      </c>
      <c r="AT55" s="1600">
        <f>2225769.01</f>
        <v>2225769.0099999998</v>
      </c>
      <c r="AU55" s="1616">
        <f>SUM(AN55+AG55+Y55+G55)</f>
        <v>86604228.890000001</v>
      </c>
      <c r="AV55" s="1617">
        <f>AM55/$AM$7</f>
        <v>1.9362009537978201E-3</v>
      </c>
      <c r="AW55" s="1627">
        <f>12477905/1000</f>
        <v>12477.905000000001</v>
      </c>
      <c r="AX55" s="1619">
        <f>AW55/$AW$7</f>
        <v>2.3502057046849954E-4</v>
      </c>
    </row>
    <row r="56" spans="1:50" s="1434" customFormat="1" ht="15.75" customHeight="1" x14ac:dyDescent="0.25">
      <c r="A56" s="1652" t="s">
        <v>92</v>
      </c>
      <c r="B56" s="2009" t="s">
        <v>93</v>
      </c>
      <c r="C56" s="2004"/>
      <c r="D56" s="1608">
        <f>+G56+Y56+AG56+AN56</f>
        <v>144340381.49000001</v>
      </c>
      <c r="E56" s="1552">
        <f t="shared" si="42"/>
        <v>144340381.49000001</v>
      </c>
      <c r="F56" s="1447">
        <f>+X56+AF56+AM56+AW56</f>
        <v>108406.16499999998</v>
      </c>
      <c r="G56" s="1608">
        <f>SUM(H56:W56)</f>
        <v>71043899.840000004</v>
      </c>
      <c r="H56" s="1653"/>
      <c r="I56" s="78">
        <f>1402556.78+5610227.12</f>
        <v>7012783.9000000004</v>
      </c>
      <c r="J56" s="78">
        <f>1220131.18+4880524.72+13465.08+53860.34</f>
        <v>6167981.3199999994</v>
      </c>
      <c r="K56" s="78">
        <f>821702.78+3286811.13</f>
        <v>4108513.91</v>
      </c>
      <c r="L56" s="78">
        <v>0</v>
      </c>
      <c r="M56" s="1586">
        <f>1078509.71+4314038.83+40000+160000</f>
        <v>5592548.54</v>
      </c>
      <c r="N56" s="78"/>
      <c r="O56" s="78">
        <f>158226.4+632905.62</f>
        <v>791132.02</v>
      </c>
      <c r="P56" s="78">
        <f>1694684.38+6778737.52</f>
        <v>8473421.8999999985</v>
      </c>
      <c r="Q56" s="78">
        <f>2236212.52+8944850.1+66373.44+265493.76</f>
        <v>11512929.819999998</v>
      </c>
      <c r="R56" s="1586">
        <f>333959.39+1335837.55+117392.28+469569.12</f>
        <v>2256758.34</v>
      </c>
      <c r="S56" s="1586">
        <f>1155902.15+4623608.58+117978.92+471915.68</f>
        <v>6369405.3300000001</v>
      </c>
      <c r="T56" s="1586">
        <f>2447507.66+611876.92+40000+160000</f>
        <v>3259384.58</v>
      </c>
      <c r="U56" s="1586">
        <f>867445.7+3469782.8+6447.33+25789.32</f>
        <v>4369465.1500000004</v>
      </c>
      <c r="V56" s="1586">
        <f>1715647.94+6862591.75+220822+883288</f>
        <v>9682349.6899999995</v>
      </c>
      <c r="W56" s="1586">
        <f>254913.2+1019652.78+34531.87+138127.49</f>
        <v>1447225.34</v>
      </c>
      <c r="X56" s="1588">
        <f>54167367/1000</f>
        <v>54167.366999999998</v>
      </c>
      <c r="Y56" s="1561">
        <f>SUM(Z56:AD56)</f>
        <v>29027303.789999999</v>
      </c>
      <c r="Z56" s="1561">
        <f>487177.12+1948708.47+129960+519840</f>
        <v>3085685.59</v>
      </c>
      <c r="AA56" s="1561">
        <f>738175.64+2952702.55</f>
        <v>3690878.19</v>
      </c>
      <c r="AB56" s="1561">
        <f>1793827.7+7175310.82</f>
        <v>8969138.5199999996</v>
      </c>
      <c r="AC56" s="1561">
        <f>1815454.99+7261819.95</f>
        <v>9077274.9399999995</v>
      </c>
      <c r="AD56" s="1561">
        <f>840865.31+3363461.24</f>
        <v>4204326.5500000007</v>
      </c>
      <c r="AE56" s="1609">
        <f>X56/$X$7</f>
        <v>1.2645895834344976E-2</v>
      </c>
      <c r="AF56" s="1561">
        <f>21645729/1000</f>
        <v>21645.728999999999</v>
      </c>
      <c r="AG56" s="1576">
        <f>SUM(AH56:AK56)</f>
        <v>19337837.920000002</v>
      </c>
      <c r="AH56" s="1611">
        <f>325045.32+1300181.29+118740+474960</f>
        <v>2218926.6100000003</v>
      </c>
      <c r="AI56" s="1612">
        <f>1580483.36+6321933.43</f>
        <v>7902416.79</v>
      </c>
      <c r="AJ56" s="1600">
        <f>751903.05+3007612.2</f>
        <v>3759515.25</v>
      </c>
      <c r="AK56" s="1600">
        <f>1091395.85+4365583.42</f>
        <v>5456979.2699999996</v>
      </c>
      <c r="AL56" s="1613">
        <f>(AF56/AF7)</f>
        <v>1.4349024064955017E-2</v>
      </c>
      <c r="AM56" s="1614">
        <f>15955862/1000</f>
        <v>15955.861999999999</v>
      </c>
      <c r="AN56" s="1615">
        <f>SUM(AO56+AP56)</f>
        <v>24931339.940000001</v>
      </c>
      <c r="AO56" s="1600">
        <f>(889439.89+1731153.68+3557759.55+6924614.7)</f>
        <v>13102967.82</v>
      </c>
      <c r="AP56" s="1615">
        <f>SUM(AQ56:AT56)</f>
        <v>11828372.120000001</v>
      </c>
      <c r="AQ56" s="1601">
        <f>457578.03+1830312.12+282688.53+1130754.14</f>
        <v>3701332.8200000003</v>
      </c>
      <c r="AR56" s="1600">
        <f>502296.34+2009185.34</f>
        <v>2511481.6800000002</v>
      </c>
      <c r="AS56" s="1600">
        <f>(381188.52+1524754.09)</f>
        <v>1905942.61</v>
      </c>
      <c r="AT56" s="1600">
        <f>(741923+2967692.01)</f>
        <v>3709615.01</v>
      </c>
      <c r="AU56" s="1616">
        <f>SUM(AN56+AG56+Y56+G56)</f>
        <v>144340381.49000001</v>
      </c>
      <c r="AV56" s="1617">
        <f>AM56/$AM$7</f>
        <v>2.5816011638661544E-3</v>
      </c>
      <c r="AW56" s="1627">
        <f>16637207/1000</f>
        <v>16637.206999999999</v>
      </c>
      <c r="AX56" s="1619">
        <f>AW56/$AW$7</f>
        <v>3.1336076690297878E-4</v>
      </c>
    </row>
    <row r="57" spans="1:50" ht="15.75" customHeight="1" x14ac:dyDescent="0.25">
      <c r="A57" s="1654"/>
      <c r="B57" s="1624"/>
      <c r="C57" s="1513"/>
      <c r="D57" s="1608"/>
      <c r="E57" s="1552">
        <f t="shared" si="42"/>
        <v>0</v>
      </c>
      <c r="F57" s="1447"/>
      <c r="G57" s="1608"/>
      <c r="H57" s="1653"/>
      <c r="I57" s="1653"/>
      <c r="J57" s="1653"/>
      <c r="K57" s="1653"/>
      <c r="L57" s="78"/>
      <c r="M57" s="1586"/>
      <c r="N57" s="1653"/>
      <c r="O57" s="1653"/>
      <c r="P57" s="78"/>
      <c r="Q57" s="1653"/>
      <c r="R57" s="1586"/>
      <c r="S57" s="1586"/>
      <c r="T57" s="1586"/>
      <c r="U57" s="1586"/>
      <c r="V57" s="1586"/>
      <c r="W57" s="1586"/>
      <c r="X57" s="1588"/>
      <c r="Y57" s="1561"/>
      <c r="Z57" s="1561"/>
      <c r="AA57" s="1561"/>
      <c r="AB57" s="1561"/>
      <c r="AC57" s="1561"/>
      <c r="AD57" s="1561"/>
      <c r="AE57" s="1575"/>
      <c r="AF57" s="1561"/>
      <c r="AG57" s="1576">
        <f>SUM(AH57:AJ57)</f>
        <v>0</v>
      </c>
      <c r="AH57" s="1611"/>
      <c r="AI57" s="1612"/>
      <c r="AJ57" s="1600"/>
      <c r="AK57" s="1600"/>
      <c r="AL57" s="1613"/>
      <c r="AM57" s="1614"/>
      <c r="AN57" s="1599"/>
      <c r="AO57" s="1600"/>
      <c r="AP57" s="1599"/>
      <c r="AQ57" s="1601"/>
      <c r="AR57" s="1600"/>
      <c r="AS57" s="1600"/>
      <c r="AT57" s="1600"/>
      <c r="AU57" s="1616"/>
      <c r="AV57" s="1603"/>
      <c r="AW57" s="1627"/>
      <c r="AX57" s="1592"/>
    </row>
    <row r="58" spans="1:50" hidden="1" x14ac:dyDescent="0.25">
      <c r="A58" s="1655" t="s">
        <v>371</v>
      </c>
      <c r="B58" s="1656" t="s">
        <v>94</v>
      </c>
      <c r="C58" s="1513"/>
      <c r="D58" s="1573">
        <f>SUM(D59)</f>
        <v>0</v>
      </c>
      <c r="E58" s="1572">
        <f t="shared" si="42"/>
        <v>0</v>
      </c>
      <c r="F58" s="1447">
        <f t="shared" ref="F58:F63" si="46">+X58+AF58+AM58+AW58</f>
        <v>0</v>
      </c>
      <c r="G58" s="1573">
        <f>+G59</f>
        <v>0</v>
      </c>
      <c r="H58" s="78"/>
      <c r="I58" s="78"/>
      <c r="J58" s="78"/>
      <c r="K58" s="78"/>
      <c r="L58" s="78"/>
      <c r="M58" s="1657"/>
      <c r="N58" s="78"/>
      <c r="O58" s="78"/>
      <c r="P58" s="78"/>
      <c r="Q58" s="78"/>
      <c r="R58" s="1657">
        <f t="shared" ref="R58:W58" si="47">+R59</f>
        <v>0</v>
      </c>
      <c r="S58" s="1657">
        <f t="shared" si="47"/>
        <v>0</v>
      </c>
      <c r="T58" s="1657">
        <f t="shared" si="47"/>
        <v>0</v>
      </c>
      <c r="U58" s="1657">
        <f t="shared" si="47"/>
        <v>0</v>
      </c>
      <c r="V58" s="1657">
        <f t="shared" si="47"/>
        <v>0</v>
      </c>
      <c r="W58" s="1657">
        <f t="shared" si="47"/>
        <v>0</v>
      </c>
      <c r="X58" s="1628">
        <f>G58/1000</f>
        <v>0</v>
      </c>
      <c r="Y58" s="1561"/>
      <c r="Z58" s="1561"/>
      <c r="AA58" s="1561"/>
      <c r="AB58" s="1561"/>
      <c r="AC58" s="1561"/>
      <c r="AD58" s="1561"/>
      <c r="AE58" s="1575"/>
      <c r="AF58" s="1557">
        <f>Y58/1000</f>
        <v>0</v>
      </c>
      <c r="AG58" s="1576">
        <f>SUM(AH58:AJ58)</f>
        <v>0</v>
      </c>
      <c r="AH58" s="1611"/>
      <c r="AI58" s="1612"/>
      <c r="AJ58" s="1658"/>
      <c r="AK58" s="1658"/>
      <c r="AL58" s="1613"/>
      <c r="AM58" s="1598">
        <f>AG58/1000</f>
        <v>0</v>
      </c>
      <c r="AN58" s="1562"/>
      <c r="AO58" s="1612">
        <f t="shared" ref="AO58:AT58" si="48">+AO59</f>
        <v>0</v>
      </c>
      <c r="AP58" s="1659">
        <f t="shared" si="48"/>
        <v>0</v>
      </c>
      <c r="AQ58" s="1611">
        <f t="shared" si="48"/>
        <v>0</v>
      </c>
      <c r="AR58" s="1612">
        <f t="shared" si="48"/>
        <v>0</v>
      </c>
      <c r="AS58" s="1612">
        <f t="shared" si="48"/>
        <v>0</v>
      </c>
      <c r="AT58" s="1612">
        <f t="shared" si="48"/>
        <v>0</v>
      </c>
      <c r="AU58" s="1463"/>
      <c r="AV58" s="1603"/>
      <c r="AW58" s="1627"/>
      <c r="AX58" s="1592"/>
    </row>
    <row r="59" spans="1:50" hidden="1" x14ac:dyDescent="0.25">
      <c r="A59" s="1660" t="s">
        <v>95</v>
      </c>
      <c r="B59" s="1661" t="s">
        <v>96</v>
      </c>
      <c r="C59" s="1662"/>
      <c r="D59" s="1663">
        <f>+G59+Y59+AG59+AN59</f>
        <v>0</v>
      </c>
      <c r="E59" s="1664">
        <f t="shared" si="42"/>
        <v>0</v>
      </c>
      <c r="F59" s="1447">
        <f t="shared" si="46"/>
        <v>0</v>
      </c>
      <c r="G59" s="1663">
        <f>SUM(H59:W59)</f>
        <v>0</v>
      </c>
      <c r="H59" s="1665"/>
      <c r="I59" s="1665"/>
      <c r="J59" s="1665"/>
      <c r="K59" s="1665"/>
      <c r="L59" s="1665"/>
      <c r="M59" s="1666"/>
      <c r="N59" s="1665"/>
      <c r="O59" s="1665"/>
      <c r="P59" s="1665"/>
      <c r="Q59" s="1665"/>
      <c r="R59" s="1666"/>
      <c r="S59" s="1666"/>
      <c r="T59" s="1666"/>
      <c r="U59" s="1666"/>
      <c r="V59" s="1666"/>
      <c r="W59" s="1666">
        <v>0</v>
      </c>
      <c r="X59" s="1588">
        <f>G59/1000</f>
        <v>0</v>
      </c>
      <c r="Y59" s="1667">
        <f>SUM(Z59:AD59)</f>
        <v>0</v>
      </c>
      <c r="Z59" s="1668"/>
      <c r="AA59" s="1668"/>
      <c r="AB59" s="1668"/>
      <c r="AC59" s="1668"/>
      <c r="AD59" s="1668"/>
      <c r="AE59" s="1575"/>
      <c r="AF59" s="1561">
        <f>Y59/1000</f>
        <v>0</v>
      </c>
      <c r="AG59" s="1669">
        <f>SUM(AH59:AK59)</f>
        <v>0</v>
      </c>
      <c r="AH59" s="1670">
        <v>0</v>
      </c>
      <c r="AI59" s="1669">
        <v>0</v>
      </c>
      <c r="AJ59" s="1671"/>
      <c r="AK59" s="1671"/>
      <c r="AL59" s="1613"/>
      <c r="AM59" s="1614">
        <f>AG59/1000</f>
        <v>0</v>
      </c>
      <c r="AN59" s="1672"/>
      <c r="AO59" s="1671"/>
      <c r="AP59" s="1673"/>
      <c r="AQ59" s="1674"/>
      <c r="AR59" s="1671"/>
      <c r="AS59" s="1671"/>
      <c r="AT59" s="1671"/>
      <c r="AU59" s="1463"/>
      <c r="AV59" s="1603"/>
      <c r="AW59" s="1627"/>
      <c r="AX59" s="1592"/>
    </row>
    <row r="60" spans="1:50" ht="15.75" hidden="1" customHeight="1" x14ac:dyDescent="0.55000000000000004">
      <c r="A60" s="1675"/>
      <c r="B60" s="1676"/>
      <c r="C60" s="1513"/>
      <c r="D60" s="1608"/>
      <c r="E60" s="1552"/>
      <c r="F60" s="1447">
        <f t="shared" si="46"/>
        <v>0</v>
      </c>
      <c r="G60" s="1608"/>
      <c r="H60" s="78"/>
      <c r="I60" s="78"/>
      <c r="J60" s="78"/>
      <c r="K60" s="78"/>
      <c r="L60" s="78"/>
      <c r="M60" s="1586"/>
      <c r="N60" s="78"/>
      <c r="O60" s="78"/>
      <c r="P60" s="78"/>
      <c r="Q60" s="78"/>
      <c r="R60" s="1586"/>
      <c r="S60" s="1586"/>
      <c r="T60" s="1586"/>
      <c r="U60" s="1586"/>
      <c r="V60" s="1586"/>
      <c r="W60" s="1586"/>
      <c r="X60" s="1588"/>
      <c r="Y60" s="1514"/>
      <c r="Z60" s="1514"/>
      <c r="AA60" s="1514"/>
      <c r="AB60" s="1514"/>
      <c r="AC60" s="1514"/>
      <c r="AD60" s="1514"/>
      <c r="AE60" s="1575"/>
      <c r="AF60" s="1561">
        <f>Y60/1000</f>
        <v>0</v>
      </c>
      <c r="AG60" s="1677"/>
      <c r="AH60" s="1629"/>
      <c r="AI60" s="1576"/>
      <c r="AJ60" s="1678"/>
      <c r="AK60" s="1678"/>
      <c r="AL60" s="1613"/>
      <c r="AM60" s="1614">
        <f>AG60/1000</f>
        <v>0</v>
      </c>
      <c r="AN60" s="1562"/>
      <c r="AO60" s="1679"/>
      <c r="AP60" s="1680"/>
      <c r="AQ60" s="1681"/>
      <c r="AR60" s="1679"/>
      <c r="AS60" s="1679"/>
      <c r="AT60" s="1679"/>
      <c r="AU60" s="1463"/>
      <c r="AV60" s="1603"/>
      <c r="AW60" s="1627"/>
      <c r="AX60" s="1592"/>
    </row>
    <row r="61" spans="1:50" ht="15.75" hidden="1" customHeight="1" x14ac:dyDescent="0.55000000000000004">
      <c r="A61" s="1675"/>
      <c r="B61" s="1676"/>
      <c r="C61" s="1513"/>
      <c r="D61" s="1608"/>
      <c r="E61" s="1552"/>
      <c r="F61" s="1447">
        <f t="shared" si="46"/>
        <v>0</v>
      </c>
      <c r="G61" s="1608"/>
      <c r="H61" s="78"/>
      <c r="I61" s="78"/>
      <c r="J61" s="78"/>
      <c r="K61" s="78"/>
      <c r="L61" s="78"/>
      <c r="M61" s="1586"/>
      <c r="N61" s="78"/>
      <c r="O61" s="78"/>
      <c r="P61" s="78"/>
      <c r="Q61" s="78"/>
      <c r="R61" s="1586"/>
      <c r="S61" s="1586"/>
      <c r="T61" s="1586"/>
      <c r="U61" s="1586"/>
      <c r="V61" s="1586"/>
      <c r="W61" s="1586"/>
      <c r="X61" s="1588">
        <f>G61/1000</f>
        <v>0</v>
      </c>
      <c r="Y61" s="1514"/>
      <c r="Z61" s="1514"/>
      <c r="AA61" s="1514"/>
      <c r="AB61" s="1514"/>
      <c r="AC61" s="1514"/>
      <c r="AD61" s="1514"/>
      <c r="AE61" s="1575">
        <f>X61/$X$7*100</f>
        <v>0</v>
      </c>
      <c r="AF61" s="1561">
        <f>Y61/1000</f>
        <v>0</v>
      </c>
      <c r="AG61" s="1677"/>
      <c r="AH61" s="1629"/>
      <c r="AI61" s="1576"/>
      <c r="AJ61" s="1678"/>
      <c r="AK61" s="1678"/>
      <c r="AL61" s="1613"/>
      <c r="AM61" s="1614">
        <f>AG61/1000</f>
        <v>0</v>
      </c>
      <c r="AN61" s="1562"/>
      <c r="AO61" s="1678"/>
      <c r="AP61" s="1682"/>
      <c r="AQ61" s="1683"/>
      <c r="AR61" s="1678"/>
      <c r="AS61" s="1678"/>
      <c r="AT61" s="1678"/>
      <c r="AU61" s="1463"/>
      <c r="AV61" s="1603">
        <f>AM61/$AM$7</f>
        <v>0</v>
      </c>
      <c r="AW61" s="1627">
        <f>AN61/1000</f>
        <v>0</v>
      </c>
      <c r="AX61" s="1592">
        <f>AW61/$AW$7</f>
        <v>0</v>
      </c>
    </row>
    <row r="62" spans="1:50" ht="15.75" hidden="1" customHeight="1" x14ac:dyDescent="0.25">
      <c r="A62" s="1620"/>
      <c r="B62" s="1624"/>
      <c r="C62" s="1513"/>
      <c r="D62" s="1608"/>
      <c r="E62" s="1552"/>
      <c r="F62" s="1447">
        <f t="shared" si="46"/>
        <v>0</v>
      </c>
      <c r="G62" s="1608"/>
      <c r="H62" s="78"/>
      <c r="I62" s="78"/>
      <c r="J62" s="78"/>
      <c r="K62" s="78"/>
      <c r="L62" s="78"/>
      <c r="M62" s="1586"/>
      <c r="N62" s="78"/>
      <c r="O62" s="78"/>
      <c r="P62" s="78"/>
      <c r="Q62" s="78"/>
      <c r="R62" s="1586"/>
      <c r="S62" s="1586"/>
      <c r="T62" s="1586"/>
      <c r="U62" s="1586"/>
      <c r="V62" s="1586"/>
      <c r="W62" s="1586"/>
      <c r="X62" s="1588">
        <f>G62/1000</f>
        <v>0</v>
      </c>
      <c r="Y62" s="1514"/>
      <c r="Z62" s="1514"/>
      <c r="AA62" s="1514"/>
      <c r="AB62" s="1514"/>
      <c r="AC62" s="1514"/>
      <c r="AD62" s="1514"/>
      <c r="AE62" s="1575">
        <f>X62/$X$7*100</f>
        <v>0</v>
      </c>
      <c r="AF62" s="1561">
        <f>Y62/1000</f>
        <v>0</v>
      </c>
      <c r="AG62" s="1576">
        <f>SUM(AH62:AJ62)</f>
        <v>0</v>
      </c>
      <c r="AH62" s="1684"/>
      <c r="AI62" s="1658"/>
      <c r="AJ62" s="1658"/>
      <c r="AK62" s="1658"/>
      <c r="AL62" s="1613"/>
      <c r="AM62" s="1614">
        <f>AG62/1000</f>
        <v>0</v>
      </c>
      <c r="AN62" s="1562"/>
      <c r="AO62" s="1612"/>
      <c r="AP62" s="1659"/>
      <c r="AQ62" s="1611"/>
      <c r="AR62" s="1612"/>
      <c r="AS62" s="1612"/>
      <c r="AT62" s="1612"/>
      <c r="AU62" s="1463"/>
      <c r="AV62" s="1603">
        <f>AM62/$AM$7</f>
        <v>0</v>
      </c>
      <c r="AW62" s="1627">
        <f>AN62/1000</f>
        <v>0</v>
      </c>
      <c r="AX62" s="1592">
        <f>AW62/$AW$7</f>
        <v>0</v>
      </c>
    </row>
    <row r="63" spans="1:50" ht="21.75" customHeight="1" x14ac:dyDescent="0.25">
      <c r="A63" s="1570">
        <v>1</v>
      </c>
      <c r="B63" s="2005" t="s">
        <v>97</v>
      </c>
      <c r="C63" s="2004"/>
      <c r="D63" s="1573">
        <f>D65+D73+D80+D88+D97+D103+D108+D116+D127+D132</f>
        <v>5314059652.6199999</v>
      </c>
      <c r="E63" s="1572">
        <f>SUM(E65+E73+E80+E88+E97+E103+E108+E116+E127+E132)</f>
        <v>5314059652.6199999</v>
      </c>
      <c r="F63" s="1495">
        <f t="shared" si="46"/>
        <v>5713287.1129999999</v>
      </c>
      <c r="G63" s="1573">
        <f t="shared" ref="G63:W63" si="49">G65+G73+G80+G88+G97+G103+G108+G116+G127+G132</f>
        <v>1705480120.9700003</v>
      </c>
      <c r="H63" s="1573">
        <f t="shared" si="49"/>
        <v>321400</v>
      </c>
      <c r="I63" s="1573">
        <f t="shared" si="49"/>
        <v>3120800</v>
      </c>
      <c r="J63" s="1573">
        <f t="shared" si="49"/>
        <v>25906000</v>
      </c>
      <c r="K63" s="1573">
        <f t="shared" si="49"/>
        <v>88400000</v>
      </c>
      <c r="L63" s="1573">
        <f t="shared" si="49"/>
        <v>8100000</v>
      </c>
      <c r="M63" s="1573">
        <f t="shared" si="49"/>
        <v>227316559.87</v>
      </c>
      <c r="N63" s="1573">
        <f t="shared" si="49"/>
        <v>1700000</v>
      </c>
      <c r="O63" s="1573">
        <f t="shared" si="49"/>
        <v>347000</v>
      </c>
      <c r="P63" s="1573">
        <f t="shared" si="49"/>
        <v>580000</v>
      </c>
      <c r="Q63" s="1573">
        <f t="shared" si="49"/>
        <v>1500000</v>
      </c>
      <c r="R63" s="1573">
        <f t="shared" si="49"/>
        <v>4125000</v>
      </c>
      <c r="S63" s="1573">
        <f t="shared" si="49"/>
        <v>704632064.71000004</v>
      </c>
      <c r="T63" s="1573">
        <f t="shared" si="49"/>
        <v>8738600</v>
      </c>
      <c r="U63" s="1573">
        <f t="shared" si="49"/>
        <v>18572000</v>
      </c>
      <c r="V63" s="1573">
        <f t="shared" si="49"/>
        <v>578595696.38999999</v>
      </c>
      <c r="W63" s="1573">
        <f t="shared" si="49"/>
        <v>35150000</v>
      </c>
      <c r="X63" s="1557">
        <f>X65+X73+X80+X88+X97+X103+X108+X127+X116+X132</f>
        <v>976992</v>
      </c>
      <c r="Y63" s="1573">
        <f t="shared" ref="Y63:AD63" si="50">Y65+Y73+Y80+Y88+Y97+Y103+Y108+Y116+Y127+Y132</f>
        <v>323800000</v>
      </c>
      <c r="Z63" s="1573">
        <f t="shared" si="50"/>
        <v>152250000</v>
      </c>
      <c r="AA63" s="1573">
        <f t="shared" si="50"/>
        <v>3100000</v>
      </c>
      <c r="AB63" s="1573">
        <f t="shared" si="50"/>
        <v>5990000</v>
      </c>
      <c r="AC63" s="1573">
        <f t="shared" si="50"/>
        <v>155230000</v>
      </c>
      <c r="AD63" s="1573">
        <f t="shared" si="50"/>
        <v>7230000</v>
      </c>
      <c r="AE63" s="1575">
        <f>X63/$X$7</f>
        <v>0.22808823369591452</v>
      </c>
      <c r="AF63" s="1557">
        <f>+AF65+AF73+AF80+AF88+AF97+AF103+AF108+AF127+AF116</f>
        <v>532485.74199999997</v>
      </c>
      <c r="AG63" s="1576">
        <f>SUM(AG65+AG73+AG80+AG88+AG97+AG103+AG108+AG116+AG127+AG132)</f>
        <v>167545000</v>
      </c>
      <c r="AH63" s="1629">
        <f>+AH65+AH73+AH80+AH88+AH97+AH103+AH108+AH116+AH127+AH132</f>
        <v>1890000</v>
      </c>
      <c r="AI63" s="1576">
        <f>+AI65+AI73+AI80+AI88+AI97+AI103+AI108+AI116+AI127+AI132</f>
        <v>106290000</v>
      </c>
      <c r="AJ63" s="1576">
        <f>+AJ65+AJ73+AJ80+AJ88+AJ97+AJ103+AJ108+AJ116+AJ127+AJ132</f>
        <v>625000</v>
      </c>
      <c r="AK63" s="1576">
        <f>+AK65+AK73+AK80+AK88+AK97+AK103+AK108+AK116+AK127+AK132</f>
        <v>58740000</v>
      </c>
      <c r="AL63" s="1577">
        <f>(AF63/AF7)</f>
        <v>0.35298652802145997</v>
      </c>
      <c r="AM63" s="1598">
        <f>+AM65+AM73+AM80+AM88+AM97+AM103+AM108+AM116+AM127+AM132</f>
        <v>570565.69999999995</v>
      </c>
      <c r="AN63" s="1599">
        <f>AN65+AN73+AN80+AN88+AN97+AN103+AN108+AN116+AN127+AN132</f>
        <v>3117234531.6500001</v>
      </c>
      <c r="AO63" s="1576">
        <f t="shared" ref="AO63:AT63" si="51">+AO65+AO73+AO80+AO88+AO97+AO103+AO108+AO116+AO127+AO132</f>
        <v>3046277781.6500001</v>
      </c>
      <c r="AP63" s="1579">
        <f t="shared" si="51"/>
        <v>70956750</v>
      </c>
      <c r="AQ63" s="1629">
        <f t="shared" si="51"/>
        <v>6689500</v>
      </c>
      <c r="AR63" s="1576">
        <f t="shared" si="51"/>
        <v>50799000</v>
      </c>
      <c r="AS63" s="1576">
        <f t="shared" si="51"/>
        <v>3999500</v>
      </c>
      <c r="AT63" s="1576">
        <f t="shared" si="51"/>
        <v>9468750</v>
      </c>
      <c r="AU63" s="1602">
        <f>AU65+AU73+AU80+AU88+AU97+AU103+AU108+AU116+AU127+AU132</f>
        <v>5314059652.6199999</v>
      </c>
      <c r="AV63" s="1603">
        <f>AM63/$AM$7</f>
        <v>9.2315480992634993E-2</v>
      </c>
      <c r="AW63" s="1631">
        <f>+AW65+AW73+AW80+AW88+AW97+AW103+AW108+AW116</f>
        <v>3633243.6710000001</v>
      </c>
      <c r="AX63" s="1592">
        <f>AW63/$AW$7</f>
        <v>6.8431920279044073E-2</v>
      </c>
    </row>
    <row r="64" spans="1:50" ht="15.75" customHeight="1" x14ac:dyDescent="0.25">
      <c r="A64" s="1570"/>
      <c r="B64" s="1512"/>
      <c r="C64" s="1513"/>
      <c r="D64" s="1608"/>
      <c r="E64" s="1552"/>
      <c r="F64" s="1447"/>
      <c r="G64" s="1608"/>
      <c r="H64" s="1571"/>
      <c r="I64" s="1571"/>
      <c r="J64" s="1571"/>
      <c r="K64" s="1571"/>
      <c r="L64" s="1571"/>
      <c r="M64" s="1628"/>
      <c r="N64" s="1571"/>
      <c r="O64" s="1571"/>
      <c r="P64" s="1571"/>
      <c r="Q64" s="1571"/>
      <c r="R64" s="1573"/>
      <c r="S64" s="1685"/>
      <c r="T64" s="1685"/>
      <c r="U64" s="1685"/>
      <c r="V64" s="1685"/>
      <c r="W64" s="1685"/>
      <c r="X64" s="1588"/>
      <c r="Y64" s="1557"/>
      <c r="Z64" s="1557"/>
      <c r="AA64" s="1557"/>
      <c r="AB64" s="1557"/>
      <c r="AC64" s="1557"/>
      <c r="AD64" s="1557"/>
      <c r="AE64" s="1575"/>
      <c r="AF64" s="1561"/>
      <c r="AG64" s="1576">
        <f>SUM(AH64:AJ64)</f>
        <v>0</v>
      </c>
      <c r="AH64" s="1640"/>
      <c r="AI64" s="1561"/>
      <c r="AJ64" s="1561"/>
      <c r="AK64" s="1561"/>
      <c r="AL64" s="1577"/>
      <c r="AM64" s="1614"/>
      <c r="AN64" s="1599"/>
      <c r="AO64" s="1561"/>
      <c r="AP64" s="1686"/>
      <c r="AQ64" s="1640"/>
      <c r="AR64" s="1561"/>
      <c r="AS64" s="1561"/>
      <c r="AT64" s="1561"/>
      <c r="AU64" s="1616"/>
      <c r="AV64" s="1603"/>
      <c r="AW64" s="1627"/>
      <c r="AX64" s="1592"/>
    </row>
    <row r="65" spans="1:50" ht="15.75" customHeight="1" x14ac:dyDescent="0.25">
      <c r="A65" s="1687" t="s">
        <v>98</v>
      </c>
      <c r="B65" s="2013" t="s">
        <v>99</v>
      </c>
      <c r="C65" s="2002"/>
      <c r="D65" s="1573">
        <f>SUM(D66:D70)</f>
        <v>51433971.710000001</v>
      </c>
      <c r="E65" s="1572">
        <f t="shared" ref="E65:E70" si="52">SUM(G65+Y65+AG65+AN65)</f>
        <v>51433971.710000001</v>
      </c>
      <c r="F65" s="1447">
        <f t="shared" ref="F65:F70" si="53">+X65+AF65+AM65+AW65</f>
        <v>18450</v>
      </c>
      <c r="G65" s="1573">
        <f t="shared" ref="G65:W65" si="54">SUM(G66:G70)</f>
        <v>26433971.710000001</v>
      </c>
      <c r="H65" s="1573">
        <f t="shared" si="54"/>
        <v>0</v>
      </c>
      <c r="I65" s="1573">
        <f t="shared" si="54"/>
        <v>0</v>
      </c>
      <c r="J65" s="1573">
        <f t="shared" si="54"/>
        <v>1600000</v>
      </c>
      <c r="K65" s="1573">
        <f t="shared" si="54"/>
        <v>0</v>
      </c>
      <c r="L65" s="1573">
        <f t="shared" si="54"/>
        <v>0</v>
      </c>
      <c r="M65" s="1688">
        <f t="shared" si="54"/>
        <v>0</v>
      </c>
      <c r="N65" s="1573">
        <f t="shared" si="54"/>
        <v>0</v>
      </c>
      <c r="O65" s="1573">
        <f t="shared" si="54"/>
        <v>0</v>
      </c>
      <c r="P65" s="1573">
        <f t="shared" si="54"/>
        <v>0</v>
      </c>
      <c r="Q65" s="1573">
        <f t="shared" si="54"/>
        <v>0</v>
      </c>
      <c r="R65" s="1573">
        <f t="shared" si="54"/>
        <v>0</v>
      </c>
      <c r="S65" s="1573">
        <f t="shared" si="54"/>
        <v>24283971.710000001</v>
      </c>
      <c r="T65" s="1573">
        <f t="shared" si="54"/>
        <v>0</v>
      </c>
      <c r="U65" s="1573">
        <f t="shared" si="54"/>
        <v>0</v>
      </c>
      <c r="V65" s="1573">
        <f t="shared" si="54"/>
        <v>100000</v>
      </c>
      <c r="W65" s="1573">
        <f t="shared" si="54"/>
        <v>450000</v>
      </c>
      <c r="X65" s="1628">
        <f>+X66+X67+X68+X69+X70</f>
        <v>13150</v>
      </c>
      <c r="Y65" s="1576">
        <f t="shared" ref="Y65:AD65" si="55">SUM(Y66:Y69)</f>
        <v>0</v>
      </c>
      <c r="Z65" s="1576">
        <f t="shared" si="55"/>
        <v>0</v>
      </c>
      <c r="AA65" s="1576">
        <f t="shared" si="55"/>
        <v>0</v>
      </c>
      <c r="AB65" s="1576">
        <f t="shared" si="55"/>
        <v>0</v>
      </c>
      <c r="AC65" s="1576">
        <f t="shared" si="55"/>
        <v>0</v>
      </c>
      <c r="AD65" s="1576">
        <f t="shared" si="55"/>
        <v>0</v>
      </c>
      <c r="AE65" s="1575">
        <f t="shared" ref="AE65:AE70" si="56">X65/$X$7</f>
        <v>3.0699947114216654E-3</v>
      </c>
      <c r="AF65" s="1557">
        <f>AF66+AF67+AF68+AF69+AF70</f>
        <v>2000</v>
      </c>
      <c r="AG65" s="1576">
        <f>SUM(AG66:AG70)</f>
        <v>15500000</v>
      </c>
      <c r="AH65" s="1689">
        <f>SUM(AH66:AH70)</f>
        <v>0</v>
      </c>
      <c r="AI65" s="1597">
        <f>SUM(AI66:AI70)</f>
        <v>5500000</v>
      </c>
      <c r="AJ65" s="1597">
        <f>SUM(AJ66:AJ70)</f>
        <v>0</v>
      </c>
      <c r="AK65" s="1597">
        <f>SUM(AK66:AK70)</f>
        <v>10000000</v>
      </c>
      <c r="AL65" s="1577">
        <f>(AF65/AF7)</f>
        <v>1.325806496510699E-3</v>
      </c>
      <c r="AM65" s="1598">
        <f>+AM66+AM67+AM68+AM69+AM70</f>
        <v>0</v>
      </c>
      <c r="AN65" s="1599">
        <f t="shared" ref="AN65:AU65" si="57">SUM(AN66:AN70)</f>
        <v>9500000</v>
      </c>
      <c r="AO65" s="1597">
        <f t="shared" si="57"/>
        <v>4500000</v>
      </c>
      <c r="AP65" s="1599">
        <f t="shared" si="57"/>
        <v>5000000</v>
      </c>
      <c r="AQ65" s="1689">
        <f t="shared" si="57"/>
        <v>2500000</v>
      </c>
      <c r="AR65" s="1597">
        <f t="shared" si="57"/>
        <v>2500000</v>
      </c>
      <c r="AS65" s="1597">
        <f t="shared" si="57"/>
        <v>0</v>
      </c>
      <c r="AT65" s="1597">
        <f t="shared" si="57"/>
        <v>0</v>
      </c>
      <c r="AU65" s="1602">
        <f t="shared" si="57"/>
        <v>51433971.710000001</v>
      </c>
      <c r="AV65" s="1603">
        <f t="shared" ref="AV65:AV70" si="58">AM65/$AM$7</f>
        <v>0</v>
      </c>
      <c r="AW65" s="1631">
        <f>+AW66+AW67+AW68+AW69+AW70</f>
        <v>3300</v>
      </c>
      <c r="AX65" s="1592">
        <f t="shared" ref="AX65:AX70" si="59">AW65/$AW$7</f>
        <v>6.2155296305433359E-5</v>
      </c>
    </row>
    <row r="66" spans="1:50" x14ac:dyDescent="0.25">
      <c r="A66" s="1690" t="s">
        <v>100</v>
      </c>
      <c r="B66" s="2009" t="s">
        <v>101</v>
      </c>
      <c r="C66" s="2004"/>
      <c r="D66" s="1608">
        <f>+G66+Y66+AG66+AN66</f>
        <v>0</v>
      </c>
      <c r="E66" s="1552">
        <f t="shared" si="52"/>
        <v>0</v>
      </c>
      <c r="F66" s="1447">
        <f t="shared" si="53"/>
        <v>4000</v>
      </c>
      <c r="G66" s="1608">
        <f>SUM(H66:W66)</f>
        <v>0</v>
      </c>
      <c r="H66" s="1608"/>
      <c r="I66" s="1608"/>
      <c r="J66" s="1608"/>
      <c r="K66" s="1608">
        <v>0</v>
      </c>
      <c r="L66" s="1608"/>
      <c r="M66" s="1586"/>
      <c r="N66" s="1608"/>
      <c r="O66" s="1608"/>
      <c r="P66" s="1608"/>
      <c r="Q66" s="1608"/>
      <c r="R66" s="1586"/>
      <c r="S66" s="1586"/>
      <c r="T66" s="1586"/>
      <c r="U66" s="1586"/>
      <c r="V66" s="1586"/>
      <c r="W66" s="1586"/>
      <c r="X66" s="1588">
        <f>4000000/1000</f>
        <v>4000</v>
      </c>
      <c r="Y66" s="1561">
        <f>SUM(Z66:AD66)</f>
        <v>0</v>
      </c>
      <c r="Z66" s="1691"/>
      <c r="AA66" s="1691"/>
      <c r="AB66" s="1691"/>
      <c r="AC66" s="1691"/>
      <c r="AD66" s="1691"/>
      <c r="AE66" s="1609">
        <f t="shared" si="56"/>
        <v>9.3383869548948001E-4</v>
      </c>
      <c r="AF66" s="1561">
        <f>Y66/1000</f>
        <v>0</v>
      </c>
      <c r="AG66" s="1576">
        <f>SUM(AH66:AK66)</f>
        <v>0</v>
      </c>
      <c r="AH66" s="1611"/>
      <c r="AI66" s="1612"/>
      <c r="AJ66" s="1612"/>
      <c r="AK66" s="1612"/>
      <c r="AL66" s="1577">
        <f>(AF66/AF7)</f>
        <v>0</v>
      </c>
      <c r="AM66" s="1614">
        <f>AG66/1000</f>
        <v>0</v>
      </c>
      <c r="AN66" s="1615">
        <f>SUM(AO66+AP66)</f>
        <v>0</v>
      </c>
      <c r="AO66" s="1612"/>
      <c r="AP66" s="1615">
        <f>SUM(AQ66:AT66)</f>
        <v>0</v>
      </c>
      <c r="AQ66" s="1611"/>
      <c r="AR66" s="1612"/>
      <c r="AS66" s="1612"/>
      <c r="AT66" s="1612"/>
      <c r="AU66" s="1616">
        <f>SUM(AN66+AG66+Y66+G66)</f>
        <v>0</v>
      </c>
      <c r="AV66" s="1617">
        <f t="shared" si="58"/>
        <v>0</v>
      </c>
      <c r="AW66" s="1627">
        <v>0</v>
      </c>
      <c r="AX66" s="1619">
        <f t="shared" si="59"/>
        <v>0</v>
      </c>
    </row>
    <row r="67" spans="1:50" ht="15.75" customHeight="1" x14ac:dyDescent="0.25">
      <c r="A67" s="1690" t="s">
        <v>102</v>
      </c>
      <c r="B67" s="2009" t="s">
        <v>103</v>
      </c>
      <c r="C67" s="2004"/>
      <c r="D67" s="1608">
        <f>+G67+Y67+AG67+AN67</f>
        <v>47700000</v>
      </c>
      <c r="E67" s="1552">
        <f t="shared" si="52"/>
        <v>47700000</v>
      </c>
      <c r="F67" s="1447">
        <f t="shared" si="53"/>
        <v>11900</v>
      </c>
      <c r="G67" s="1608">
        <f>SUM(H67:W67)</f>
        <v>24700000</v>
      </c>
      <c r="H67" s="1608"/>
      <c r="I67" s="1608"/>
      <c r="J67" s="1608">
        <v>1600000</v>
      </c>
      <c r="K67" s="1608"/>
      <c r="L67" s="1608"/>
      <c r="M67" s="1586"/>
      <c r="N67" s="1608"/>
      <c r="O67" s="1608"/>
      <c r="P67" s="1608"/>
      <c r="Q67" s="1608"/>
      <c r="R67" s="1586"/>
      <c r="S67" s="1586">
        <v>23000000</v>
      </c>
      <c r="T67" s="1586"/>
      <c r="U67" s="1586"/>
      <c r="V67" s="1586"/>
      <c r="W67" s="1586">
        <v>100000</v>
      </c>
      <c r="X67" s="1588">
        <f>7600000/1000</f>
        <v>7600</v>
      </c>
      <c r="Y67" s="1561">
        <f>SUM(Z67:AD67)</f>
        <v>0</v>
      </c>
      <c r="Z67" s="1561"/>
      <c r="AA67" s="1561"/>
      <c r="AB67" s="1561"/>
      <c r="AC67" s="1561"/>
      <c r="AD67" s="1561"/>
      <c r="AE67" s="1609">
        <f t="shared" si="56"/>
        <v>1.7742935214300119E-3</v>
      </c>
      <c r="AF67" s="1561">
        <f>2000000/1000</f>
        <v>2000</v>
      </c>
      <c r="AG67" s="1576">
        <f>SUM(AH67:AK67)</f>
        <v>15000000</v>
      </c>
      <c r="AH67" s="1611"/>
      <c r="AI67" s="1612">
        <v>5000000</v>
      </c>
      <c r="AJ67" s="1612"/>
      <c r="AK67" s="1612">
        <v>10000000</v>
      </c>
      <c r="AL67" s="1613">
        <f>(AF67/AF7)</f>
        <v>1.325806496510699E-3</v>
      </c>
      <c r="AM67" s="1614">
        <v>0</v>
      </c>
      <c r="AN67" s="1615">
        <f>SUM(AO67+AP67)</f>
        <v>8000000</v>
      </c>
      <c r="AO67" s="1612">
        <v>4000000</v>
      </c>
      <c r="AP67" s="1615">
        <f>SUM(AQ67:AT67)</f>
        <v>4000000</v>
      </c>
      <c r="AQ67" s="1611">
        <v>2000000</v>
      </c>
      <c r="AR67" s="1612">
        <v>2000000</v>
      </c>
      <c r="AS67" s="1612"/>
      <c r="AT67" s="1612"/>
      <c r="AU67" s="1616">
        <f>SUM(AN67+AG67+Y67+G67)</f>
        <v>47700000</v>
      </c>
      <c r="AV67" s="1617">
        <f t="shared" si="58"/>
        <v>0</v>
      </c>
      <c r="AW67" s="1627">
        <f>2300000/1000</f>
        <v>2300</v>
      </c>
      <c r="AX67" s="1619">
        <f t="shared" si="59"/>
        <v>4.3320358031059612E-5</v>
      </c>
    </row>
    <row r="68" spans="1:50" ht="15.75" customHeight="1" x14ac:dyDescent="0.25">
      <c r="A68" s="1690" t="s">
        <v>104</v>
      </c>
      <c r="B68" s="2009" t="s">
        <v>105</v>
      </c>
      <c r="C68" s="2004"/>
      <c r="D68" s="1608">
        <f>+G68+Y68+AG68+AN68</f>
        <v>500000</v>
      </c>
      <c r="E68" s="1552">
        <f t="shared" si="52"/>
        <v>500000</v>
      </c>
      <c r="F68" s="1447">
        <f t="shared" si="53"/>
        <v>700</v>
      </c>
      <c r="G68" s="1608">
        <f>SUM(H68:W68)</f>
        <v>500000</v>
      </c>
      <c r="H68" s="1608"/>
      <c r="I68" s="1608"/>
      <c r="J68" s="1608"/>
      <c r="K68" s="1608">
        <v>0</v>
      </c>
      <c r="L68" s="1608">
        <v>0</v>
      </c>
      <c r="M68" s="1586"/>
      <c r="N68" s="1608"/>
      <c r="O68" s="1608">
        <v>0</v>
      </c>
      <c r="P68" s="1608"/>
      <c r="Q68" s="1608"/>
      <c r="R68" s="1586"/>
      <c r="S68" s="1586">
        <v>250000</v>
      </c>
      <c r="T68" s="1586"/>
      <c r="U68" s="1586"/>
      <c r="V68" s="1586"/>
      <c r="W68" s="1586">
        <v>250000</v>
      </c>
      <c r="X68" s="1588">
        <f>700000/1000</f>
        <v>700</v>
      </c>
      <c r="Y68" s="1561">
        <f>SUM(Z68:AD68)</f>
        <v>0</v>
      </c>
      <c r="Z68" s="1561"/>
      <c r="AA68" s="1561"/>
      <c r="AB68" s="1561"/>
      <c r="AC68" s="1561"/>
      <c r="AD68" s="1561"/>
      <c r="AE68" s="1609">
        <f t="shared" si="56"/>
        <v>1.6342177171065899E-4</v>
      </c>
      <c r="AF68" s="1561">
        <f>Y68/1000</f>
        <v>0</v>
      </c>
      <c r="AG68" s="1576">
        <f>SUM(AH68:AK68)</f>
        <v>0</v>
      </c>
      <c r="AH68" s="1611"/>
      <c r="AI68" s="1612"/>
      <c r="AJ68" s="1612"/>
      <c r="AK68" s="1612"/>
      <c r="AL68" s="1613">
        <f>(AF68/AF7)</f>
        <v>0</v>
      </c>
      <c r="AM68" s="1614">
        <v>0</v>
      </c>
      <c r="AN68" s="1615">
        <f>SUM(AO68+AP68)</f>
        <v>0</v>
      </c>
      <c r="AO68" s="1612"/>
      <c r="AP68" s="1615">
        <f>SUM(AQ68:AT68)</f>
        <v>0</v>
      </c>
      <c r="AQ68" s="1611"/>
      <c r="AR68" s="1612"/>
      <c r="AS68" s="1612"/>
      <c r="AT68" s="1612"/>
      <c r="AU68" s="1616">
        <f>SUM(AN68+AG68+Y68+G68)</f>
        <v>500000</v>
      </c>
      <c r="AV68" s="1617">
        <f t="shared" si="58"/>
        <v>0</v>
      </c>
      <c r="AW68" s="1627">
        <v>0</v>
      </c>
      <c r="AX68" s="1619">
        <f t="shared" si="59"/>
        <v>0</v>
      </c>
    </row>
    <row r="69" spans="1:50" ht="15.75" customHeight="1" x14ac:dyDescent="0.25">
      <c r="A69" s="1690" t="s">
        <v>472</v>
      </c>
      <c r="B69" s="1624" t="s">
        <v>473</v>
      </c>
      <c r="C69" s="1513"/>
      <c r="D69" s="1608">
        <f>+G69+Y69+AG69+AN69</f>
        <v>800000</v>
      </c>
      <c r="E69" s="1552">
        <f t="shared" si="52"/>
        <v>800000</v>
      </c>
      <c r="F69" s="1447">
        <f t="shared" si="53"/>
        <v>500</v>
      </c>
      <c r="G69" s="1608">
        <f>SUM(H69:W69)</f>
        <v>800000</v>
      </c>
      <c r="H69" s="1608"/>
      <c r="I69" s="1608"/>
      <c r="J69" s="1608"/>
      <c r="K69" s="1608"/>
      <c r="L69" s="1608"/>
      <c r="M69" s="1586"/>
      <c r="N69" s="1608"/>
      <c r="O69" s="1608"/>
      <c r="P69" s="1608"/>
      <c r="Q69" s="1608"/>
      <c r="R69" s="1586"/>
      <c r="S69" s="1586">
        <v>800000</v>
      </c>
      <c r="T69" s="1586"/>
      <c r="U69" s="1586"/>
      <c r="V69" s="1586"/>
      <c r="W69" s="1586"/>
      <c r="X69" s="1588">
        <f>500000/1000</f>
        <v>500</v>
      </c>
      <c r="Y69" s="1561">
        <f>SUM(Z69:AD69)</f>
        <v>0</v>
      </c>
      <c r="Z69" s="1561"/>
      <c r="AA69" s="1561"/>
      <c r="AB69" s="1561"/>
      <c r="AC69" s="1561"/>
      <c r="AD69" s="1561"/>
      <c r="AE69" s="1609">
        <f t="shared" si="56"/>
        <v>1.16729836936185E-4</v>
      </c>
      <c r="AF69" s="1561">
        <f>Y69/1000</f>
        <v>0</v>
      </c>
      <c r="AG69" s="1576">
        <f>SUM(AH69:AK69)</f>
        <v>0</v>
      </c>
      <c r="AH69" s="1638">
        <v>0</v>
      </c>
      <c r="AI69" s="1639"/>
      <c r="AJ69" s="1639"/>
      <c r="AK69" s="1639"/>
      <c r="AL69" s="1613">
        <f>(AF69/AF7)</f>
        <v>0</v>
      </c>
      <c r="AM69" s="1614">
        <f>AG69/1000</f>
        <v>0</v>
      </c>
      <c r="AN69" s="1615">
        <f>SUM(AO69+AP69)</f>
        <v>0</v>
      </c>
      <c r="AO69" s="1637"/>
      <c r="AP69" s="1615">
        <f>SUM(AQ69:AT69)</f>
        <v>0</v>
      </c>
      <c r="AQ69" s="1692"/>
      <c r="AR69" s="1637"/>
      <c r="AS69" s="1637"/>
      <c r="AT69" s="1637"/>
      <c r="AU69" s="1616">
        <f>SUM(AN69+AG69+Y69+G69)</f>
        <v>800000</v>
      </c>
      <c r="AV69" s="1617">
        <f t="shared" si="58"/>
        <v>0</v>
      </c>
      <c r="AW69" s="1627">
        <v>0</v>
      </c>
      <c r="AX69" s="1619">
        <f t="shared" si="59"/>
        <v>0</v>
      </c>
    </row>
    <row r="70" spans="1:50" ht="15.75" customHeight="1" x14ac:dyDescent="0.25">
      <c r="A70" s="1690" t="s">
        <v>106</v>
      </c>
      <c r="B70" s="2009" t="s">
        <v>107</v>
      </c>
      <c r="C70" s="2004"/>
      <c r="D70" s="1608">
        <f>+G70+Y70+AG70+AN70</f>
        <v>2433971.71</v>
      </c>
      <c r="E70" s="1552">
        <f t="shared" si="52"/>
        <v>2433971.71</v>
      </c>
      <c r="F70" s="1447">
        <f t="shared" si="53"/>
        <v>1350</v>
      </c>
      <c r="G70" s="1608">
        <f>SUM(H70:W70)</f>
        <v>433971.70999999996</v>
      </c>
      <c r="H70" s="1608"/>
      <c r="I70" s="1608">
        <v>0</v>
      </c>
      <c r="J70" s="1608">
        <v>0</v>
      </c>
      <c r="K70" s="1608"/>
      <c r="L70" s="1608"/>
      <c r="M70" s="1586"/>
      <c r="N70" s="1608">
        <v>0</v>
      </c>
      <c r="O70" s="1608"/>
      <c r="P70" s="1608"/>
      <c r="Q70" s="1608"/>
      <c r="R70" s="1586"/>
      <c r="S70" s="1586">
        <v>233971.71</v>
      </c>
      <c r="T70" s="1586"/>
      <c r="U70" s="1586"/>
      <c r="V70" s="1586">
        <v>100000</v>
      </c>
      <c r="W70" s="1586">
        <v>100000</v>
      </c>
      <c r="X70" s="1588">
        <f>350000/1000</f>
        <v>350</v>
      </c>
      <c r="Y70" s="1561">
        <f>SUM(Z70:AD70)</f>
        <v>0</v>
      </c>
      <c r="Z70" s="1561"/>
      <c r="AA70" s="1561"/>
      <c r="AB70" s="1561"/>
      <c r="AC70" s="1561"/>
      <c r="AD70" s="1561"/>
      <c r="AE70" s="1609">
        <f t="shared" si="56"/>
        <v>8.1710885855329496E-5</v>
      </c>
      <c r="AF70" s="1561">
        <f>Y70/1000</f>
        <v>0</v>
      </c>
      <c r="AG70" s="1576">
        <f>SUM(AH70:AK70)</f>
        <v>500000</v>
      </c>
      <c r="AH70" s="1640"/>
      <c r="AI70" s="1561">
        <v>500000</v>
      </c>
      <c r="AJ70" s="1561"/>
      <c r="AK70" s="1561"/>
      <c r="AL70" s="1613">
        <f>(AF70/AF7)</f>
        <v>0</v>
      </c>
      <c r="AM70" s="1614">
        <v>0</v>
      </c>
      <c r="AN70" s="1615">
        <f>SUM(AO70+AP70)</f>
        <v>1500000</v>
      </c>
      <c r="AO70" s="1561">
        <v>500000</v>
      </c>
      <c r="AP70" s="1615">
        <f>SUM(AQ70:AT70)</f>
        <v>1000000</v>
      </c>
      <c r="AQ70" s="1640">
        <v>500000</v>
      </c>
      <c r="AR70" s="1561">
        <v>500000</v>
      </c>
      <c r="AS70" s="1561"/>
      <c r="AT70" s="1561"/>
      <c r="AU70" s="1616">
        <f>SUM(AN70+AG70+Y70+G70)</f>
        <v>2433971.71</v>
      </c>
      <c r="AV70" s="1617">
        <f t="shared" si="58"/>
        <v>0</v>
      </c>
      <c r="AW70" s="1627">
        <f>1000000/1000</f>
        <v>1000</v>
      </c>
      <c r="AX70" s="1619">
        <f t="shared" si="59"/>
        <v>1.8834938274373747E-5</v>
      </c>
    </row>
    <row r="71" spans="1:50" ht="15.75" customHeight="1" x14ac:dyDescent="0.25">
      <c r="A71" s="1690"/>
      <c r="B71" s="1624"/>
      <c r="C71" s="1513"/>
      <c r="D71" s="1608"/>
      <c r="E71" s="1552"/>
      <c r="F71" s="1447"/>
      <c r="G71" s="1608"/>
      <c r="H71" s="1608"/>
      <c r="I71" s="1608"/>
      <c r="J71" s="1608"/>
      <c r="K71" s="1608"/>
      <c r="L71" s="1608"/>
      <c r="M71" s="1586"/>
      <c r="N71" s="1608"/>
      <c r="O71" s="1608"/>
      <c r="P71" s="1608"/>
      <c r="Q71" s="1608"/>
      <c r="R71" s="1586"/>
      <c r="S71" s="1586"/>
      <c r="T71" s="1586"/>
      <c r="U71" s="1586"/>
      <c r="V71" s="1586"/>
      <c r="W71" s="1586"/>
      <c r="X71" s="1588"/>
      <c r="Y71" s="1561"/>
      <c r="Z71" s="1561"/>
      <c r="AA71" s="1561"/>
      <c r="AB71" s="1561"/>
      <c r="AC71" s="1561"/>
      <c r="AD71" s="1561"/>
      <c r="AE71" s="1609"/>
      <c r="AF71" s="1561"/>
      <c r="AG71" s="1576"/>
      <c r="AH71" s="1640"/>
      <c r="AI71" s="1561"/>
      <c r="AJ71" s="1561"/>
      <c r="AK71" s="1561"/>
      <c r="AL71" s="1693"/>
      <c r="AM71" s="1614"/>
      <c r="AN71" s="1615"/>
      <c r="AO71" s="1561"/>
      <c r="AP71" s="1615"/>
      <c r="AQ71" s="1640"/>
      <c r="AR71" s="1561"/>
      <c r="AS71" s="1561"/>
      <c r="AT71" s="1561"/>
      <c r="AU71" s="1616"/>
      <c r="AV71" s="1603"/>
      <c r="AW71" s="1627"/>
      <c r="AX71" s="1592"/>
    </row>
    <row r="72" spans="1:50" ht="15.75" hidden="1" customHeight="1" x14ac:dyDescent="0.25">
      <c r="A72" s="1694"/>
      <c r="B72" s="1695"/>
      <c r="C72" s="1662"/>
      <c r="D72" s="1663"/>
      <c r="E72" s="1664"/>
      <c r="F72" s="1475"/>
      <c r="G72" s="1663"/>
      <c r="H72" s="1663"/>
      <c r="I72" s="1663"/>
      <c r="J72" s="1663"/>
      <c r="K72" s="1663"/>
      <c r="L72" s="1663"/>
      <c r="M72" s="1666"/>
      <c r="N72" s="1663"/>
      <c r="O72" s="1663"/>
      <c r="P72" s="1663"/>
      <c r="Q72" s="1663"/>
      <c r="R72" s="1666"/>
      <c r="S72" s="1666"/>
      <c r="T72" s="1666"/>
      <c r="U72" s="1666"/>
      <c r="V72" s="1666"/>
      <c r="W72" s="1666"/>
      <c r="X72" s="1696"/>
      <c r="Y72" s="1697"/>
      <c r="Z72" s="1697"/>
      <c r="AA72" s="1697"/>
      <c r="AB72" s="1697"/>
      <c r="AC72" s="1697"/>
      <c r="AD72" s="1697"/>
      <c r="AE72" s="1698"/>
      <c r="AF72" s="1667"/>
      <c r="AG72" s="1669">
        <f>SUM(AH72:AJ72)</f>
        <v>0</v>
      </c>
      <c r="AH72" s="1650"/>
      <c r="AI72" s="1651"/>
      <c r="AJ72" s="1651"/>
      <c r="AK72" s="1651"/>
      <c r="AL72" s="1693"/>
      <c r="AM72" s="1699"/>
      <c r="AN72" s="1700"/>
      <c r="AO72" s="1651"/>
      <c r="AP72" s="1701"/>
      <c r="AQ72" s="1650"/>
      <c r="AR72" s="1651"/>
      <c r="AS72" s="1651"/>
      <c r="AT72" s="1651"/>
      <c r="AU72" s="1702"/>
      <c r="AV72" s="1703"/>
      <c r="AW72" s="1704"/>
      <c r="AX72" s="1705"/>
    </row>
    <row r="73" spans="1:50" ht="15.75" customHeight="1" x14ac:dyDescent="0.25">
      <c r="A73" s="1517" t="s">
        <v>108</v>
      </c>
      <c r="B73" s="2013" t="s">
        <v>109</v>
      </c>
      <c r="C73" s="2002"/>
      <c r="D73" s="1573">
        <f>SUM(D74:D78)</f>
        <v>264913351.60000002</v>
      </c>
      <c r="E73" s="1572">
        <f t="shared" ref="E73:E78" si="60">SUM(G73+Y73+AG73+AN73)</f>
        <v>264913351.60000002</v>
      </c>
      <c r="F73" s="1495">
        <f t="shared" ref="F73:F78" si="61">+X73+AF73+AM73+AW73</f>
        <v>206850</v>
      </c>
      <c r="G73" s="1573">
        <f t="shared" ref="G73:G78" si="62">SUM(H73:W73)</f>
        <v>251948351.60000002</v>
      </c>
      <c r="H73" s="1099">
        <f t="shared" ref="H73:W73" si="63">SUM(H74:H78)</f>
        <v>0</v>
      </c>
      <c r="I73" s="1099">
        <f t="shared" si="63"/>
        <v>0</v>
      </c>
      <c r="J73" s="1099">
        <f t="shared" si="63"/>
        <v>0</v>
      </c>
      <c r="K73" s="1099">
        <f t="shared" si="63"/>
        <v>0</v>
      </c>
      <c r="L73" s="1647">
        <f t="shared" si="63"/>
        <v>0</v>
      </c>
      <c r="M73" s="1647">
        <f t="shared" si="63"/>
        <v>0</v>
      </c>
      <c r="N73" s="1099">
        <f t="shared" si="63"/>
        <v>0</v>
      </c>
      <c r="O73" s="1099">
        <f t="shared" si="63"/>
        <v>0</v>
      </c>
      <c r="P73" s="1647">
        <f t="shared" si="63"/>
        <v>0</v>
      </c>
      <c r="Q73" s="1099">
        <f t="shared" si="63"/>
        <v>0</v>
      </c>
      <c r="R73" s="1647">
        <f t="shared" si="63"/>
        <v>0</v>
      </c>
      <c r="S73" s="1647">
        <f t="shared" si="63"/>
        <v>251948351.60000002</v>
      </c>
      <c r="T73" s="1647">
        <f t="shared" si="63"/>
        <v>0</v>
      </c>
      <c r="U73" s="1647">
        <f t="shared" si="63"/>
        <v>0</v>
      </c>
      <c r="V73" s="1647">
        <f t="shared" si="63"/>
        <v>0</v>
      </c>
      <c r="W73" s="1647">
        <f t="shared" si="63"/>
        <v>0</v>
      </c>
      <c r="X73" s="543">
        <f>+X74+X75+X76+X77+X78</f>
        <v>181500</v>
      </c>
      <c r="Y73" s="1597">
        <f t="shared" ref="Y73:AD73" si="64">SUM(Y74:Y78)</f>
        <v>0</v>
      </c>
      <c r="Z73" s="1597">
        <f t="shared" si="64"/>
        <v>0</v>
      </c>
      <c r="AA73" s="1597">
        <f t="shared" si="64"/>
        <v>0</v>
      </c>
      <c r="AB73" s="1597">
        <f t="shared" si="64"/>
        <v>0</v>
      </c>
      <c r="AC73" s="1597">
        <f t="shared" si="64"/>
        <v>0</v>
      </c>
      <c r="AD73" s="1597">
        <f t="shared" si="64"/>
        <v>0</v>
      </c>
      <c r="AE73" s="1575">
        <f t="shared" ref="AE73:AE78" si="65">X73/$X$7</f>
        <v>4.2372930807835156E-2</v>
      </c>
      <c r="AF73" s="1557">
        <f t="shared" ref="AF73:AF78" si="66">Y73/1000</f>
        <v>0</v>
      </c>
      <c r="AG73" s="1576">
        <f>SUM(AG74:AG78)</f>
        <v>465000</v>
      </c>
      <c r="AH73" s="1689">
        <f>SUM(AH74:AH78)</f>
        <v>0</v>
      </c>
      <c r="AI73" s="1597">
        <f>SUM(AI74:AI78)</f>
        <v>265000</v>
      </c>
      <c r="AJ73" s="1597">
        <f>SUM(AJ74:AJ78)</f>
        <v>0</v>
      </c>
      <c r="AK73" s="1598">
        <f>SUM(AK74:AK78)</f>
        <v>200000</v>
      </c>
      <c r="AL73" s="1706">
        <f>(AF73/AF7)</f>
        <v>0</v>
      </c>
      <c r="AM73" s="1707">
        <f>+AM74+AM75+AM76+AM78+AM77</f>
        <v>0</v>
      </c>
      <c r="AN73" s="1599">
        <f t="shared" ref="AN73:AU73" si="67">SUM(AN74:AN78)</f>
        <v>12500000</v>
      </c>
      <c r="AO73" s="1597">
        <f t="shared" si="67"/>
        <v>12000000</v>
      </c>
      <c r="AP73" s="1599">
        <f t="shared" si="67"/>
        <v>500000</v>
      </c>
      <c r="AQ73" s="1689">
        <f t="shared" si="67"/>
        <v>250000</v>
      </c>
      <c r="AR73" s="1597">
        <f t="shared" si="67"/>
        <v>250000</v>
      </c>
      <c r="AS73" s="1597">
        <f t="shared" si="67"/>
        <v>0</v>
      </c>
      <c r="AT73" s="1597">
        <f t="shared" si="67"/>
        <v>0</v>
      </c>
      <c r="AU73" s="1602">
        <f t="shared" si="67"/>
        <v>264913351.60000002</v>
      </c>
      <c r="AV73" s="1603">
        <f t="shared" ref="AV73:AV78" si="68">AM73/$AM$7</f>
        <v>0</v>
      </c>
      <c r="AW73" s="1631">
        <f>+AW74+AW75+AW76+AW77+AW78</f>
        <v>25350</v>
      </c>
      <c r="AX73" s="1592">
        <f t="shared" ref="AX73:AX78" si="69">AW73/$AW$7</f>
        <v>4.7746568525537447E-4</v>
      </c>
    </row>
    <row r="74" spans="1:50" ht="15.75" customHeight="1" x14ac:dyDescent="0.25">
      <c r="A74" s="1652" t="s">
        <v>110</v>
      </c>
      <c r="B74" s="2009" t="s">
        <v>111</v>
      </c>
      <c r="C74" s="2004"/>
      <c r="D74" s="1608">
        <f>+G74+Y74+AG74+AN74</f>
        <v>13423597.43</v>
      </c>
      <c r="E74" s="1552">
        <f t="shared" si="60"/>
        <v>13423597.43</v>
      </c>
      <c r="F74" s="1447">
        <f t="shared" si="61"/>
        <v>10080</v>
      </c>
      <c r="G74" s="1608">
        <f t="shared" si="62"/>
        <v>13423597.43</v>
      </c>
      <c r="H74" s="78"/>
      <c r="I74" s="78"/>
      <c r="J74" s="78"/>
      <c r="K74" s="78"/>
      <c r="L74" s="78"/>
      <c r="M74" s="1586"/>
      <c r="N74" s="78"/>
      <c r="O74" s="78"/>
      <c r="P74" s="78"/>
      <c r="Q74" s="78"/>
      <c r="R74" s="1586">
        <v>0</v>
      </c>
      <c r="S74" s="1586">
        <v>13423597.43</v>
      </c>
      <c r="T74" s="1586"/>
      <c r="U74" s="1586"/>
      <c r="V74" s="1586"/>
      <c r="W74" s="1586"/>
      <c r="X74" s="1588">
        <f>10080000/1000</f>
        <v>10080</v>
      </c>
      <c r="Y74" s="1561">
        <f>SUM(Z74:AD74)</f>
        <v>0</v>
      </c>
      <c r="Z74" s="1561">
        <f>SUM(AH72:AN72)</f>
        <v>0</v>
      </c>
      <c r="AA74" s="1561">
        <f>SUM(AI72:AU72)</f>
        <v>0</v>
      </c>
      <c r="AB74" s="1561">
        <f>SUM(AJ72:AW72)</f>
        <v>0</v>
      </c>
      <c r="AC74" s="1561">
        <f>SUM(AN72:AX72)</f>
        <v>0</v>
      </c>
      <c r="AD74" s="1561">
        <f>SUM(AU72:AY72)</f>
        <v>0</v>
      </c>
      <c r="AE74" s="1609">
        <f t="shared" si="65"/>
        <v>2.3532735126334894E-3</v>
      </c>
      <c r="AF74" s="1561">
        <f t="shared" si="66"/>
        <v>0</v>
      </c>
      <c r="AG74" s="1576">
        <f>SUM(AH74:AK74)</f>
        <v>0</v>
      </c>
      <c r="AH74" s="1611">
        <v>0</v>
      </c>
      <c r="AI74" s="1612">
        <v>0</v>
      </c>
      <c r="AJ74" s="1612"/>
      <c r="AK74" s="1612"/>
      <c r="AL74" s="1613">
        <f>(AF74/AF7)</f>
        <v>0</v>
      </c>
      <c r="AM74" s="1614">
        <f>AG74/1000</f>
        <v>0</v>
      </c>
      <c r="AN74" s="1615">
        <f>SUM(AO74+AP74)</f>
        <v>0</v>
      </c>
      <c r="AO74" s="1612"/>
      <c r="AP74" s="1615">
        <f>SUM(AQ74:AT74)</f>
        <v>0</v>
      </c>
      <c r="AQ74" s="1611"/>
      <c r="AR74" s="1612"/>
      <c r="AS74" s="1612"/>
      <c r="AT74" s="1612"/>
      <c r="AU74" s="1616">
        <f>SUM(AN74+AG74+Y74+G74)</f>
        <v>13423597.43</v>
      </c>
      <c r="AV74" s="1617">
        <f t="shared" si="68"/>
        <v>0</v>
      </c>
      <c r="AW74" s="1627">
        <v>0</v>
      </c>
      <c r="AX74" s="1619">
        <f t="shared" si="69"/>
        <v>0</v>
      </c>
    </row>
    <row r="75" spans="1:50" ht="15.75" customHeight="1" thickBot="1" x14ac:dyDescent="0.3">
      <c r="A75" s="1708" t="s">
        <v>112</v>
      </c>
      <c r="B75" s="2022" t="s">
        <v>113</v>
      </c>
      <c r="C75" s="2000"/>
      <c r="D75" s="1709">
        <f>+G75+Y75+AG75+AN75</f>
        <v>63032662.439999998</v>
      </c>
      <c r="E75" s="1710">
        <f t="shared" si="60"/>
        <v>63032662.439999998</v>
      </c>
      <c r="F75" s="1507">
        <f t="shared" si="61"/>
        <v>73500</v>
      </c>
      <c r="G75" s="1709">
        <f t="shared" si="62"/>
        <v>63032662.439999998</v>
      </c>
      <c r="H75" s="1711"/>
      <c r="I75" s="1711"/>
      <c r="J75" s="1711"/>
      <c r="K75" s="1711"/>
      <c r="L75" s="1712"/>
      <c r="M75" s="1713"/>
      <c r="N75" s="1711"/>
      <c r="O75" s="1711"/>
      <c r="P75" s="1712"/>
      <c r="Q75" s="1711"/>
      <c r="R75" s="1713">
        <v>0</v>
      </c>
      <c r="S75" s="1713">
        <v>63032662.439999998</v>
      </c>
      <c r="T75" s="1713"/>
      <c r="U75" s="1713"/>
      <c r="V75" s="1713"/>
      <c r="W75" s="1713"/>
      <c r="X75" s="1714">
        <f>73500000/1000</f>
        <v>73500</v>
      </c>
      <c r="Y75" s="1715">
        <f>SUM(Z75:AD75)</f>
        <v>0</v>
      </c>
      <c r="Z75" s="1715"/>
      <c r="AA75" s="1715"/>
      <c r="AB75" s="1715"/>
      <c r="AC75" s="1715"/>
      <c r="AD75" s="1715"/>
      <c r="AE75" s="1716">
        <f t="shared" si="65"/>
        <v>1.7159286029619195E-2</v>
      </c>
      <c r="AF75" s="1715">
        <f t="shared" si="66"/>
        <v>0</v>
      </c>
      <c r="AG75" s="1717">
        <f>SUM(AH75:AK75)</f>
        <v>0</v>
      </c>
      <c r="AH75" s="1718">
        <v>0</v>
      </c>
      <c r="AI75" s="1719">
        <v>0</v>
      </c>
      <c r="AJ75" s="1719">
        <v>0</v>
      </c>
      <c r="AK75" s="1719">
        <v>0</v>
      </c>
      <c r="AL75" s="1720">
        <f>(AF75/AF7)</f>
        <v>0</v>
      </c>
      <c r="AM75" s="1721">
        <f>AG75/1000</f>
        <v>0</v>
      </c>
      <c r="AN75" s="1722">
        <f>SUM(AO75+AP75)</f>
        <v>0</v>
      </c>
      <c r="AO75" s="1719"/>
      <c r="AP75" s="1722">
        <f>SUM(AQ75:AT75)</f>
        <v>0</v>
      </c>
      <c r="AQ75" s="1718"/>
      <c r="AR75" s="1719"/>
      <c r="AS75" s="1719"/>
      <c r="AT75" s="1719"/>
      <c r="AU75" s="1723">
        <f>SUM(AN75+AG75+Y75+G75)</f>
        <v>63032662.439999998</v>
      </c>
      <c r="AV75" s="1724">
        <f t="shared" si="68"/>
        <v>0</v>
      </c>
      <c r="AW75" s="1725">
        <v>0</v>
      </c>
      <c r="AX75" s="1726">
        <f t="shared" si="69"/>
        <v>0</v>
      </c>
    </row>
    <row r="76" spans="1:50" ht="15.75" customHeight="1" x14ac:dyDescent="0.25">
      <c r="A76" s="1520" t="s">
        <v>114</v>
      </c>
      <c r="B76" s="2009" t="s">
        <v>115</v>
      </c>
      <c r="C76" s="2004"/>
      <c r="D76" s="1608">
        <f>+G76+Y76+AG76+AN76</f>
        <v>837378.86</v>
      </c>
      <c r="E76" s="1552">
        <f t="shared" si="60"/>
        <v>837378.86</v>
      </c>
      <c r="F76" s="1447">
        <f t="shared" si="61"/>
        <v>200</v>
      </c>
      <c r="G76" s="1608">
        <f t="shared" si="62"/>
        <v>637378.86</v>
      </c>
      <c r="H76" s="1103"/>
      <c r="I76" s="1103"/>
      <c r="J76" s="1103"/>
      <c r="K76" s="1103">
        <v>0</v>
      </c>
      <c r="L76" s="78">
        <v>0</v>
      </c>
      <c r="M76" s="1586"/>
      <c r="N76" s="1103">
        <v>0</v>
      </c>
      <c r="O76" s="1103"/>
      <c r="P76" s="78"/>
      <c r="Q76" s="1103"/>
      <c r="R76" s="1586">
        <v>0</v>
      </c>
      <c r="S76" s="1586">
        <v>637378.86</v>
      </c>
      <c r="T76" s="1586"/>
      <c r="U76" s="1586"/>
      <c r="V76" s="1586"/>
      <c r="W76" s="1586"/>
      <c r="X76" s="1588">
        <f>200000/1000</f>
        <v>200</v>
      </c>
      <c r="Y76" s="1561">
        <f>SUM(Z76:AD76)</f>
        <v>0</v>
      </c>
      <c r="Z76" s="1561"/>
      <c r="AA76" s="1561"/>
      <c r="AB76" s="1561"/>
      <c r="AC76" s="1561"/>
      <c r="AD76" s="1561"/>
      <c r="AE76" s="1609">
        <f t="shared" si="65"/>
        <v>4.6691934774473997E-5</v>
      </c>
      <c r="AF76" s="1561">
        <f t="shared" si="66"/>
        <v>0</v>
      </c>
      <c r="AG76" s="1576">
        <f>SUM(AH76:AK76)</f>
        <v>200000</v>
      </c>
      <c r="AH76" s="1611"/>
      <c r="AI76" s="1612"/>
      <c r="AJ76" s="1612"/>
      <c r="AK76" s="1612">
        <v>200000</v>
      </c>
      <c r="AL76" s="1613">
        <f>(AF76/AF7)</f>
        <v>0</v>
      </c>
      <c r="AM76" s="1614">
        <v>0</v>
      </c>
      <c r="AN76" s="1615">
        <f>SUM(AO76+AP76)</f>
        <v>0</v>
      </c>
      <c r="AO76" s="1612"/>
      <c r="AP76" s="1615">
        <f>SUM(AQ76:AT76)</f>
        <v>0</v>
      </c>
      <c r="AQ76" s="1611"/>
      <c r="AR76" s="1612"/>
      <c r="AS76" s="1612"/>
      <c r="AT76" s="1612"/>
      <c r="AU76" s="1616">
        <f>SUM(AN76+AG76+Y76+G76)</f>
        <v>837378.86</v>
      </c>
      <c r="AV76" s="1617">
        <f t="shared" si="68"/>
        <v>0</v>
      </c>
      <c r="AW76" s="1627">
        <f>0/1000</f>
        <v>0</v>
      </c>
      <c r="AX76" s="1619">
        <f t="shared" si="69"/>
        <v>0</v>
      </c>
    </row>
    <row r="77" spans="1:50" ht="15.75" customHeight="1" x14ac:dyDescent="0.25">
      <c r="A77" s="1520" t="s">
        <v>116</v>
      </c>
      <c r="B77" s="2009" t="s">
        <v>117</v>
      </c>
      <c r="C77" s="2004"/>
      <c r="D77" s="1608">
        <f>+G77+Y77+AG77+AN77</f>
        <v>150249175.37</v>
      </c>
      <c r="E77" s="1552">
        <f t="shared" si="60"/>
        <v>150249175.37</v>
      </c>
      <c r="F77" s="1447">
        <f t="shared" si="61"/>
        <v>53070</v>
      </c>
      <c r="G77" s="1608">
        <f t="shared" si="62"/>
        <v>137749175.37</v>
      </c>
      <c r="H77" s="1103"/>
      <c r="I77" s="1103">
        <v>0</v>
      </c>
      <c r="J77" s="1103"/>
      <c r="K77" s="1103"/>
      <c r="L77" s="78"/>
      <c r="M77" s="1586">
        <v>0</v>
      </c>
      <c r="N77" s="1103">
        <v>0</v>
      </c>
      <c r="O77" s="1103"/>
      <c r="P77" s="78"/>
      <c r="Q77" s="1103"/>
      <c r="R77" s="1586">
        <v>0</v>
      </c>
      <c r="S77" s="1586">
        <v>137749175.37</v>
      </c>
      <c r="T77" s="1586"/>
      <c r="U77" s="1586"/>
      <c r="V77" s="1586"/>
      <c r="W77" s="1586"/>
      <c r="X77" s="1588">
        <f>27720000/1000</f>
        <v>27720</v>
      </c>
      <c r="Y77" s="1561">
        <f>SUM(Z77:AD77)</f>
        <v>0</v>
      </c>
      <c r="Z77" s="1561">
        <v>0</v>
      </c>
      <c r="AA77" s="1561">
        <v>0</v>
      </c>
      <c r="AB77" s="1561">
        <v>0</v>
      </c>
      <c r="AC77" s="1561">
        <v>0</v>
      </c>
      <c r="AD77" s="1561">
        <v>0</v>
      </c>
      <c r="AE77" s="1609">
        <f t="shared" si="65"/>
        <v>6.4715021597420959E-3</v>
      </c>
      <c r="AF77" s="1561">
        <f t="shared" si="66"/>
        <v>0</v>
      </c>
      <c r="AG77" s="1576">
        <f>SUM(AH77:AK77)</f>
        <v>0</v>
      </c>
      <c r="AH77" s="1727">
        <v>0</v>
      </c>
      <c r="AI77" s="1578">
        <v>0</v>
      </c>
      <c r="AJ77" s="1590">
        <v>0</v>
      </c>
      <c r="AK77" s="1590">
        <v>0</v>
      </c>
      <c r="AL77" s="1613">
        <f>(AF77/AF7)</f>
        <v>0</v>
      </c>
      <c r="AM77" s="1614">
        <f>AG77/1000</f>
        <v>0</v>
      </c>
      <c r="AN77" s="1615">
        <f>SUM(AO77+AP77)</f>
        <v>12500000</v>
      </c>
      <c r="AO77" s="1590">
        <v>12000000</v>
      </c>
      <c r="AP77" s="1615">
        <f>SUM(AQ77:AT77)</f>
        <v>500000</v>
      </c>
      <c r="AQ77" s="1642">
        <v>250000</v>
      </c>
      <c r="AR77" s="1590">
        <v>250000</v>
      </c>
      <c r="AS77" s="1590"/>
      <c r="AT77" s="1590"/>
      <c r="AU77" s="1616">
        <f>SUM(AN77+AG77+Y77+G77)</f>
        <v>150249175.37</v>
      </c>
      <c r="AV77" s="1617">
        <f t="shared" si="68"/>
        <v>0</v>
      </c>
      <c r="AW77" s="1627">
        <f>25350000/1000</f>
        <v>25350</v>
      </c>
      <c r="AX77" s="1619">
        <f t="shared" si="69"/>
        <v>4.7746568525537447E-4</v>
      </c>
    </row>
    <row r="78" spans="1:50" ht="15.75" customHeight="1" x14ac:dyDescent="0.25">
      <c r="A78" s="1520" t="s">
        <v>118</v>
      </c>
      <c r="B78" s="2009" t="s">
        <v>119</v>
      </c>
      <c r="C78" s="2004"/>
      <c r="D78" s="1608">
        <f>+G78+Y78+AG78+AN78</f>
        <v>37370537.5</v>
      </c>
      <c r="E78" s="1552">
        <f t="shared" si="60"/>
        <v>37370537.5</v>
      </c>
      <c r="F78" s="1447">
        <f t="shared" si="61"/>
        <v>70000</v>
      </c>
      <c r="G78" s="1608">
        <f t="shared" si="62"/>
        <v>37105537.5</v>
      </c>
      <c r="H78" s="1103"/>
      <c r="I78" s="1103"/>
      <c r="J78" s="1103"/>
      <c r="K78" s="1103"/>
      <c r="L78" s="78"/>
      <c r="M78" s="1586"/>
      <c r="N78" s="1103">
        <v>0</v>
      </c>
      <c r="O78" s="1103"/>
      <c r="P78" s="78"/>
      <c r="Q78" s="1103"/>
      <c r="R78" s="1586">
        <v>0</v>
      </c>
      <c r="S78" s="1586">
        <v>37105537.5</v>
      </c>
      <c r="T78" s="1586"/>
      <c r="U78" s="1586"/>
      <c r="V78" s="1586"/>
      <c r="W78" s="1586"/>
      <c r="X78" s="1588">
        <f>70000000/1000</f>
        <v>70000</v>
      </c>
      <c r="Y78" s="1561">
        <f>SUM(Z78:AD78)</f>
        <v>0</v>
      </c>
      <c r="Z78" s="1561"/>
      <c r="AA78" s="1561"/>
      <c r="AB78" s="1561"/>
      <c r="AC78" s="1561"/>
      <c r="AD78" s="1561"/>
      <c r="AE78" s="1609">
        <f t="shared" si="65"/>
        <v>1.63421771710659E-2</v>
      </c>
      <c r="AF78" s="1561">
        <f t="shared" si="66"/>
        <v>0</v>
      </c>
      <c r="AG78" s="1576">
        <f>SUM(AH78:AK78)</f>
        <v>265000</v>
      </c>
      <c r="AH78" s="1728">
        <v>0</v>
      </c>
      <c r="AI78" s="1729">
        <v>265000</v>
      </c>
      <c r="AJ78" s="1729">
        <v>0</v>
      </c>
      <c r="AK78" s="1729">
        <v>0</v>
      </c>
      <c r="AL78" s="1613">
        <f>(AF78/AF7)</f>
        <v>0</v>
      </c>
      <c r="AM78" s="1614">
        <v>0</v>
      </c>
      <c r="AN78" s="1615">
        <f>SUM(AO78+AP78)</f>
        <v>0</v>
      </c>
      <c r="AO78" s="1729"/>
      <c r="AP78" s="1615">
        <f>SUM(AQ78:AT78)</f>
        <v>0</v>
      </c>
      <c r="AQ78" s="1728"/>
      <c r="AR78" s="1729"/>
      <c r="AS78" s="1729"/>
      <c r="AT78" s="1729"/>
      <c r="AU78" s="1616">
        <f>SUM(AN78+AG78+Y78+G78)</f>
        <v>37370537.5</v>
      </c>
      <c r="AV78" s="1617">
        <f t="shared" si="68"/>
        <v>0</v>
      </c>
      <c r="AW78" s="1627">
        <v>0</v>
      </c>
      <c r="AX78" s="1619">
        <f t="shared" si="69"/>
        <v>0</v>
      </c>
    </row>
    <row r="79" spans="1:50" ht="15.75" customHeight="1" x14ac:dyDescent="0.25">
      <c r="A79" s="1520"/>
      <c r="B79" s="1624"/>
      <c r="C79" s="1513"/>
      <c r="D79" s="1608"/>
      <c r="E79" s="1552"/>
      <c r="F79" s="1447"/>
      <c r="G79" s="1608"/>
      <c r="H79" s="1103"/>
      <c r="I79" s="1103"/>
      <c r="J79" s="1103"/>
      <c r="K79" s="1103"/>
      <c r="L79" s="78"/>
      <c r="M79" s="1586"/>
      <c r="N79" s="1103"/>
      <c r="O79" s="1103"/>
      <c r="P79" s="78"/>
      <c r="Q79" s="1103"/>
      <c r="R79" s="1586"/>
      <c r="S79" s="1586"/>
      <c r="T79" s="1586"/>
      <c r="U79" s="1586"/>
      <c r="V79" s="1586"/>
      <c r="W79" s="1586"/>
      <c r="X79" s="1588"/>
      <c r="Y79" s="1514"/>
      <c r="Z79" s="1514"/>
      <c r="AA79" s="1514"/>
      <c r="AB79" s="1514"/>
      <c r="AC79" s="1514"/>
      <c r="AD79" s="1514"/>
      <c r="AE79" s="1575"/>
      <c r="AF79" s="1561"/>
      <c r="AG79" s="1576"/>
      <c r="AH79" s="1728"/>
      <c r="AI79" s="1729"/>
      <c r="AJ79" s="1729"/>
      <c r="AK79" s="1729"/>
      <c r="AL79" s="1613"/>
      <c r="AM79" s="1614"/>
      <c r="AN79" s="1599"/>
      <c r="AO79" s="1729"/>
      <c r="AP79" s="1730"/>
      <c r="AQ79" s="1728"/>
      <c r="AR79" s="1729"/>
      <c r="AS79" s="1729"/>
      <c r="AT79" s="1729"/>
      <c r="AU79" s="1616"/>
      <c r="AV79" s="1603"/>
      <c r="AW79" s="1627"/>
      <c r="AX79" s="1592"/>
    </row>
    <row r="80" spans="1:50" ht="15.75" customHeight="1" x14ac:dyDescent="0.25">
      <c r="A80" s="1517" t="s">
        <v>120</v>
      </c>
      <c r="B80" s="2013" t="s">
        <v>121</v>
      </c>
      <c r="C80" s="2002"/>
      <c r="D80" s="1573">
        <f>SUM(D81:D86)</f>
        <v>2827787227.8299999</v>
      </c>
      <c r="E80" s="1572">
        <f t="shared" ref="E80:E86" si="70">SUM(G80+Y80+AG80+AN80)</f>
        <v>2827787227.8299999</v>
      </c>
      <c r="F80" s="1495">
        <f t="shared" ref="F80:F86" si="71">+X80+AF80+AM80+AW80</f>
        <v>2055239.5</v>
      </c>
      <c r="G80" s="1573">
        <f t="shared" ref="G80:G86" si="72">SUM(H80:W80)</f>
        <v>345027726.18000001</v>
      </c>
      <c r="H80" s="1574">
        <f t="shared" ref="H80:W80" si="73">SUM(H81:H86)</f>
        <v>55000</v>
      </c>
      <c r="I80" s="1574">
        <f t="shared" si="73"/>
        <v>200000</v>
      </c>
      <c r="J80" s="1574">
        <f t="shared" si="73"/>
        <v>6400000</v>
      </c>
      <c r="K80" s="1574">
        <f t="shared" si="73"/>
        <v>100000</v>
      </c>
      <c r="L80" s="1574">
        <f t="shared" si="73"/>
        <v>3000000</v>
      </c>
      <c r="M80" s="1574">
        <f t="shared" si="73"/>
        <v>0</v>
      </c>
      <c r="N80" s="1574">
        <f t="shared" si="73"/>
        <v>100000</v>
      </c>
      <c r="O80" s="1574">
        <f t="shared" si="73"/>
        <v>0</v>
      </c>
      <c r="P80" s="1574">
        <f t="shared" si="73"/>
        <v>0</v>
      </c>
      <c r="Q80" s="1574">
        <f t="shared" si="73"/>
        <v>200000</v>
      </c>
      <c r="R80" s="1574">
        <f t="shared" si="73"/>
        <v>500000</v>
      </c>
      <c r="S80" s="1574">
        <f t="shared" si="73"/>
        <v>5639726.1799999997</v>
      </c>
      <c r="T80" s="1574">
        <f t="shared" si="73"/>
        <v>500000</v>
      </c>
      <c r="U80" s="1574">
        <f t="shared" si="73"/>
        <v>16960000</v>
      </c>
      <c r="V80" s="1574">
        <f t="shared" si="73"/>
        <v>310973000</v>
      </c>
      <c r="W80" s="1574">
        <f t="shared" si="73"/>
        <v>400000</v>
      </c>
      <c r="X80" s="1628">
        <f>+X81+X82+X83+X84+X85+X86</f>
        <v>49522</v>
      </c>
      <c r="Y80" s="1578">
        <f t="shared" ref="Y80:AD80" si="74">SUM(Y81:Y85)</f>
        <v>5480000</v>
      </c>
      <c r="Z80" s="1578">
        <f t="shared" si="74"/>
        <v>4000000</v>
      </c>
      <c r="AA80" s="1578">
        <f t="shared" si="74"/>
        <v>0</v>
      </c>
      <c r="AB80" s="1578">
        <f t="shared" si="74"/>
        <v>1000000</v>
      </c>
      <c r="AC80" s="1578">
        <f t="shared" si="74"/>
        <v>240000</v>
      </c>
      <c r="AD80" s="1578">
        <f t="shared" si="74"/>
        <v>240000</v>
      </c>
      <c r="AE80" s="1575">
        <f t="shared" ref="AE80:AE86" si="75">X80/$X$7</f>
        <v>1.1561389969507507E-2</v>
      </c>
      <c r="AF80" s="1557">
        <f>+AF81+AF82+AF83+AF84+AF85+AF86</f>
        <v>10730.5</v>
      </c>
      <c r="AG80" s="1576">
        <f>SUM(AG81:AG86)</f>
        <v>1470000</v>
      </c>
      <c r="AH80" s="1731">
        <f>SUM(AH81:AH86)</f>
        <v>100000</v>
      </c>
      <c r="AI80" s="1732">
        <f>SUM(AI81:AI86)</f>
        <v>500000</v>
      </c>
      <c r="AJ80" s="1732">
        <f>SUM(AJ81:AJ86)</f>
        <v>70000</v>
      </c>
      <c r="AK80" s="1732">
        <f>SUM(AK81:AK86)</f>
        <v>800000</v>
      </c>
      <c r="AL80" s="1577">
        <f>(AF80/AF7)</f>
        <v>7.1132833054040273E-3</v>
      </c>
      <c r="AM80" s="1598">
        <f>+AM81+AM82+AM83+AM84+AM85+AM86</f>
        <v>4700</v>
      </c>
      <c r="AN80" s="1599">
        <f t="shared" ref="AN80:AU80" si="76">SUM(AN81:AN86)</f>
        <v>2475809501.6500001</v>
      </c>
      <c r="AO80" s="1732">
        <f t="shared" si="76"/>
        <v>2424209501.6500001</v>
      </c>
      <c r="AP80" s="1730">
        <f t="shared" si="76"/>
        <v>51600000</v>
      </c>
      <c r="AQ80" s="1731">
        <f t="shared" si="76"/>
        <v>0</v>
      </c>
      <c r="AR80" s="1732">
        <f t="shared" si="76"/>
        <v>46300000</v>
      </c>
      <c r="AS80" s="1732">
        <f t="shared" si="76"/>
        <v>0</v>
      </c>
      <c r="AT80" s="1732">
        <f t="shared" si="76"/>
        <v>5300000</v>
      </c>
      <c r="AU80" s="1602">
        <f t="shared" si="76"/>
        <v>2827787227.8299999</v>
      </c>
      <c r="AV80" s="1603">
        <f t="shared" ref="AV80:AV86" si="77">AM80/$AM$7</f>
        <v>7.6044311928562226E-4</v>
      </c>
      <c r="AW80" s="1631">
        <f>+AW81+AW82+AW83+AW84+AW85+AW86</f>
        <v>1990287</v>
      </c>
      <c r="AX80" s="1592">
        <f t="shared" ref="AX80:AX86" si="78">AW80/$AW$7</f>
        <v>3.7486932793288498E-2</v>
      </c>
    </row>
    <row r="81" spans="1:50" ht="15.75" customHeight="1" x14ac:dyDescent="0.25">
      <c r="A81" s="1733" t="s">
        <v>122</v>
      </c>
      <c r="B81" s="2009" t="s">
        <v>123</v>
      </c>
      <c r="C81" s="2004"/>
      <c r="D81" s="1608">
        <f t="shared" ref="D81:D86" si="79">+G81+Y81+AG81+AN81</f>
        <v>35400487.509999998</v>
      </c>
      <c r="E81" s="1552">
        <f t="shared" si="70"/>
        <v>35400487.509999998</v>
      </c>
      <c r="F81" s="1447">
        <f t="shared" si="71"/>
        <v>20600</v>
      </c>
      <c r="G81" s="1608">
        <f t="shared" si="72"/>
        <v>15689985.859999999</v>
      </c>
      <c r="H81" s="1734"/>
      <c r="I81" s="1734"/>
      <c r="J81" s="78">
        <v>2000000</v>
      </c>
      <c r="K81" s="1734"/>
      <c r="L81" s="1647">
        <v>3000000</v>
      </c>
      <c r="M81" s="1586"/>
      <c r="N81" s="1734"/>
      <c r="O81" s="78">
        <v>0</v>
      </c>
      <c r="P81" s="1647"/>
      <c r="Q81" s="78"/>
      <c r="R81" s="1586"/>
      <c r="S81" s="1586">
        <v>116985.86</v>
      </c>
      <c r="T81" s="1586"/>
      <c r="U81" s="1586">
        <v>10400000</v>
      </c>
      <c r="V81" s="1586">
        <v>123000</v>
      </c>
      <c r="W81" s="1586">
        <v>50000</v>
      </c>
      <c r="X81" s="1588">
        <f>14500000/1000</f>
        <v>14500</v>
      </c>
      <c r="Y81" s="1561">
        <f t="shared" ref="Y81:Y86" si="80">SUM(Z81:AD81)</f>
        <v>2200000</v>
      </c>
      <c r="Z81" s="1561">
        <v>1000000</v>
      </c>
      <c r="AA81" s="1561"/>
      <c r="AB81" s="1561">
        <v>1000000</v>
      </c>
      <c r="AC81" s="1561">
        <v>100000</v>
      </c>
      <c r="AD81" s="1561">
        <v>100000</v>
      </c>
      <c r="AE81" s="1609">
        <f t="shared" si="75"/>
        <v>3.385165271149365E-3</v>
      </c>
      <c r="AF81" s="1561">
        <f>1500000/1000</f>
        <v>1500</v>
      </c>
      <c r="AG81" s="1576">
        <f t="shared" ref="AG81:AG86" si="81">SUM(AH81:AK81)</f>
        <v>0</v>
      </c>
      <c r="AH81" s="1728">
        <v>0</v>
      </c>
      <c r="AI81" s="1729">
        <v>0</v>
      </c>
      <c r="AJ81" s="1729">
        <v>0</v>
      </c>
      <c r="AK81" s="1729">
        <v>0</v>
      </c>
      <c r="AL81" s="1613">
        <f>(AF81/AF7)</f>
        <v>9.9435487238302414E-4</v>
      </c>
      <c r="AM81" s="1614">
        <v>0</v>
      </c>
      <c r="AN81" s="1615">
        <f t="shared" ref="AN81:AN86" si="82">SUM(AO81+AP81)</f>
        <v>17510501.649999999</v>
      </c>
      <c r="AO81" s="1729">
        <f>2000000+13910501.65</f>
        <v>15910501.65</v>
      </c>
      <c r="AP81" s="1615">
        <f t="shared" ref="AP81:AP86" si="83">SUM(AQ81:AT81)</f>
        <v>1600000</v>
      </c>
      <c r="AQ81" s="1728"/>
      <c r="AR81" s="1729">
        <v>800000</v>
      </c>
      <c r="AS81" s="1729"/>
      <c r="AT81" s="1729">
        <v>800000</v>
      </c>
      <c r="AU81" s="1616">
        <f t="shared" ref="AU81:AU86" si="84">SUM(AN81+AG81+Y81+G81)</f>
        <v>35400487.509999998</v>
      </c>
      <c r="AV81" s="1617">
        <f t="shared" si="77"/>
        <v>0</v>
      </c>
      <c r="AW81" s="1627">
        <f>4600000/1000</f>
        <v>4600</v>
      </c>
      <c r="AX81" s="1619">
        <f t="shared" si="78"/>
        <v>8.6640716062119224E-5</v>
      </c>
    </row>
    <row r="82" spans="1:50" ht="15.75" customHeight="1" x14ac:dyDescent="0.25">
      <c r="A82" s="1733" t="s">
        <v>124</v>
      </c>
      <c r="B82" s="2009" t="s">
        <v>125</v>
      </c>
      <c r="C82" s="2004"/>
      <c r="D82" s="1608">
        <f t="shared" si="79"/>
        <v>145500000</v>
      </c>
      <c r="E82" s="1552">
        <f t="shared" si="70"/>
        <v>145500000</v>
      </c>
      <c r="F82" s="1447">
        <f t="shared" si="71"/>
        <v>360100</v>
      </c>
      <c r="G82" s="1608">
        <f t="shared" si="72"/>
        <v>4000000</v>
      </c>
      <c r="H82" s="1735"/>
      <c r="I82" s="1735"/>
      <c r="J82" s="1608">
        <v>4000000</v>
      </c>
      <c r="K82" s="1735"/>
      <c r="L82" s="1573"/>
      <c r="M82" s="1586"/>
      <c r="N82" s="1735"/>
      <c r="O82" s="1608"/>
      <c r="P82" s="1573"/>
      <c r="Q82" s="1735"/>
      <c r="R82" s="1586"/>
      <c r="S82" s="1586"/>
      <c r="T82" s="1586"/>
      <c r="U82" s="1586"/>
      <c r="V82" s="1586"/>
      <c r="W82" s="1586"/>
      <c r="X82" s="1588">
        <f>5000000/1000</f>
        <v>5000</v>
      </c>
      <c r="Y82" s="1561">
        <f t="shared" si="80"/>
        <v>500000</v>
      </c>
      <c r="Z82" s="1561">
        <v>500000</v>
      </c>
      <c r="AA82" s="1561"/>
      <c r="AB82" s="1561"/>
      <c r="AC82" s="1561"/>
      <c r="AD82" s="1561"/>
      <c r="AE82" s="1609">
        <f t="shared" si="75"/>
        <v>1.1672983693618499E-3</v>
      </c>
      <c r="AF82" s="1561">
        <f>100000/1000</f>
        <v>100</v>
      </c>
      <c r="AG82" s="1576">
        <f t="shared" si="81"/>
        <v>0</v>
      </c>
      <c r="AH82" s="1728">
        <v>0</v>
      </c>
      <c r="AI82" s="1729">
        <v>0</v>
      </c>
      <c r="AJ82" s="1729"/>
      <c r="AK82" s="1729"/>
      <c r="AL82" s="1613">
        <f>(AF82/AF7)</f>
        <v>6.629032482553495E-5</v>
      </c>
      <c r="AM82" s="1614">
        <v>0</v>
      </c>
      <c r="AN82" s="1615">
        <f t="shared" si="82"/>
        <v>141000000</v>
      </c>
      <c r="AO82" s="1729">
        <v>100000000</v>
      </c>
      <c r="AP82" s="1615">
        <f t="shared" si="83"/>
        <v>41000000</v>
      </c>
      <c r="AQ82" s="1728"/>
      <c r="AR82" s="1729">
        <v>41000000</v>
      </c>
      <c r="AS82" s="1729"/>
      <c r="AT82" s="1729"/>
      <c r="AU82" s="1616">
        <f t="shared" si="84"/>
        <v>145500000</v>
      </c>
      <c r="AV82" s="1617">
        <f t="shared" si="77"/>
        <v>0</v>
      </c>
      <c r="AW82" s="1627">
        <f>355000000/1000</f>
        <v>355000</v>
      </c>
      <c r="AX82" s="1619">
        <f t="shared" si="78"/>
        <v>6.6864030874026793E-3</v>
      </c>
    </row>
    <row r="83" spans="1:50" ht="15.75" customHeight="1" x14ac:dyDescent="0.25">
      <c r="A83" s="1733" t="s">
        <v>126</v>
      </c>
      <c r="B83" s="2009" t="s">
        <v>127</v>
      </c>
      <c r="C83" s="2004"/>
      <c r="D83" s="1608">
        <f t="shared" si="79"/>
        <v>24890478.990000002</v>
      </c>
      <c r="E83" s="1552">
        <f t="shared" si="70"/>
        <v>24890478.990000002</v>
      </c>
      <c r="F83" s="1447">
        <f t="shared" si="71"/>
        <v>21756.5</v>
      </c>
      <c r="G83" s="1608">
        <f t="shared" si="72"/>
        <v>8640478.9900000002</v>
      </c>
      <c r="H83" s="1103">
        <v>55000</v>
      </c>
      <c r="I83" s="1103">
        <v>200000</v>
      </c>
      <c r="J83" s="1103">
        <v>400000</v>
      </c>
      <c r="K83" s="1103">
        <v>100000</v>
      </c>
      <c r="L83" s="1653"/>
      <c r="M83" s="1586">
        <v>0</v>
      </c>
      <c r="N83" s="1103">
        <f>100000</f>
        <v>100000</v>
      </c>
      <c r="O83" s="78">
        <v>0</v>
      </c>
      <c r="P83" s="78"/>
      <c r="Q83" s="1103">
        <v>200000</v>
      </c>
      <c r="R83" s="1586">
        <v>500000</v>
      </c>
      <c r="S83" s="1586">
        <v>175478.99</v>
      </c>
      <c r="T83" s="1586">
        <f>400000+100000</f>
        <v>500000</v>
      </c>
      <c r="U83" s="1586">
        <v>1560000</v>
      </c>
      <c r="V83" s="1586">
        <v>4550000</v>
      </c>
      <c r="W83" s="1586">
        <v>300000</v>
      </c>
      <c r="X83" s="1588">
        <f>2476000/1000</f>
        <v>2476</v>
      </c>
      <c r="Y83" s="1561">
        <f t="shared" si="80"/>
        <v>2780000</v>
      </c>
      <c r="Z83" s="1561">
        <v>2500000</v>
      </c>
      <c r="AA83" s="1561"/>
      <c r="AB83" s="1561"/>
      <c r="AC83" s="1561">
        <v>140000</v>
      </c>
      <c r="AD83" s="1561">
        <v>140000</v>
      </c>
      <c r="AE83" s="1609">
        <f t="shared" si="75"/>
        <v>5.7804615250798815E-4</v>
      </c>
      <c r="AF83" s="1561">
        <f>9130500/1000</f>
        <v>9130.5</v>
      </c>
      <c r="AG83" s="1576">
        <f t="shared" si="81"/>
        <v>1470000</v>
      </c>
      <c r="AH83" s="1728">
        <v>100000</v>
      </c>
      <c r="AI83" s="1729">
        <v>500000</v>
      </c>
      <c r="AJ83" s="1729">
        <v>70000</v>
      </c>
      <c r="AK83" s="1729">
        <v>800000</v>
      </c>
      <c r="AL83" s="1613">
        <f>(AF83/AF7)</f>
        <v>6.0526381081954682E-3</v>
      </c>
      <c r="AM83" s="1614">
        <f>4700000/1000</f>
        <v>4700</v>
      </c>
      <c r="AN83" s="1615">
        <f t="shared" si="82"/>
        <v>12000000</v>
      </c>
      <c r="AO83" s="1729">
        <v>3000000</v>
      </c>
      <c r="AP83" s="1615">
        <f t="shared" si="83"/>
        <v>9000000</v>
      </c>
      <c r="AQ83" s="1728"/>
      <c r="AR83" s="1729">
        <v>4500000</v>
      </c>
      <c r="AS83" s="1729"/>
      <c r="AT83" s="1729">
        <v>4500000</v>
      </c>
      <c r="AU83" s="1616">
        <f t="shared" si="84"/>
        <v>24890478.990000002</v>
      </c>
      <c r="AV83" s="1617">
        <f t="shared" si="77"/>
        <v>7.6044311928562226E-4</v>
      </c>
      <c r="AW83" s="1627">
        <f>5450000/1000</f>
        <v>5450</v>
      </c>
      <c r="AX83" s="1619">
        <f t="shared" si="78"/>
        <v>1.0265041359533691E-4</v>
      </c>
    </row>
    <row r="84" spans="1:50" ht="21.75" customHeight="1" x14ac:dyDescent="0.25">
      <c r="A84" s="1733" t="s">
        <v>128</v>
      </c>
      <c r="B84" s="2009" t="s">
        <v>129</v>
      </c>
      <c r="C84" s="2004"/>
      <c r="D84" s="1608">
        <f t="shared" si="79"/>
        <v>82861.33</v>
      </c>
      <c r="E84" s="1552">
        <f t="shared" si="70"/>
        <v>82861.33</v>
      </c>
      <c r="F84" s="1447">
        <f t="shared" si="71"/>
        <v>500</v>
      </c>
      <c r="G84" s="1608">
        <f t="shared" si="72"/>
        <v>82861.33</v>
      </c>
      <c r="H84" s="1653"/>
      <c r="I84" s="1653"/>
      <c r="J84" s="1653"/>
      <c r="K84" s="1653"/>
      <c r="L84" s="78"/>
      <c r="M84" s="1586"/>
      <c r="N84" s="1653"/>
      <c r="O84" s="78"/>
      <c r="P84" s="78"/>
      <c r="Q84" s="1653"/>
      <c r="R84" s="1586"/>
      <c r="S84" s="1586">
        <v>32861.33</v>
      </c>
      <c r="T84" s="1586"/>
      <c r="U84" s="1586"/>
      <c r="V84" s="1586"/>
      <c r="W84" s="1586">
        <v>50000</v>
      </c>
      <c r="X84" s="1588">
        <f>500000/1000</f>
        <v>500</v>
      </c>
      <c r="Y84" s="1561">
        <f t="shared" si="80"/>
        <v>0</v>
      </c>
      <c r="Z84" s="1561"/>
      <c r="AA84" s="1561"/>
      <c r="AB84" s="1561"/>
      <c r="AC84" s="1561"/>
      <c r="AD84" s="1561"/>
      <c r="AE84" s="1609">
        <f t="shared" si="75"/>
        <v>1.16729836936185E-4</v>
      </c>
      <c r="AF84" s="1561">
        <v>0</v>
      </c>
      <c r="AG84" s="1576">
        <f t="shared" si="81"/>
        <v>0</v>
      </c>
      <c r="AH84" s="1611">
        <v>0</v>
      </c>
      <c r="AI84" s="1612">
        <v>0</v>
      </c>
      <c r="AJ84" s="1612"/>
      <c r="AK84" s="1612"/>
      <c r="AL84" s="1613">
        <f>(AF84/AF7)</f>
        <v>0</v>
      </c>
      <c r="AM84" s="1614">
        <v>0</v>
      </c>
      <c r="AN84" s="1615">
        <f t="shared" si="82"/>
        <v>0</v>
      </c>
      <c r="AO84" s="1612"/>
      <c r="AP84" s="1615">
        <f t="shared" si="83"/>
        <v>0</v>
      </c>
      <c r="AQ84" s="1611"/>
      <c r="AR84" s="1612"/>
      <c r="AS84" s="1612"/>
      <c r="AT84" s="1612"/>
      <c r="AU84" s="1616">
        <f t="shared" si="84"/>
        <v>82861.33</v>
      </c>
      <c r="AV84" s="1617">
        <f t="shared" si="77"/>
        <v>0</v>
      </c>
      <c r="AW84" s="1627">
        <v>0</v>
      </c>
      <c r="AX84" s="1619">
        <f t="shared" si="78"/>
        <v>0</v>
      </c>
    </row>
    <row r="85" spans="1:50" ht="30.75" customHeight="1" x14ac:dyDescent="0.25">
      <c r="A85" s="1736" t="s">
        <v>130</v>
      </c>
      <c r="B85" s="2009" t="s">
        <v>131</v>
      </c>
      <c r="C85" s="2019"/>
      <c r="D85" s="1608">
        <f t="shared" si="79"/>
        <v>2615713400</v>
      </c>
      <c r="E85" s="1552">
        <f t="shared" si="70"/>
        <v>2615713400</v>
      </c>
      <c r="F85" s="1447">
        <f t="shared" si="71"/>
        <v>1651887</v>
      </c>
      <c r="G85" s="1608">
        <f t="shared" si="72"/>
        <v>310414400</v>
      </c>
      <c r="H85" s="1103"/>
      <c r="I85" s="1653"/>
      <c r="J85" s="1653"/>
      <c r="K85" s="78">
        <v>0</v>
      </c>
      <c r="L85" s="78">
        <v>0</v>
      </c>
      <c r="M85" s="1586"/>
      <c r="N85" s="1653"/>
      <c r="O85" s="78"/>
      <c r="P85" s="78"/>
      <c r="Q85" s="1653"/>
      <c r="R85" s="1586"/>
      <c r="S85" s="1586">
        <v>114400</v>
      </c>
      <c r="T85" s="1586"/>
      <c r="U85" s="1586">
        <v>5000000</v>
      </c>
      <c r="V85" s="1586">
        <f>15300000+290000000</f>
        <v>305300000</v>
      </c>
      <c r="W85" s="1586"/>
      <c r="X85" s="1588">
        <f>26650000/1000</f>
        <v>26650</v>
      </c>
      <c r="Y85" s="1561">
        <f t="shared" si="80"/>
        <v>0</v>
      </c>
      <c r="Z85" s="1561">
        <v>0</v>
      </c>
      <c r="AA85" s="1561">
        <v>0</v>
      </c>
      <c r="AB85" s="1561">
        <v>0</v>
      </c>
      <c r="AC85" s="1561">
        <v>0</v>
      </c>
      <c r="AD85" s="1561">
        <v>0</v>
      </c>
      <c r="AE85" s="1609">
        <f t="shared" si="75"/>
        <v>6.2217003086986605E-3</v>
      </c>
      <c r="AF85" s="1561">
        <v>0</v>
      </c>
      <c r="AG85" s="1576">
        <f t="shared" si="81"/>
        <v>0</v>
      </c>
      <c r="AH85" s="1638">
        <v>0</v>
      </c>
      <c r="AI85" s="1639">
        <v>0</v>
      </c>
      <c r="AJ85" s="1639">
        <v>0</v>
      </c>
      <c r="AK85" s="1639">
        <v>0</v>
      </c>
      <c r="AL85" s="1613">
        <f>(AF85/AF7)</f>
        <v>0</v>
      </c>
      <c r="AM85" s="1614">
        <v>0</v>
      </c>
      <c r="AN85" s="1615">
        <f t="shared" si="82"/>
        <v>2305299000</v>
      </c>
      <c r="AO85" s="1637">
        <f>245299000+2060000000</f>
        <v>2305299000</v>
      </c>
      <c r="AP85" s="1615">
        <f t="shared" si="83"/>
        <v>0</v>
      </c>
      <c r="AQ85" s="1692">
        <v>0</v>
      </c>
      <c r="AR85" s="1637">
        <v>0</v>
      </c>
      <c r="AS85" s="1637">
        <v>0</v>
      </c>
      <c r="AT85" s="1637">
        <v>0</v>
      </c>
      <c r="AU85" s="1616">
        <f t="shared" si="84"/>
        <v>2615713400</v>
      </c>
      <c r="AV85" s="1617">
        <f t="shared" si="77"/>
        <v>0</v>
      </c>
      <c r="AW85" s="1627">
        <f>1625237000/1000</f>
        <v>1625237</v>
      </c>
      <c r="AX85" s="1619">
        <f t="shared" si="78"/>
        <v>3.0611238576228363E-2</v>
      </c>
    </row>
    <row r="86" spans="1:50" ht="15.75" customHeight="1" x14ac:dyDescent="0.25">
      <c r="A86" s="1733" t="s">
        <v>132</v>
      </c>
      <c r="B86" s="2009" t="s">
        <v>133</v>
      </c>
      <c r="C86" s="2004"/>
      <c r="D86" s="1608">
        <f t="shared" si="79"/>
        <v>6200000</v>
      </c>
      <c r="E86" s="1552">
        <f t="shared" si="70"/>
        <v>6200000</v>
      </c>
      <c r="F86" s="1447">
        <f t="shared" si="71"/>
        <v>396</v>
      </c>
      <c r="G86" s="1608">
        <f t="shared" si="72"/>
        <v>6200000</v>
      </c>
      <c r="H86" s="1653"/>
      <c r="I86" s="1653"/>
      <c r="J86" s="1653"/>
      <c r="K86" s="1653"/>
      <c r="L86" s="78"/>
      <c r="M86" s="1586"/>
      <c r="N86" s="1653"/>
      <c r="O86" s="78"/>
      <c r="P86" s="78"/>
      <c r="Q86" s="1653"/>
      <c r="R86" s="1586"/>
      <c r="S86" s="1586">
        <v>5200000</v>
      </c>
      <c r="T86" s="1586"/>
      <c r="U86" s="1586"/>
      <c r="V86" s="1586">
        <v>1000000</v>
      </c>
      <c r="W86" s="1586"/>
      <c r="X86" s="1588">
        <f>396000/1000</f>
        <v>396</v>
      </c>
      <c r="Y86" s="1561">
        <f t="shared" si="80"/>
        <v>0</v>
      </c>
      <c r="Z86" s="1561"/>
      <c r="AA86" s="1561"/>
      <c r="AB86" s="1561"/>
      <c r="AC86" s="1561"/>
      <c r="AD86" s="1561"/>
      <c r="AE86" s="1609">
        <f t="shared" si="75"/>
        <v>9.2450030853458525E-5</v>
      </c>
      <c r="AF86" s="1561">
        <v>0</v>
      </c>
      <c r="AG86" s="1576">
        <f t="shared" si="81"/>
        <v>0</v>
      </c>
      <c r="AH86" s="1728">
        <v>0</v>
      </c>
      <c r="AI86" s="1729">
        <v>0</v>
      </c>
      <c r="AJ86" s="1729">
        <v>0</v>
      </c>
      <c r="AK86" s="1729">
        <v>0</v>
      </c>
      <c r="AL86" s="1613">
        <f>(AF86/AF7)</f>
        <v>0</v>
      </c>
      <c r="AM86" s="1614">
        <v>0</v>
      </c>
      <c r="AN86" s="1615">
        <f t="shared" si="82"/>
        <v>0</v>
      </c>
      <c r="AO86" s="1729">
        <v>0</v>
      </c>
      <c r="AP86" s="1615">
        <f t="shared" si="83"/>
        <v>0</v>
      </c>
      <c r="AQ86" s="1728">
        <v>0</v>
      </c>
      <c r="AR86" s="1729">
        <v>0</v>
      </c>
      <c r="AS86" s="1729">
        <v>0</v>
      </c>
      <c r="AT86" s="1729">
        <v>0</v>
      </c>
      <c r="AU86" s="1616">
        <f t="shared" si="84"/>
        <v>6200000</v>
      </c>
      <c r="AV86" s="1617">
        <f t="shared" si="77"/>
        <v>0</v>
      </c>
      <c r="AW86" s="1627">
        <v>0</v>
      </c>
      <c r="AX86" s="1619">
        <f t="shared" si="78"/>
        <v>0</v>
      </c>
    </row>
    <row r="87" spans="1:50" ht="15" customHeight="1" x14ac:dyDescent="0.25">
      <c r="A87" s="1737"/>
      <c r="B87" s="1624"/>
      <c r="C87" s="1513"/>
      <c r="D87" s="1608"/>
      <c r="E87" s="1552"/>
      <c r="F87" s="1447"/>
      <c r="G87" s="1608"/>
      <c r="H87" s="1653"/>
      <c r="I87" s="1653"/>
      <c r="J87" s="1653"/>
      <c r="K87" s="1653"/>
      <c r="L87" s="78"/>
      <c r="M87" s="1586"/>
      <c r="N87" s="1653"/>
      <c r="O87" s="78"/>
      <c r="P87" s="78"/>
      <c r="Q87" s="1653"/>
      <c r="R87" s="1586"/>
      <c r="S87" s="1586"/>
      <c r="T87" s="1586"/>
      <c r="U87" s="1586"/>
      <c r="V87" s="1586"/>
      <c r="W87" s="1586"/>
      <c r="X87" s="1588"/>
      <c r="Y87" s="1514"/>
      <c r="Z87" s="1514"/>
      <c r="AA87" s="1514"/>
      <c r="AB87" s="1514"/>
      <c r="AC87" s="1514"/>
      <c r="AD87" s="1514"/>
      <c r="AE87" s="1575"/>
      <c r="AF87" s="1561"/>
      <c r="AG87" s="1580"/>
      <c r="AH87" s="1728"/>
      <c r="AI87" s="1729"/>
      <c r="AJ87" s="1729"/>
      <c r="AK87" s="1729"/>
      <c r="AL87" s="1613"/>
      <c r="AM87" s="1614"/>
      <c r="AN87" s="1599"/>
      <c r="AO87" s="1729"/>
      <c r="AP87" s="1730"/>
      <c r="AQ87" s="1728"/>
      <c r="AR87" s="1729"/>
      <c r="AS87" s="1729"/>
      <c r="AT87" s="1729"/>
      <c r="AU87" s="1616"/>
      <c r="AV87" s="1603"/>
      <c r="AW87" s="1627"/>
      <c r="AX87" s="1592"/>
    </row>
    <row r="88" spans="1:50" ht="15.75" customHeight="1" x14ac:dyDescent="0.25">
      <c r="A88" s="1517" t="s">
        <v>134</v>
      </c>
      <c r="B88" s="2013" t="s">
        <v>135</v>
      </c>
      <c r="C88" s="2002"/>
      <c r="D88" s="1573">
        <f>SUM(D89:D95)</f>
        <v>1184481336.3899999</v>
      </c>
      <c r="E88" s="1572">
        <f t="shared" ref="E88:E95" si="85">SUM(G88+Y88+AG88+AN88)</f>
        <v>1184481336.3899999</v>
      </c>
      <c r="F88" s="1495">
        <f t="shared" ref="F88:F95" si="86">+X88+AF88+AM88+AW88</f>
        <v>2464511.713</v>
      </c>
      <c r="G88" s="1573">
        <f t="shared" ref="G88:G95" si="87">SUM(H88:W88)</f>
        <v>678251336.38999999</v>
      </c>
      <c r="H88" s="1099">
        <f t="shared" ref="H88:W88" si="88">SUM(H89:H95)</f>
        <v>0</v>
      </c>
      <c r="I88" s="1099">
        <f t="shared" si="88"/>
        <v>1800000</v>
      </c>
      <c r="J88" s="1099">
        <f t="shared" si="88"/>
        <v>13000000</v>
      </c>
      <c r="K88" s="1099">
        <f t="shared" si="88"/>
        <v>83000000</v>
      </c>
      <c r="L88" s="1647">
        <f t="shared" si="88"/>
        <v>2500000</v>
      </c>
      <c r="M88" s="1647">
        <f t="shared" si="88"/>
        <v>123160640</v>
      </c>
      <c r="N88" s="1099">
        <f t="shared" si="88"/>
        <v>0</v>
      </c>
      <c r="O88" s="1647">
        <f t="shared" si="88"/>
        <v>0</v>
      </c>
      <c r="P88" s="1647">
        <f t="shared" si="88"/>
        <v>0</v>
      </c>
      <c r="Q88" s="1099">
        <f t="shared" si="88"/>
        <v>0</v>
      </c>
      <c r="R88" s="1647">
        <f t="shared" si="88"/>
        <v>2000000</v>
      </c>
      <c r="S88" s="1647">
        <f t="shared" si="88"/>
        <v>157500000</v>
      </c>
      <c r="T88" s="1647">
        <f t="shared" si="88"/>
        <v>0</v>
      </c>
      <c r="U88" s="1647">
        <f t="shared" si="88"/>
        <v>0</v>
      </c>
      <c r="V88" s="1647">
        <f t="shared" si="88"/>
        <v>262290696.38999999</v>
      </c>
      <c r="W88" s="1647">
        <f t="shared" si="88"/>
        <v>33000000</v>
      </c>
      <c r="X88" s="1628">
        <f>X89+X90+X91+X92+X93+X94+X95</f>
        <v>420250</v>
      </c>
      <c r="Y88" s="1639">
        <f t="shared" ref="Y88:AD88" si="89">SUM(Y89:Y95)</f>
        <v>293000000</v>
      </c>
      <c r="Z88" s="1639">
        <f t="shared" si="89"/>
        <v>143000000</v>
      </c>
      <c r="AA88" s="1639">
        <f t="shared" si="89"/>
        <v>0</v>
      </c>
      <c r="AB88" s="1639">
        <f t="shared" si="89"/>
        <v>0</v>
      </c>
      <c r="AC88" s="1639">
        <f t="shared" si="89"/>
        <v>150000000</v>
      </c>
      <c r="AD88" s="1639">
        <f t="shared" si="89"/>
        <v>0</v>
      </c>
      <c r="AE88" s="1575">
        <f>X88/$X$7</f>
        <v>9.8111427944863494E-2</v>
      </c>
      <c r="AF88" s="1557">
        <f>+AF89+AF90+AF91+AF92+AF93+AF94+AF95</f>
        <v>464665.24199999997</v>
      </c>
      <c r="AG88" s="1576">
        <f>SUM(AG89:AG95)</f>
        <v>116030000</v>
      </c>
      <c r="AH88" s="1731">
        <f>SUM(AH89:AH95)</f>
        <v>0</v>
      </c>
      <c r="AI88" s="1732">
        <f>SUM(AI89:AI95)</f>
        <v>90000000</v>
      </c>
      <c r="AJ88" s="1597">
        <f>SUM(AJ89:AJ95)</f>
        <v>30000</v>
      </c>
      <c r="AK88" s="1597">
        <f>SUM(AK89:AK95)</f>
        <v>26000000</v>
      </c>
      <c r="AL88" s="1577">
        <f>(AF88/AF7)</f>
        <v>0.30802809827315802</v>
      </c>
      <c r="AM88" s="1598">
        <f>+AM89+AM90+AM91+AM92+AM93+AM94+AM95</f>
        <v>547299.79999999993</v>
      </c>
      <c r="AN88" s="1599">
        <f t="shared" ref="AN88:AU88" si="90">SUM(AN89:AN95)</f>
        <v>97200000</v>
      </c>
      <c r="AO88" s="1597">
        <f t="shared" si="90"/>
        <v>93200000</v>
      </c>
      <c r="AP88" s="1599">
        <f t="shared" si="90"/>
        <v>4000000</v>
      </c>
      <c r="AQ88" s="1601">
        <f t="shared" si="90"/>
        <v>1000000</v>
      </c>
      <c r="AR88" s="1600">
        <f t="shared" si="90"/>
        <v>1000000</v>
      </c>
      <c r="AS88" s="1600">
        <f t="shared" si="90"/>
        <v>1000000</v>
      </c>
      <c r="AT88" s="1600">
        <f t="shared" si="90"/>
        <v>1000000</v>
      </c>
      <c r="AU88" s="1602">
        <f t="shared" si="90"/>
        <v>1184481336.3899999</v>
      </c>
      <c r="AV88" s="1603">
        <f t="shared" ref="AV88:AV95" si="91">AM88/$AM$7</f>
        <v>8.8551141935403643E-2</v>
      </c>
      <c r="AW88" s="1631">
        <f>+AW90+AW91+AW92+AW93+AW94+AW95</f>
        <v>1032296.671</v>
      </c>
      <c r="AX88" s="1592">
        <f t="shared" ref="AX88:AX95" si="92">AW88/$AW$7</f>
        <v>1.9443244079126502E-2</v>
      </c>
    </row>
    <row r="89" spans="1:50" ht="15.75" customHeight="1" x14ac:dyDescent="0.25">
      <c r="A89" s="1520" t="s">
        <v>136</v>
      </c>
      <c r="B89" s="2009" t="s">
        <v>137</v>
      </c>
      <c r="C89" s="2004"/>
      <c r="D89" s="1608">
        <f t="shared" ref="D89:D95" si="93">+G89+Y89+AG89+AN89</f>
        <v>1000000</v>
      </c>
      <c r="E89" s="1552">
        <f t="shared" si="85"/>
        <v>1000000</v>
      </c>
      <c r="F89" s="1447">
        <f t="shared" si="86"/>
        <v>6000</v>
      </c>
      <c r="G89" s="1608">
        <f t="shared" si="87"/>
        <v>1000000</v>
      </c>
      <c r="H89" s="1103"/>
      <c r="I89" s="1103"/>
      <c r="J89" s="1103"/>
      <c r="K89" s="1103"/>
      <c r="L89" s="78">
        <v>1000000</v>
      </c>
      <c r="M89" s="1586"/>
      <c r="N89" s="1103">
        <v>0</v>
      </c>
      <c r="O89" s="78"/>
      <c r="P89" s="78"/>
      <c r="Q89" s="1103"/>
      <c r="R89" s="1586"/>
      <c r="S89" s="1586"/>
      <c r="T89" s="1586">
        <v>0</v>
      </c>
      <c r="U89" s="1586">
        <v>0</v>
      </c>
      <c r="V89" s="1586"/>
      <c r="W89" s="1586"/>
      <c r="X89" s="1636">
        <f>6000000/1000</f>
        <v>6000</v>
      </c>
      <c r="Y89" s="1561">
        <f t="shared" ref="Y89:Y95" si="94">SUM(Z89:AD89)</f>
        <v>0</v>
      </c>
      <c r="Z89" s="1561">
        <v>0</v>
      </c>
      <c r="AA89" s="1561">
        <v>0</v>
      </c>
      <c r="AB89" s="1561"/>
      <c r="AC89" s="1561"/>
      <c r="AD89" s="1561"/>
      <c r="AE89" s="1609">
        <f>X89/$X$7*100</f>
        <v>0.14007580432342201</v>
      </c>
      <c r="AF89" s="1561">
        <f>Y89/1000</f>
        <v>0</v>
      </c>
      <c r="AG89" s="1576">
        <f t="shared" ref="AG89:AG95" si="95">SUM(AH89:AK89)</f>
        <v>0</v>
      </c>
      <c r="AH89" s="1728">
        <v>0</v>
      </c>
      <c r="AI89" s="1729">
        <v>0</v>
      </c>
      <c r="AJ89" s="1729">
        <v>0</v>
      </c>
      <c r="AK89" s="1729">
        <v>0</v>
      </c>
      <c r="AL89" s="1613"/>
      <c r="AM89" s="1614">
        <f>AG89/1000</f>
        <v>0</v>
      </c>
      <c r="AN89" s="1615">
        <f t="shared" ref="AN89:AN95" si="96">SUM(AO89+AP89)</f>
        <v>0</v>
      </c>
      <c r="AO89" s="1729"/>
      <c r="AP89" s="1615">
        <f t="shared" ref="AP89:AP95" si="97">SUM(AQ89:AT89)</f>
        <v>0</v>
      </c>
      <c r="AQ89" s="1728"/>
      <c r="AR89" s="1729"/>
      <c r="AS89" s="1729"/>
      <c r="AT89" s="1729"/>
      <c r="AU89" s="1616">
        <f t="shared" ref="AU89:AU95" si="98">SUM(AN89+AG89+Y89+G89)</f>
        <v>1000000</v>
      </c>
      <c r="AV89" s="1603">
        <f t="shared" si="91"/>
        <v>0</v>
      </c>
      <c r="AW89" s="1627">
        <v>0</v>
      </c>
      <c r="AX89" s="1592">
        <f t="shared" si="92"/>
        <v>0</v>
      </c>
    </row>
    <row r="90" spans="1:50" ht="15.75" customHeight="1" x14ac:dyDescent="0.25">
      <c r="A90" s="1520" t="s">
        <v>138</v>
      </c>
      <c r="B90" s="2009" t="s">
        <v>139</v>
      </c>
      <c r="C90" s="2004"/>
      <c r="D90" s="1608">
        <f t="shared" si="93"/>
        <v>293090696.38999999</v>
      </c>
      <c r="E90" s="1552">
        <f t="shared" si="85"/>
        <v>293090696.38999999</v>
      </c>
      <c r="F90" s="1447">
        <f t="shared" si="86"/>
        <v>1079311.2590000001</v>
      </c>
      <c r="G90" s="1608">
        <f t="shared" si="87"/>
        <v>265090696.38999999</v>
      </c>
      <c r="H90" s="1103"/>
      <c r="I90" s="1103">
        <v>1800000</v>
      </c>
      <c r="J90" s="1103">
        <v>7000000</v>
      </c>
      <c r="K90" s="1103">
        <v>13000000</v>
      </c>
      <c r="L90" s="78"/>
      <c r="M90" s="1586"/>
      <c r="N90" s="1103">
        <v>0</v>
      </c>
      <c r="O90" s="78"/>
      <c r="P90" s="78"/>
      <c r="Q90" s="1103">
        <v>0</v>
      </c>
      <c r="R90" s="1586">
        <v>1000000</v>
      </c>
      <c r="S90" s="1586"/>
      <c r="T90" s="1586"/>
      <c r="U90" s="1586"/>
      <c r="V90" s="1586">
        <f>232336632+9954064.39</f>
        <v>242290696.38999999</v>
      </c>
      <c r="W90" s="1586"/>
      <c r="X90" s="1636">
        <f>126100000/1000</f>
        <v>126100</v>
      </c>
      <c r="Y90" s="1561">
        <f t="shared" si="94"/>
        <v>28000000</v>
      </c>
      <c r="Z90" s="1561">
        <v>18000000</v>
      </c>
      <c r="AA90" s="1561"/>
      <c r="AB90" s="1561"/>
      <c r="AC90" s="1561">
        <v>10000000</v>
      </c>
      <c r="AD90" s="1561"/>
      <c r="AE90" s="1609">
        <f>X90/$X$7</f>
        <v>2.9439264875305855E-2</v>
      </c>
      <c r="AF90" s="1561">
        <f>107000000/1000</f>
        <v>107000</v>
      </c>
      <c r="AG90" s="1576">
        <f t="shared" si="95"/>
        <v>0</v>
      </c>
      <c r="AH90" s="1728">
        <v>0</v>
      </c>
      <c r="AI90" s="1729">
        <v>0</v>
      </c>
      <c r="AJ90" s="1729"/>
      <c r="AK90" s="1729"/>
      <c r="AL90" s="1613">
        <f>(AF90/AF7)</f>
        <v>7.0930647563322388E-2</v>
      </c>
      <c r="AM90" s="1614">
        <f>60588000/1000</f>
        <v>60588</v>
      </c>
      <c r="AN90" s="1615">
        <f t="shared" si="96"/>
        <v>0</v>
      </c>
      <c r="AO90" s="1729"/>
      <c r="AP90" s="1615">
        <f t="shared" si="97"/>
        <v>0</v>
      </c>
      <c r="AQ90" s="1728"/>
      <c r="AR90" s="1729"/>
      <c r="AS90" s="1729"/>
      <c r="AT90" s="1729"/>
      <c r="AU90" s="1616">
        <f t="shared" si="98"/>
        <v>293090696.38999999</v>
      </c>
      <c r="AV90" s="1617">
        <f t="shared" si="91"/>
        <v>9.8029207896334642E-3</v>
      </c>
      <c r="AW90" s="1627">
        <f>785623259/1000</f>
        <v>785623.25899999996</v>
      </c>
      <c r="AX90" s="1619">
        <f t="shared" si="92"/>
        <v>1.4797165590177337E-2</v>
      </c>
    </row>
    <row r="91" spans="1:50" ht="15.75" customHeight="1" x14ac:dyDescent="0.25">
      <c r="A91" s="1520" t="s">
        <v>140</v>
      </c>
      <c r="B91" s="2009" t="s">
        <v>141</v>
      </c>
      <c r="C91" s="2004"/>
      <c r="D91" s="1608">
        <f t="shared" si="93"/>
        <v>197500000</v>
      </c>
      <c r="E91" s="1552">
        <f t="shared" si="85"/>
        <v>197500000</v>
      </c>
      <c r="F91" s="1447">
        <f t="shared" si="86"/>
        <v>769265.25399999996</v>
      </c>
      <c r="G91" s="1608">
        <f t="shared" si="87"/>
        <v>4500000</v>
      </c>
      <c r="H91" s="1103"/>
      <c r="I91" s="1103">
        <v>0</v>
      </c>
      <c r="J91" s="1103"/>
      <c r="K91" s="1103"/>
      <c r="L91" s="78">
        <v>500000</v>
      </c>
      <c r="M91" s="1586"/>
      <c r="N91" s="1103"/>
      <c r="O91" s="78"/>
      <c r="P91" s="78"/>
      <c r="Q91" s="1103">
        <v>0</v>
      </c>
      <c r="R91" s="1586"/>
      <c r="S91" s="1586">
        <v>4000000</v>
      </c>
      <c r="T91" s="1586"/>
      <c r="U91" s="1586"/>
      <c r="V91" s="1586"/>
      <c r="W91" s="1586"/>
      <c r="X91" s="1636">
        <f>1000000/1000</f>
        <v>1000</v>
      </c>
      <c r="Y91" s="1561">
        <f t="shared" si="94"/>
        <v>110000000</v>
      </c>
      <c r="Z91" s="1561">
        <v>80000000</v>
      </c>
      <c r="AA91" s="1561"/>
      <c r="AB91" s="1561"/>
      <c r="AC91" s="1561">
        <v>30000000</v>
      </c>
      <c r="AD91" s="1561"/>
      <c r="AE91" s="1609">
        <f>X91/$X$7</f>
        <v>2.3345967387237E-4</v>
      </c>
      <c r="AF91" s="1561">
        <f>213165242/1000</f>
        <v>213165.242</v>
      </c>
      <c r="AG91" s="1576">
        <f t="shared" si="95"/>
        <v>83000000</v>
      </c>
      <c r="AH91" s="1728">
        <v>0</v>
      </c>
      <c r="AI91" s="1729">
        <v>65000000</v>
      </c>
      <c r="AJ91" s="1729"/>
      <c r="AK91" s="1729">
        <v>18000000</v>
      </c>
      <c r="AL91" s="1613">
        <f>(AF91/AF7)</f>
        <v>0.14130793133693764</v>
      </c>
      <c r="AM91" s="1614">
        <f>401551600/1000</f>
        <v>401551.6</v>
      </c>
      <c r="AN91" s="1615">
        <f t="shared" si="96"/>
        <v>0</v>
      </c>
      <c r="AO91" s="1729"/>
      <c r="AP91" s="1615">
        <f t="shared" si="97"/>
        <v>0</v>
      </c>
      <c r="AQ91" s="1728"/>
      <c r="AR91" s="1729"/>
      <c r="AS91" s="1729"/>
      <c r="AT91" s="1729"/>
      <c r="AU91" s="1616">
        <f t="shared" si="98"/>
        <v>197500000</v>
      </c>
      <c r="AV91" s="1617">
        <f t="shared" si="91"/>
        <v>6.4969606650666478E-2</v>
      </c>
      <c r="AW91" s="1627">
        <f>153548412/1000</f>
        <v>153548.41200000001</v>
      </c>
      <c r="AX91" s="1619">
        <f t="shared" si="92"/>
        <v>2.8920748621481091E-3</v>
      </c>
    </row>
    <row r="92" spans="1:50" ht="15.75" customHeight="1" x14ac:dyDescent="0.25">
      <c r="A92" s="1520" t="s">
        <v>142</v>
      </c>
      <c r="B92" s="2009" t="s">
        <v>143</v>
      </c>
      <c r="C92" s="2004"/>
      <c r="D92" s="1608">
        <f t="shared" si="93"/>
        <v>196000000</v>
      </c>
      <c r="E92" s="1552">
        <f t="shared" si="85"/>
        <v>196000000</v>
      </c>
      <c r="F92" s="1447">
        <f t="shared" si="86"/>
        <v>313160.2</v>
      </c>
      <c r="G92" s="1608">
        <f t="shared" si="87"/>
        <v>97000000</v>
      </c>
      <c r="H92" s="1103"/>
      <c r="I92" s="1103">
        <v>0</v>
      </c>
      <c r="J92" s="1103">
        <v>6000000</v>
      </c>
      <c r="K92" s="1103">
        <v>70000000</v>
      </c>
      <c r="L92" s="78">
        <v>0</v>
      </c>
      <c r="M92" s="1586"/>
      <c r="N92" s="1103"/>
      <c r="O92" s="78"/>
      <c r="P92" s="78">
        <v>0</v>
      </c>
      <c r="Q92" s="1103">
        <v>0</v>
      </c>
      <c r="R92" s="1586">
        <v>1000000</v>
      </c>
      <c r="S92" s="1586"/>
      <c r="T92" s="1586"/>
      <c r="U92" s="1586"/>
      <c r="V92" s="1586">
        <v>20000000</v>
      </c>
      <c r="W92" s="1586"/>
      <c r="X92" s="1636">
        <f>74000000/1000</f>
        <v>74000</v>
      </c>
      <c r="Y92" s="1561">
        <f t="shared" si="94"/>
        <v>60000000</v>
      </c>
      <c r="Z92" s="1561">
        <v>30000000</v>
      </c>
      <c r="AA92" s="1561"/>
      <c r="AB92" s="1561"/>
      <c r="AC92" s="1561">
        <v>30000000</v>
      </c>
      <c r="AD92" s="1561"/>
      <c r="AE92" s="1609">
        <f>X92/$X$7</f>
        <v>1.7276015866555378E-2</v>
      </c>
      <c r="AF92" s="1561">
        <f>140000000/1000</f>
        <v>140000</v>
      </c>
      <c r="AG92" s="1576">
        <f t="shared" si="95"/>
        <v>25000000</v>
      </c>
      <c r="AH92" s="1728"/>
      <c r="AI92" s="1729">
        <v>25000000</v>
      </c>
      <c r="AJ92" s="1729">
        <v>0</v>
      </c>
      <c r="AK92" s="1729">
        <v>0</v>
      </c>
      <c r="AL92" s="1613">
        <f>(AF92/AF7)</f>
        <v>9.2806454755748932E-2</v>
      </c>
      <c r="AM92" s="1614">
        <f>67160200/1000</f>
        <v>67160.2</v>
      </c>
      <c r="AN92" s="1615">
        <f t="shared" si="96"/>
        <v>14000000</v>
      </c>
      <c r="AO92" s="1729">
        <v>14000000</v>
      </c>
      <c r="AP92" s="1615">
        <f t="shared" si="97"/>
        <v>0</v>
      </c>
      <c r="AQ92" s="1728"/>
      <c r="AR92" s="1729"/>
      <c r="AS92" s="1729"/>
      <c r="AT92" s="1729"/>
      <c r="AU92" s="1616">
        <f t="shared" si="98"/>
        <v>196000000</v>
      </c>
      <c r="AV92" s="1617">
        <f t="shared" si="91"/>
        <v>1.0866279144648137E-2</v>
      </c>
      <c r="AW92" s="1627">
        <f>32000000/1000</f>
        <v>32000</v>
      </c>
      <c r="AX92" s="1619">
        <f t="shared" si="92"/>
        <v>6.027180247799599E-4</v>
      </c>
    </row>
    <row r="93" spans="1:50" ht="15.75" customHeight="1" x14ac:dyDescent="0.25">
      <c r="A93" s="1520" t="s">
        <v>144</v>
      </c>
      <c r="B93" s="2009" t="s">
        <v>145</v>
      </c>
      <c r="C93" s="2004"/>
      <c r="D93" s="1608">
        <f t="shared" si="93"/>
        <v>169628000</v>
      </c>
      <c r="E93" s="1552">
        <f t="shared" si="85"/>
        <v>169628000</v>
      </c>
      <c r="F93" s="1447">
        <f t="shared" si="86"/>
        <v>0</v>
      </c>
      <c r="G93" s="1608">
        <f t="shared" si="87"/>
        <v>124628000</v>
      </c>
      <c r="H93" s="1103"/>
      <c r="I93" s="1103"/>
      <c r="J93" s="1103"/>
      <c r="K93" s="1103"/>
      <c r="L93" s="78"/>
      <c r="M93" s="1586">
        <v>122728000</v>
      </c>
      <c r="N93" s="1103"/>
      <c r="O93" s="1103"/>
      <c r="P93" s="78"/>
      <c r="Q93" s="1103"/>
      <c r="R93" s="1586"/>
      <c r="S93" s="1586">
        <v>900000</v>
      </c>
      <c r="T93" s="1586"/>
      <c r="U93" s="1586"/>
      <c r="V93" s="1586"/>
      <c r="W93" s="1586">
        <v>1000000</v>
      </c>
      <c r="X93" s="1636">
        <v>0</v>
      </c>
      <c r="Y93" s="1561">
        <f t="shared" si="94"/>
        <v>0</v>
      </c>
      <c r="Z93" s="1561"/>
      <c r="AA93" s="1561"/>
      <c r="AB93" s="1561"/>
      <c r="AC93" s="1561"/>
      <c r="AD93" s="1561"/>
      <c r="AE93" s="1609">
        <f>X93/$X$7*100</f>
        <v>0</v>
      </c>
      <c r="AF93" s="1561">
        <v>0</v>
      </c>
      <c r="AG93" s="1576">
        <f t="shared" si="95"/>
        <v>0</v>
      </c>
      <c r="AH93" s="1611"/>
      <c r="AI93" s="1612">
        <v>0</v>
      </c>
      <c r="AJ93" s="1612"/>
      <c r="AK93" s="1612"/>
      <c r="AL93" s="1613">
        <f>(AF93/AF7)*100</f>
        <v>0</v>
      </c>
      <c r="AM93" s="1614">
        <v>0</v>
      </c>
      <c r="AN93" s="1615">
        <f t="shared" si="96"/>
        <v>45000000</v>
      </c>
      <c r="AO93" s="1612">
        <f>60000000-15000000</f>
        <v>45000000</v>
      </c>
      <c r="AP93" s="1615">
        <f t="shared" si="97"/>
        <v>0</v>
      </c>
      <c r="AQ93" s="1611"/>
      <c r="AR93" s="1612"/>
      <c r="AS93" s="1612"/>
      <c r="AT93" s="1612"/>
      <c r="AU93" s="1616">
        <f t="shared" si="98"/>
        <v>169628000</v>
      </c>
      <c r="AV93" s="1617">
        <f t="shared" si="91"/>
        <v>0</v>
      </c>
      <c r="AW93" s="1627">
        <v>0</v>
      </c>
      <c r="AX93" s="1619">
        <f t="shared" si="92"/>
        <v>0</v>
      </c>
    </row>
    <row r="94" spans="1:50" ht="15.75" customHeight="1" x14ac:dyDescent="0.25">
      <c r="A94" s="1520" t="s">
        <v>146</v>
      </c>
      <c r="B94" s="2009" t="s">
        <v>147</v>
      </c>
      <c r="C94" s="2004"/>
      <c r="D94" s="1608">
        <f t="shared" si="93"/>
        <v>177062640</v>
      </c>
      <c r="E94" s="1552">
        <f t="shared" si="85"/>
        <v>177062640</v>
      </c>
      <c r="F94" s="1447">
        <f t="shared" si="86"/>
        <v>226250</v>
      </c>
      <c r="G94" s="1608">
        <f t="shared" si="87"/>
        <v>149032640</v>
      </c>
      <c r="H94" s="1103"/>
      <c r="I94" s="1103"/>
      <c r="J94" s="1103"/>
      <c r="K94" s="1103"/>
      <c r="L94" s="78">
        <v>1000000</v>
      </c>
      <c r="M94" s="1586">
        <v>432640</v>
      </c>
      <c r="N94" s="1103">
        <v>0</v>
      </c>
      <c r="O94" s="1103"/>
      <c r="P94" s="78"/>
      <c r="Q94" s="1103"/>
      <c r="R94" s="1586"/>
      <c r="S94" s="1586">
        <v>147600000</v>
      </c>
      <c r="T94" s="1586"/>
      <c r="U94" s="1586"/>
      <c r="V94" s="1586"/>
      <c r="W94" s="1586"/>
      <c r="X94" s="1636">
        <f>195250000/1000</f>
        <v>195250</v>
      </c>
      <c r="Y94" s="1561">
        <f t="shared" si="94"/>
        <v>0</v>
      </c>
      <c r="Z94" s="1561"/>
      <c r="AA94" s="1561"/>
      <c r="AB94" s="1561"/>
      <c r="AC94" s="1561"/>
      <c r="AD94" s="1561"/>
      <c r="AE94" s="1609">
        <f>X94/$X$7</f>
        <v>4.5583001323580244E-2</v>
      </c>
      <c r="AF94" s="1561">
        <f>3500000/1000</f>
        <v>3500</v>
      </c>
      <c r="AG94" s="1576">
        <f t="shared" si="95"/>
        <v>8030000</v>
      </c>
      <c r="AH94" s="1638">
        <v>0</v>
      </c>
      <c r="AI94" s="1639">
        <v>0</v>
      </c>
      <c r="AJ94" s="1637">
        <v>30000</v>
      </c>
      <c r="AK94" s="1637">
        <v>8000000</v>
      </c>
      <c r="AL94" s="1613">
        <f>(AF94/AF7)</f>
        <v>2.3201613688937231E-3</v>
      </c>
      <c r="AM94" s="1614">
        <f>18000000/1000</f>
        <v>18000</v>
      </c>
      <c r="AN94" s="1615">
        <f t="shared" si="96"/>
        <v>20000000</v>
      </c>
      <c r="AO94" s="1637">
        <f>24800000-4800000</f>
        <v>20000000</v>
      </c>
      <c r="AP94" s="1615">
        <f t="shared" si="97"/>
        <v>0</v>
      </c>
      <c r="AQ94" s="1692"/>
      <c r="AR94" s="1637"/>
      <c r="AS94" s="1637"/>
      <c r="AT94" s="1637"/>
      <c r="AU94" s="1616">
        <f t="shared" si="98"/>
        <v>177062640</v>
      </c>
      <c r="AV94" s="1617">
        <f t="shared" si="91"/>
        <v>2.9123353504555746E-3</v>
      </c>
      <c r="AW94" s="1627">
        <f>9500000/1000</f>
        <v>9500</v>
      </c>
      <c r="AX94" s="1619">
        <f t="shared" si="92"/>
        <v>1.7893191360655059E-4</v>
      </c>
    </row>
    <row r="95" spans="1:50" ht="15.75" customHeight="1" x14ac:dyDescent="0.25">
      <c r="A95" s="1520" t="s">
        <v>148</v>
      </c>
      <c r="B95" s="2009" t="s">
        <v>149</v>
      </c>
      <c r="C95" s="2004"/>
      <c r="D95" s="1608">
        <f t="shared" si="93"/>
        <v>150200000</v>
      </c>
      <c r="E95" s="1552">
        <f t="shared" si="85"/>
        <v>150200000</v>
      </c>
      <c r="F95" s="1447">
        <f t="shared" si="86"/>
        <v>70525</v>
      </c>
      <c r="G95" s="1608">
        <f t="shared" si="87"/>
        <v>37000000</v>
      </c>
      <c r="H95" s="1103"/>
      <c r="I95" s="1103">
        <v>0</v>
      </c>
      <c r="J95" s="1103"/>
      <c r="K95" s="1103"/>
      <c r="L95" s="78"/>
      <c r="M95" s="1586">
        <v>0</v>
      </c>
      <c r="N95" s="1103">
        <v>0</v>
      </c>
      <c r="O95" s="1103"/>
      <c r="P95" s="78"/>
      <c r="Q95" s="1103"/>
      <c r="R95" s="1586"/>
      <c r="S95" s="1586">
        <v>5000000</v>
      </c>
      <c r="T95" s="1586"/>
      <c r="U95" s="1586"/>
      <c r="V95" s="1586"/>
      <c r="W95" s="1586">
        <f>32000000</f>
        <v>32000000</v>
      </c>
      <c r="X95" s="1636">
        <f>17900000/1000</f>
        <v>17900</v>
      </c>
      <c r="Y95" s="1561">
        <f t="shared" si="94"/>
        <v>95000000</v>
      </c>
      <c r="Z95" s="1561">
        <v>15000000</v>
      </c>
      <c r="AA95" s="1561"/>
      <c r="AB95" s="1561"/>
      <c r="AC95" s="1561">
        <v>80000000</v>
      </c>
      <c r="AD95" s="1561"/>
      <c r="AE95" s="1609">
        <f>X95/$X$7</f>
        <v>4.1789281623154225E-3</v>
      </c>
      <c r="AF95" s="1561">
        <f>1000000/1000</f>
        <v>1000</v>
      </c>
      <c r="AG95" s="1576">
        <f t="shared" si="95"/>
        <v>0</v>
      </c>
      <c r="AH95" s="1728">
        <v>0</v>
      </c>
      <c r="AI95" s="1729">
        <v>0</v>
      </c>
      <c r="AJ95" s="1729">
        <v>0</v>
      </c>
      <c r="AK95" s="1729">
        <v>0</v>
      </c>
      <c r="AL95" s="1613">
        <f>(AF95/AF7)</f>
        <v>6.629032482553495E-4</v>
      </c>
      <c r="AM95" s="1614">
        <f>AG95/1000</f>
        <v>0</v>
      </c>
      <c r="AN95" s="1615">
        <f t="shared" si="96"/>
        <v>18200000</v>
      </c>
      <c r="AO95" s="1729">
        <v>14200000</v>
      </c>
      <c r="AP95" s="1615">
        <f t="shared" si="97"/>
        <v>4000000</v>
      </c>
      <c r="AQ95" s="1728">
        <v>1000000</v>
      </c>
      <c r="AR95" s="1729">
        <v>1000000</v>
      </c>
      <c r="AS95" s="1729">
        <v>1000000</v>
      </c>
      <c r="AT95" s="1729">
        <v>1000000</v>
      </c>
      <c r="AU95" s="1616">
        <f t="shared" si="98"/>
        <v>150200000</v>
      </c>
      <c r="AV95" s="1617">
        <f t="shared" si="91"/>
        <v>0</v>
      </c>
      <c r="AW95" s="1627">
        <f>51625000/1000</f>
        <v>51625</v>
      </c>
      <c r="AX95" s="1619">
        <f t="shared" si="92"/>
        <v>9.7235368841454457E-4</v>
      </c>
    </row>
    <row r="96" spans="1:50" ht="15.75" customHeight="1" x14ac:dyDescent="0.25">
      <c r="A96" s="1520"/>
      <c r="B96" s="1624"/>
      <c r="C96" s="1513"/>
      <c r="D96" s="1608"/>
      <c r="E96" s="1552"/>
      <c r="F96" s="1447"/>
      <c r="G96" s="1608"/>
      <c r="H96" s="1103"/>
      <c r="I96" s="1103"/>
      <c r="J96" s="1103"/>
      <c r="K96" s="1103"/>
      <c r="L96" s="78"/>
      <c r="M96" s="1586"/>
      <c r="N96" s="1103"/>
      <c r="O96" s="1103"/>
      <c r="P96" s="78"/>
      <c r="Q96" s="1103"/>
      <c r="R96" s="1586"/>
      <c r="S96" s="1586"/>
      <c r="T96" s="1586"/>
      <c r="U96" s="1586"/>
      <c r="V96" s="1586"/>
      <c r="W96" s="1586"/>
      <c r="X96" s="1588"/>
      <c r="Y96" s="1514"/>
      <c r="Z96" s="1514"/>
      <c r="AA96" s="1514"/>
      <c r="AB96" s="1514"/>
      <c r="AC96" s="1514"/>
      <c r="AD96" s="1514"/>
      <c r="AE96" s="1575"/>
      <c r="AF96" s="1561"/>
      <c r="AG96" s="1580" t="s">
        <v>0</v>
      </c>
      <c r="AH96" s="1728" t="s">
        <v>0</v>
      </c>
      <c r="AI96" s="1729" t="s">
        <v>0</v>
      </c>
      <c r="AJ96" s="1729" t="s">
        <v>0</v>
      </c>
      <c r="AK96" s="1729" t="s">
        <v>0</v>
      </c>
      <c r="AL96" s="1613"/>
      <c r="AM96" s="1614"/>
      <c r="AN96" s="1599"/>
      <c r="AO96" s="1729"/>
      <c r="AP96" s="1730"/>
      <c r="AQ96" s="1728"/>
      <c r="AR96" s="1729"/>
      <c r="AS96" s="1729"/>
      <c r="AT96" s="1729"/>
      <c r="AU96" s="1616"/>
      <c r="AV96" s="1603"/>
      <c r="AW96" s="1627"/>
      <c r="AX96" s="1592"/>
    </row>
    <row r="97" spans="1:50" ht="15.75" customHeight="1" x14ac:dyDescent="0.25">
      <c r="A97" s="1517" t="s">
        <v>150</v>
      </c>
      <c r="B97" s="2013" t="s">
        <v>151</v>
      </c>
      <c r="C97" s="2016"/>
      <c r="D97" s="1573">
        <f>SUM(D98:D101)</f>
        <v>39361612.140000001</v>
      </c>
      <c r="E97" s="1572">
        <f>SUM(G97+Y97+AG97+AN97)</f>
        <v>39361612.140000001</v>
      </c>
      <c r="F97" s="1495">
        <f>+X97+AF97+AM97+AW97</f>
        <v>36928.300000000003</v>
      </c>
      <c r="G97" s="1573">
        <f>SUM(H97:W97)</f>
        <v>9941612.1400000006</v>
      </c>
      <c r="H97" s="1099">
        <f t="shared" ref="H97:W97" si="99">SUM(H98:H101)</f>
        <v>0</v>
      </c>
      <c r="I97" s="1099">
        <f t="shared" si="99"/>
        <v>22000</v>
      </c>
      <c r="J97" s="1099">
        <f t="shared" si="99"/>
        <v>2956000</v>
      </c>
      <c r="K97" s="1099">
        <f t="shared" si="99"/>
        <v>500000</v>
      </c>
      <c r="L97" s="1647">
        <f t="shared" si="99"/>
        <v>300000</v>
      </c>
      <c r="M97" s="1647">
        <f t="shared" si="99"/>
        <v>0</v>
      </c>
      <c r="N97" s="1099">
        <f t="shared" si="99"/>
        <v>400000</v>
      </c>
      <c r="O97" s="1099">
        <f t="shared" si="99"/>
        <v>50000</v>
      </c>
      <c r="P97" s="1647">
        <f t="shared" si="99"/>
        <v>130000</v>
      </c>
      <c r="Q97" s="1099">
        <f t="shared" si="99"/>
        <v>450000</v>
      </c>
      <c r="R97" s="1647">
        <f t="shared" si="99"/>
        <v>350000</v>
      </c>
      <c r="S97" s="1647">
        <f t="shared" si="99"/>
        <v>4237612.1399999997</v>
      </c>
      <c r="T97" s="1647">
        <f t="shared" si="99"/>
        <v>0</v>
      </c>
      <c r="U97" s="1647">
        <f t="shared" si="99"/>
        <v>52000</v>
      </c>
      <c r="V97" s="1647">
        <f t="shared" si="99"/>
        <v>244000</v>
      </c>
      <c r="W97" s="1647">
        <f t="shared" si="99"/>
        <v>250000</v>
      </c>
      <c r="X97" s="1628">
        <f>+X98+X99+X100+X101</f>
        <v>10720</v>
      </c>
      <c r="Y97" s="1639">
        <f t="shared" ref="Y97:AD97" si="100">SUM(Y98:Y100)</f>
        <v>11550000</v>
      </c>
      <c r="Z97" s="1639">
        <f t="shared" si="100"/>
        <v>1050000</v>
      </c>
      <c r="AA97" s="1639">
        <f t="shared" si="100"/>
        <v>1500000</v>
      </c>
      <c r="AB97" s="1639">
        <f t="shared" si="100"/>
        <v>3000000</v>
      </c>
      <c r="AC97" s="1639">
        <f t="shared" si="100"/>
        <v>3000000</v>
      </c>
      <c r="AD97" s="1639">
        <f t="shared" si="100"/>
        <v>3000000</v>
      </c>
      <c r="AE97" s="1575">
        <f>X97/$X$7</f>
        <v>2.5026877039118064E-3</v>
      </c>
      <c r="AF97" s="1557">
        <f>+AF98+AF99+AF100+AF101</f>
        <v>15690</v>
      </c>
      <c r="AG97" s="1576">
        <f>SUM(AG98:AG101)</f>
        <v>10075000</v>
      </c>
      <c r="AH97" s="1731">
        <f>SUM(AH98:AH101)</f>
        <v>1025000</v>
      </c>
      <c r="AI97" s="1732">
        <f>SUM(AI98:AI101)</f>
        <v>3650000</v>
      </c>
      <c r="AJ97" s="1597">
        <f>SUM(AJ98:AJ101)</f>
        <v>100000</v>
      </c>
      <c r="AK97" s="1597">
        <f>SUM(AK98:AK101)</f>
        <v>5300000</v>
      </c>
      <c r="AL97" s="1577">
        <f>(AF97/AF7)</f>
        <v>1.0400951965126434E-2</v>
      </c>
      <c r="AM97" s="1598">
        <f>+AM98+AM99+AM100+AM101</f>
        <v>5708.3</v>
      </c>
      <c r="AN97" s="1599">
        <f t="shared" ref="AN97:AU97" si="101">SUM(AN98:AN101)</f>
        <v>7795000</v>
      </c>
      <c r="AO97" s="1600">
        <f t="shared" si="101"/>
        <v>1380000</v>
      </c>
      <c r="AP97" s="1599">
        <f t="shared" si="101"/>
        <v>6415000</v>
      </c>
      <c r="AQ97" s="1601">
        <f t="shared" si="101"/>
        <v>1324500</v>
      </c>
      <c r="AR97" s="1600">
        <f t="shared" si="101"/>
        <v>641500</v>
      </c>
      <c r="AS97" s="1600">
        <f t="shared" si="101"/>
        <v>1924500</v>
      </c>
      <c r="AT97" s="1600">
        <f t="shared" si="101"/>
        <v>2524500</v>
      </c>
      <c r="AU97" s="1602">
        <f t="shared" si="101"/>
        <v>39361612.140000001</v>
      </c>
      <c r="AV97" s="1603">
        <f>AM97/$AM$7</f>
        <v>9.23582437833642E-4</v>
      </c>
      <c r="AW97" s="1631">
        <f>+AW98+AW99</f>
        <v>4810</v>
      </c>
      <c r="AX97" s="1592">
        <f>AW97/$AW$7</f>
        <v>9.0596053099737712E-5</v>
      </c>
    </row>
    <row r="98" spans="1:50" ht="15.75" customHeight="1" x14ac:dyDescent="0.25">
      <c r="A98" s="1520" t="s">
        <v>152</v>
      </c>
      <c r="B98" s="2009" t="s">
        <v>153</v>
      </c>
      <c r="C98" s="2004"/>
      <c r="D98" s="1608">
        <f>+G98+Y98+AG98+AN98</f>
        <v>7053373.6200000001</v>
      </c>
      <c r="E98" s="1552">
        <f>SUM(G98+Y98+AG98+AN98)</f>
        <v>7053373.6200000001</v>
      </c>
      <c r="F98" s="1447">
        <f>+X98+AF98+AM98+AW98</f>
        <v>3091</v>
      </c>
      <c r="G98" s="1608">
        <f>SUM(H98:W98)</f>
        <v>1883373.62</v>
      </c>
      <c r="H98" s="1103"/>
      <c r="I98" s="1103">
        <v>0</v>
      </c>
      <c r="J98" s="1103">
        <v>416000</v>
      </c>
      <c r="K98" s="1103"/>
      <c r="L98" s="78">
        <v>200000</v>
      </c>
      <c r="M98" s="1586"/>
      <c r="N98" s="1103">
        <f>100000</f>
        <v>100000</v>
      </c>
      <c r="O98" s="1103"/>
      <c r="P98" s="78">
        <v>30000</v>
      </c>
      <c r="Q98" s="1103">
        <v>50000</v>
      </c>
      <c r="R98" s="1586">
        <v>50000</v>
      </c>
      <c r="S98" s="1586">
        <v>947373.62</v>
      </c>
      <c r="T98" s="1586"/>
      <c r="U98" s="1586"/>
      <c r="V98" s="1586">
        <v>40000</v>
      </c>
      <c r="W98" s="1586">
        <v>50000</v>
      </c>
      <c r="X98" s="1588">
        <f>1170000/1000</f>
        <v>1170</v>
      </c>
      <c r="Y98" s="1561">
        <f>SUM(Z98:AD98)</f>
        <v>4050000</v>
      </c>
      <c r="Z98" s="1561">
        <v>50000</v>
      </c>
      <c r="AA98" s="1561">
        <v>1000000</v>
      </c>
      <c r="AB98" s="1561">
        <v>1000000</v>
      </c>
      <c r="AC98" s="1561">
        <v>1000000</v>
      </c>
      <c r="AD98" s="1561">
        <v>1000000</v>
      </c>
      <c r="AE98" s="1609">
        <f>X98/$X$7</f>
        <v>2.731478184306729E-4</v>
      </c>
      <c r="AF98" s="1561">
        <f>1140000/1000</f>
        <v>1140</v>
      </c>
      <c r="AG98" s="1576">
        <f>SUM(AH98:AK98)</f>
        <v>525000</v>
      </c>
      <c r="AH98" s="1728">
        <v>25000</v>
      </c>
      <c r="AI98" s="1729">
        <v>150000</v>
      </c>
      <c r="AJ98" s="1729">
        <v>50000</v>
      </c>
      <c r="AK98" s="1729">
        <v>300000</v>
      </c>
      <c r="AL98" s="1613">
        <f>(AF98/AF7)</f>
        <v>7.5570970301109836E-4</v>
      </c>
      <c r="AM98" s="1614">
        <f>171000/1000</f>
        <v>171</v>
      </c>
      <c r="AN98" s="1615">
        <f>SUM(AO98+AP98)</f>
        <v>595000</v>
      </c>
      <c r="AO98" s="1729">
        <v>180000</v>
      </c>
      <c r="AP98" s="1738">
        <f>SUM(AQ98:AT98)</f>
        <v>415000</v>
      </c>
      <c r="AQ98" s="1728">
        <v>124500</v>
      </c>
      <c r="AR98" s="1729">
        <v>41500</v>
      </c>
      <c r="AS98" s="1729">
        <v>124500</v>
      </c>
      <c r="AT98" s="1729">
        <v>124500</v>
      </c>
      <c r="AU98" s="1616">
        <f>SUM(AN98+AG98+Y98+G98)</f>
        <v>7053373.6200000001</v>
      </c>
      <c r="AV98" s="1617">
        <f>AM98/$AM$7</f>
        <v>2.7667185829327957E-5</v>
      </c>
      <c r="AW98" s="1627">
        <f>610000/1000</f>
        <v>610</v>
      </c>
      <c r="AX98" s="1619">
        <f>AW98/$AW$7</f>
        <v>1.1489312347367984E-5</v>
      </c>
    </row>
    <row r="99" spans="1:50" ht="15.75" customHeight="1" x14ac:dyDescent="0.25">
      <c r="A99" s="1520" t="s">
        <v>154</v>
      </c>
      <c r="B99" s="2009" t="s">
        <v>155</v>
      </c>
      <c r="C99" s="2004"/>
      <c r="D99" s="1608">
        <f>+G99+Y99+AG99+AN99</f>
        <v>30808238.52</v>
      </c>
      <c r="E99" s="1552">
        <f>SUM(G99+Y99+AG99+AN99)</f>
        <v>30808238.52</v>
      </c>
      <c r="F99" s="1447">
        <f>+X99+AF99+AM99+AW99</f>
        <v>32837.300000000003</v>
      </c>
      <c r="G99" s="1608">
        <f>SUM(H99:W99)</f>
        <v>6558238.5199999996</v>
      </c>
      <c r="H99" s="1103"/>
      <c r="I99" s="1103">
        <v>22000</v>
      </c>
      <c r="J99" s="1103">
        <v>1040000</v>
      </c>
      <c r="K99" s="1103">
        <v>500000</v>
      </c>
      <c r="L99" s="78">
        <v>100000</v>
      </c>
      <c r="M99" s="1586"/>
      <c r="N99" s="1103">
        <f>300000</f>
        <v>300000</v>
      </c>
      <c r="O99" s="1103">
        <v>50000</v>
      </c>
      <c r="P99" s="78">
        <v>100000</v>
      </c>
      <c r="Q99" s="1103">
        <v>400000</v>
      </c>
      <c r="R99" s="1586">
        <v>300000</v>
      </c>
      <c r="S99" s="1586">
        <v>3290238.52</v>
      </c>
      <c r="T99" s="1586"/>
      <c r="U99" s="1586">
        <v>52000</v>
      </c>
      <c r="V99" s="1586">
        <v>204000</v>
      </c>
      <c r="W99" s="1586">
        <v>200000</v>
      </c>
      <c r="X99" s="1588">
        <f>9550000/1000</f>
        <v>9550</v>
      </c>
      <c r="Y99" s="1561">
        <f>SUM(Z99:AD99)</f>
        <v>7500000</v>
      </c>
      <c r="Z99" s="1561">
        <v>1000000</v>
      </c>
      <c r="AA99" s="1561">
        <v>500000</v>
      </c>
      <c r="AB99" s="1561">
        <v>2000000</v>
      </c>
      <c r="AC99" s="1561">
        <v>2000000</v>
      </c>
      <c r="AD99" s="1561">
        <v>2000000</v>
      </c>
      <c r="AE99" s="1609">
        <f>X99/$X$7</f>
        <v>2.2295398854811333E-3</v>
      </c>
      <c r="AF99" s="1561">
        <f>13550000/1000</f>
        <v>13550</v>
      </c>
      <c r="AG99" s="1576">
        <f>SUM(AH99:AK99)</f>
        <v>9550000</v>
      </c>
      <c r="AH99" s="1640">
        <v>1000000</v>
      </c>
      <c r="AI99" s="1561">
        <v>3500000</v>
      </c>
      <c r="AJ99" s="1561">
        <v>50000</v>
      </c>
      <c r="AK99" s="1561">
        <v>5000000</v>
      </c>
      <c r="AL99" s="1613">
        <f>(AF99/AF7)</f>
        <v>8.982339013859985E-3</v>
      </c>
      <c r="AM99" s="1614">
        <f>5537300/1000</f>
        <v>5537.3</v>
      </c>
      <c r="AN99" s="1615">
        <f>SUM(AO99+AP99)</f>
        <v>7200000</v>
      </c>
      <c r="AO99" s="1561">
        <v>1200000</v>
      </c>
      <c r="AP99" s="1738">
        <f>SUM(AQ99:AT99)</f>
        <v>6000000</v>
      </c>
      <c r="AQ99" s="1640">
        <v>1200000</v>
      </c>
      <c r="AR99" s="1561">
        <v>600000</v>
      </c>
      <c r="AS99" s="1561">
        <v>1800000</v>
      </c>
      <c r="AT99" s="1561">
        <v>2400000</v>
      </c>
      <c r="AU99" s="1616">
        <f>SUM(AN99+AG99+Y99+G99)</f>
        <v>30808238.52</v>
      </c>
      <c r="AV99" s="1617">
        <f>AM99/$AM$7</f>
        <v>8.9591525200431407E-4</v>
      </c>
      <c r="AW99" s="1627">
        <f>4200000/1000</f>
        <v>4200</v>
      </c>
      <c r="AX99" s="1619">
        <f>AW99/$AW$7</f>
        <v>7.9106740752369733E-5</v>
      </c>
    </row>
    <row r="100" spans="1:50" ht="15.75" customHeight="1" x14ac:dyDescent="0.25">
      <c r="A100" s="1520" t="s">
        <v>156</v>
      </c>
      <c r="B100" s="2009" t="s">
        <v>157</v>
      </c>
      <c r="C100" s="2004"/>
      <c r="D100" s="1608">
        <f>+G100+Y100+AG100+AN100</f>
        <v>1000000</v>
      </c>
      <c r="E100" s="1552">
        <f>SUM(G100+Y100+AG100+AN100)</f>
        <v>1000000</v>
      </c>
      <c r="F100" s="1447">
        <f>+X100+AF100+AM100+AW100</f>
        <v>1000</v>
      </c>
      <c r="G100" s="1608">
        <f>SUM(H100:W100)</f>
        <v>1000000</v>
      </c>
      <c r="H100" s="1103">
        <v>0</v>
      </c>
      <c r="I100" s="1103"/>
      <c r="J100" s="1103">
        <v>1000000</v>
      </c>
      <c r="K100" s="1103"/>
      <c r="L100" s="78"/>
      <c r="M100" s="1586"/>
      <c r="N100" s="1103"/>
      <c r="O100" s="1103"/>
      <c r="P100" s="78"/>
      <c r="Q100" s="1103"/>
      <c r="R100" s="1586"/>
      <c r="S100" s="1586"/>
      <c r="T100" s="1586"/>
      <c r="U100" s="1586"/>
      <c r="V100" s="1586"/>
      <c r="W100" s="1586"/>
      <c r="X100" s="1588">
        <v>0</v>
      </c>
      <c r="Y100" s="1561">
        <f>SUM(Z100:AD100)</f>
        <v>0</v>
      </c>
      <c r="Z100" s="1561"/>
      <c r="AA100" s="1561"/>
      <c r="AB100" s="1561"/>
      <c r="AC100" s="1561"/>
      <c r="AD100" s="1561"/>
      <c r="AE100" s="1609">
        <f>X100/$X$7*100</f>
        <v>0</v>
      </c>
      <c r="AF100" s="1561">
        <f>1000000/1000</f>
        <v>1000</v>
      </c>
      <c r="AG100" s="1576">
        <f>SUM(AH100:AK100)</f>
        <v>0</v>
      </c>
      <c r="AH100" s="1629">
        <v>0</v>
      </c>
      <c r="AI100" s="1576">
        <v>0</v>
      </c>
      <c r="AJ100" s="1576">
        <v>0</v>
      </c>
      <c r="AK100" s="1576">
        <v>0</v>
      </c>
      <c r="AL100" s="1613">
        <f>(AF100/AF7)</f>
        <v>6.629032482553495E-4</v>
      </c>
      <c r="AM100" s="1614">
        <v>0</v>
      </c>
      <c r="AN100" s="1615">
        <f>SUM(AO100+AP100)</f>
        <v>0</v>
      </c>
      <c r="AO100" s="1580"/>
      <c r="AP100" s="1738">
        <f>SUM(AQ100:AT100)</f>
        <v>0</v>
      </c>
      <c r="AQ100" s="1581"/>
      <c r="AR100" s="1580"/>
      <c r="AS100" s="1580"/>
      <c r="AT100" s="1580"/>
      <c r="AU100" s="1616">
        <f>SUM(AN100+AG100+Y100+G100)</f>
        <v>1000000</v>
      </c>
      <c r="AV100" s="1603">
        <f>AM100/$AM$7</f>
        <v>0</v>
      </c>
      <c r="AW100" s="1627">
        <v>0</v>
      </c>
      <c r="AX100" s="1592">
        <f>AW100/$AW$7</f>
        <v>0</v>
      </c>
    </row>
    <row r="101" spans="1:50" ht="15.75" hidden="1" customHeight="1" x14ac:dyDescent="0.25">
      <c r="A101" s="1520" t="s">
        <v>158</v>
      </c>
      <c r="B101" s="2009" t="s">
        <v>159</v>
      </c>
      <c r="C101" s="2004"/>
      <c r="D101" s="1608">
        <f>+G101+Y101+AG101+AN101</f>
        <v>500000</v>
      </c>
      <c r="E101" s="1552">
        <f>SUM(G101+Y101+AG101+AN101)</f>
        <v>500000</v>
      </c>
      <c r="F101" s="1447">
        <f>+X101+AF101+AM101+AW101</f>
        <v>0</v>
      </c>
      <c r="G101" s="1608">
        <f>SUM(H101:W101)</f>
        <v>500000</v>
      </c>
      <c r="H101" s="1103"/>
      <c r="I101" s="1103"/>
      <c r="J101" s="1103">
        <v>500000</v>
      </c>
      <c r="K101" s="1103"/>
      <c r="L101" s="78"/>
      <c r="M101" s="1586"/>
      <c r="N101" s="1103"/>
      <c r="O101" s="1103"/>
      <c r="P101" s="78"/>
      <c r="Q101" s="1103"/>
      <c r="R101" s="1586"/>
      <c r="S101" s="1586"/>
      <c r="T101" s="1586"/>
      <c r="U101" s="1586"/>
      <c r="V101" s="1586"/>
      <c r="W101" s="1586"/>
      <c r="X101" s="1588">
        <v>0</v>
      </c>
      <c r="Y101" s="1561">
        <f>SUM(Z101:AD101)</f>
        <v>0</v>
      </c>
      <c r="Z101" s="1561"/>
      <c r="AA101" s="1561"/>
      <c r="AB101" s="1561"/>
      <c r="AC101" s="1561"/>
      <c r="AD101" s="1561"/>
      <c r="AE101" s="1609">
        <f>X101/$X$7*100</f>
        <v>0</v>
      </c>
      <c r="AF101" s="1561">
        <f>Y101/1000</f>
        <v>0</v>
      </c>
      <c r="AG101" s="1576">
        <f>SUM(AH101:AK101)</f>
        <v>0</v>
      </c>
      <c r="AH101" s="1611">
        <v>0</v>
      </c>
      <c r="AI101" s="1612">
        <v>0</v>
      </c>
      <c r="AJ101" s="1612">
        <v>0</v>
      </c>
      <c r="AK101" s="1612">
        <v>0</v>
      </c>
      <c r="AL101" s="1613">
        <f>(AF101/AF9)*100</f>
        <v>0</v>
      </c>
      <c r="AM101" s="1614">
        <v>0</v>
      </c>
      <c r="AN101" s="1615">
        <f>SUM(AO101+AP101)</f>
        <v>0</v>
      </c>
      <c r="AO101" s="1612"/>
      <c r="AP101" s="1738">
        <f>SUM(AQ101:AT101)</f>
        <v>0</v>
      </c>
      <c r="AQ101" s="1611"/>
      <c r="AR101" s="1612"/>
      <c r="AS101" s="1612"/>
      <c r="AT101" s="1612"/>
      <c r="AU101" s="1616">
        <f>SUM(AN101+AG101+Y101+G101)</f>
        <v>500000</v>
      </c>
      <c r="AV101" s="1603">
        <f>AM101/$AM$7</f>
        <v>0</v>
      </c>
      <c r="AW101" s="1627">
        <v>0</v>
      </c>
      <c r="AX101" s="1592">
        <f>AW101/$AW$7</f>
        <v>0</v>
      </c>
    </row>
    <row r="102" spans="1:50" ht="15.75" customHeight="1" x14ac:dyDescent="0.25">
      <c r="A102" s="1520"/>
      <c r="B102" s="1624"/>
      <c r="C102" s="1513"/>
      <c r="D102" s="1608"/>
      <c r="E102" s="1552"/>
      <c r="F102" s="1447"/>
      <c r="G102" s="1608"/>
      <c r="H102" s="1103"/>
      <c r="I102" s="1103"/>
      <c r="J102" s="1103"/>
      <c r="K102" s="1103"/>
      <c r="L102" s="78"/>
      <c r="M102" s="1586"/>
      <c r="N102" s="1103"/>
      <c r="O102" s="1103"/>
      <c r="P102" s="78"/>
      <c r="Q102" s="1103"/>
      <c r="R102" s="1586"/>
      <c r="S102" s="1586"/>
      <c r="T102" s="1586"/>
      <c r="U102" s="1586"/>
      <c r="V102" s="1586"/>
      <c r="W102" s="1586"/>
      <c r="X102" s="1588"/>
      <c r="Y102" s="1576"/>
      <c r="Z102" s="1576"/>
      <c r="AA102" s="1576"/>
      <c r="AB102" s="1576"/>
      <c r="AC102" s="1576"/>
      <c r="AD102" s="1576"/>
      <c r="AE102" s="1575"/>
      <c r="AF102" s="1561"/>
      <c r="AG102" s="1576"/>
      <c r="AH102" s="1611"/>
      <c r="AI102" s="1612"/>
      <c r="AJ102" s="1612"/>
      <c r="AK102" s="1612"/>
      <c r="AL102" s="1613"/>
      <c r="AM102" s="1614"/>
      <c r="AN102" s="1599"/>
      <c r="AO102" s="1612"/>
      <c r="AP102" s="1659"/>
      <c r="AQ102" s="1611"/>
      <c r="AR102" s="1612"/>
      <c r="AS102" s="1612"/>
      <c r="AT102" s="1612"/>
      <c r="AU102" s="1616"/>
      <c r="AV102" s="1603"/>
      <c r="AW102" s="1627"/>
      <c r="AX102" s="1592"/>
    </row>
    <row r="103" spans="1:50" ht="15.75" customHeight="1" x14ac:dyDescent="0.25">
      <c r="A103" s="1517" t="s">
        <v>160</v>
      </c>
      <c r="B103" s="2013" t="s">
        <v>161</v>
      </c>
      <c r="C103" s="2002"/>
      <c r="D103" s="1573">
        <f>SUM(D104:D106)</f>
        <v>687561305.39999998</v>
      </c>
      <c r="E103" s="1572">
        <f>SUM(G103+Y103+AG103+AN103)</f>
        <v>687561305.39999998</v>
      </c>
      <c r="F103" s="1495">
        <f>+X103+AF103+AM103+AW103</f>
        <v>699557.6</v>
      </c>
      <c r="G103" s="1573">
        <f t="shared" ref="G103:W103" si="102">SUM(G104:G106)</f>
        <v>180975025.40000001</v>
      </c>
      <c r="H103" s="1573">
        <f t="shared" si="102"/>
        <v>0</v>
      </c>
      <c r="I103" s="1573">
        <f t="shared" si="102"/>
        <v>0</v>
      </c>
      <c r="J103" s="1573">
        <f t="shared" si="102"/>
        <v>0</v>
      </c>
      <c r="K103" s="1573">
        <f t="shared" si="102"/>
        <v>0</v>
      </c>
      <c r="L103" s="1573">
        <f t="shared" si="102"/>
        <v>0</v>
      </c>
      <c r="M103" s="1573">
        <f t="shared" si="102"/>
        <v>0</v>
      </c>
      <c r="N103" s="1573">
        <f t="shared" si="102"/>
        <v>0</v>
      </c>
      <c r="O103" s="1573">
        <f t="shared" si="102"/>
        <v>0</v>
      </c>
      <c r="P103" s="1573">
        <f t="shared" si="102"/>
        <v>0</v>
      </c>
      <c r="Q103" s="1573">
        <f t="shared" si="102"/>
        <v>0</v>
      </c>
      <c r="R103" s="1573">
        <f t="shared" si="102"/>
        <v>0</v>
      </c>
      <c r="S103" s="1573">
        <f t="shared" si="102"/>
        <v>180975025.40000001</v>
      </c>
      <c r="T103" s="1573">
        <f t="shared" si="102"/>
        <v>0</v>
      </c>
      <c r="U103" s="1573">
        <f t="shared" si="102"/>
        <v>0</v>
      </c>
      <c r="V103" s="1573">
        <f t="shared" si="102"/>
        <v>0</v>
      </c>
      <c r="W103" s="1573">
        <f t="shared" si="102"/>
        <v>0</v>
      </c>
      <c r="X103" s="1628">
        <f>+X104+X105+X106</f>
        <v>118400</v>
      </c>
      <c r="Y103" s="1561"/>
      <c r="Z103" s="1561"/>
      <c r="AA103" s="1561"/>
      <c r="AB103" s="1561"/>
      <c r="AC103" s="1561"/>
      <c r="AD103" s="1561"/>
      <c r="AE103" s="1575">
        <f>X103/$X$7</f>
        <v>2.7641625386488608E-2</v>
      </c>
      <c r="AF103" s="1557">
        <f>Y103/1000</f>
        <v>0</v>
      </c>
      <c r="AG103" s="1576">
        <f>SUM(AG104:AG106)</f>
        <v>0</v>
      </c>
      <c r="AH103" s="1684">
        <f>SUM(AH104:AH106)</f>
        <v>0</v>
      </c>
      <c r="AI103" s="1658">
        <f>SUM(AI104:AI106)</f>
        <v>0</v>
      </c>
      <c r="AJ103" s="1658">
        <f>SUM(AJ104:AJ106)</f>
        <v>0</v>
      </c>
      <c r="AK103" s="1658">
        <f>SUM(AK104:AK106)</f>
        <v>0</v>
      </c>
      <c r="AL103" s="1577">
        <f>(AF103/AF7)</f>
        <v>0</v>
      </c>
      <c r="AM103" s="1598">
        <f>AM104+AM105+AM106</f>
        <v>11157.6</v>
      </c>
      <c r="AN103" s="1599">
        <f t="shared" ref="AN103:AU103" si="103">SUM(AN104:AN106)</f>
        <v>506586280</v>
      </c>
      <c r="AO103" s="1658">
        <f t="shared" si="103"/>
        <v>506318280</v>
      </c>
      <c r="AP103" s="1659">
        <f t="shared" si="103"/>
        <v>268000</v>
      </c>
      <c r="AQ103" s="1611">
        <f t="shared" si="103"/>
        <v>0</v>
      </c>
      <c r="AR103" s="1612">
        <f t="shared" si="103"/>
        <v>0</v>
      </c>
      <c r="AS103" s="1612">
        <f t="shared" si="103"/>
        <v>0</v>
      </c>
      <c r="AT103" s="1612">
        <f t="shared" si="103"/>
        <v>268000</v>
      </c>
      <c r="AU103" s="1602">
        <f t="shared" si="103"/>
        <v>687561305.39999998</v>
      </c>
      <c r="AV103" s="1603">
        <f>AM103/$AM$7</f>
        <v>1.8052596059023953E-3</v>
      </c>
      <c r="AW103" s="1631">
        <f>+AW104+AW105+AW106</f>
        <v>570000</v>
      </c>
      <c r="AX103" s="1592">
        <f>AW103/$AW$7</f>
        <v>1.0735914816393036E-2</v>
      </c>
    </row>
    <row r="104" spans="1:50" ht="15.75" customHeight="1" x14ac:dyDescent="0.25">
      <c r="A104" s="1739" t="s">
        <v>162</v>
      </c>
      <c r="B104" s="2009" t="s">
        <v>163</v>
      </c>
      <c r="C104" s="2004"/>
      <c r="D104" s="1608">
        <f>+G104+Y104+AG104+AN104</f>
        <v>682281802.91999996</v>
      </c>
      <c r="E104" s="1552">
        <f>SUM(G104+Y104+AG104+AN104)</f>
        <v>682281802.91999996</v>
      </c>
      <c r="F104" s="1447">
        <f>+X104+AF104+AM104+AW104</f>
        <v>697557.6</v>
      </c>
      <c r="G104" s="1608">
        <f>SUM(H104:W104)</f>
        <v>176661522.91999999</v>
      </c>
      <c r="H104" s="78"/>
      <c r="I104" s="78"/>
      <c r="J104" s="78"/>
      <c r="K104" s="78"/>
      <c r="L104" s="78"/>
      <c r="M104" s="1586"/>
      <c r="N104" s="78"/>
      <c r="O104" s="78"/>
      <c r="P104" s="78"/>
      <c r="Q104" s="78"/>
      <c r="R104" s="1586"/>
      <c r="S104" s="1586">
        <v>176661522.91999999</v>
      </c>
      <c r="T104" s="1586"/>
      <c r="U104" s="1586"/>
      <c r="V104" s="1586">
        <v>0</v>
      </c>
      <c r="W104" s="1586">
        <v>0</v>
      </c>
      <c r="X104" s="1588">
        <f>116400000/1000</f>
        <v>116400</v>
      </c>
      <c r="Y104" s="1561">
        <f>SUM(Z104:AD104)</f>
        <v>0</v>
      </c>
      <c r="Z104" s="1561"/>
      <c r="AA104" s="1561"/>
      <c r="AB104" s="1561"/>
      <c r="AC104" s="1561"/>
      <c r="AD104" s="1561"/>
      <c r="AE104" s="1609">
        <f>X104/$X$7</f>
        <v>2.7174706038743869E-2</v>
      </c>
      <c r="AF104" s="1561">
        <f>Y104/1000</f>
        <v>0</v>
      </c>
      <c r="AG104" s="1576">
        <f>SUM(AH104:AK104)</f>
        <v>0</v>
      </c>
      <c r="AH104" s="1611">
        <v>0</v>
      </c>
      <c r="AI104" s="1612">
        <v>0</v>
      </c>
      <c r="AJ104" s="1612"/>
      <c r="AK104" s="1612"/>
      <c r="AL104" s="1613">
        <f>(AF104/AF7)</f>
        <v>0</v>
      </c>
      <c r="AM104" s="1614">
        <f>11157600/1000</f>
        <v>11157.6</v>
      </c>
      <c r="AN104" s="1615">
        <f>SUM(AO104+AP104)</f>
        <v>505620280</v>
      </c>
      <c r="AO104" s="1612">
        <v>505620280</v>
      </c>
      <c r="AP104" s="1738">
        <f>SUM(AQ104:AT104)</f>
        <v>0</v>
      </c>
      <c r="AQ104" s="1611"/>
      <c r="AR104" s="1612"/>
      <c r="AS104" s="1612"/>
      <c r="AT104" s="1740"/>
      <c r="AU104" s="1616">
        <f>SUM(AN104+AG104+Y104+G104)</f>
        <v>682281802.91999996</v>
      </c>
      <c r="AV104" s="1617">
        <f>AM104/$AM$7</f>
        <v>1.8052596059023953E-3</v>
      </c>
      <c r="AW104" s="1627">
        <f>570000000/1000</f>
        <v>570000</v>
      </c>
      <c r="AX104" s="1619">
        <f>AW104/$AW$7</f>
        <v>1.0735914816393036E-2</v>
      </c>
    </row>
    <row r="105" spans="1:50" ht="15.75" customHeight="1" x14ac:dyDescent="0.25">
      <c r="A105" s="1520" t="s">
        <v>164</v>
      </c>
      <c r="B105" s="2009" t="s">
        <v>165</v>
      </c>
      <c r="C105" s="2004"/>
      <c r="D105" s="1608">
        <f>+G105+Y105+AG105+AN105</f>
        <v>3524646.4</v>
      </c>
      <c r="E105" s="1552">
        <f>SUM(G105+Y105+AG105+AN105)</f>
        <v>3524646.4</v>
      </c>
      <c r="F105" s="1447">
        <f>+X105+AF105+AM105+AW105</f>
        <v>1000</v>
      </c>
      <c r="G105" s="1608">
        <f>SUM(H105:W105)</f>
        <v>2924646.3999999999</v>
      </c>
      <c r="H105" s="1103"/>
      <c r="I105" s="1103"/>
      <c r="J105" s="1103"/>
      <c r="K105" s="1103"/>
      <c r="L105" s="78"/>
      <c r="M105" s="1586"/>
      <c r="N105" s="1103"/>
      <c r="O105" s="1103"/>
      <c r="P105" s="78"/>
      <c r="Q105" s="1103"/>
      <c r="R105" s="1586"/>
      <c r="S105" s="1586">
        <v>2924646.3999999999</v>
      </c>
      <c r="T105" s="1586"/>
      <c r="U105" s="1586"/>
      <c r="V105" s="1586">
        <v>0</v>
      </c>
      <c r="W105" s="1586"/>
      <c r="X105" s="1588">
        <f>1000000/1000</f>
        <v>1000</v>
      </c>
      <c r="Y105" s="1561">
        <f>SUM(Z105:AD105)</f>
        <v>0</v>
      </c>
      <c r="Z105" s="1561"/>
      <c r="AA105" s="1561"/>
      <c r="AB105" s="1561"/>
      <c r="AC105" s="1561"/>
      <c r="AD105" s="1561"/>
      <c r="AE105" s="1609">
        <f>X105/$X$7</f>
        <v>2.3345967387237E-4</v>
      </c>
      <c r="AF105" s="1561">
        <f>Y105/1000</f>
        <v>0</v>
      </c>
      <c r="AG105" s="1576">
        <f>SUM(AH105:AK105)</f>
        <v>0</v>
      </c>
      <c r="AH105" s="1727">
        <v>0</v>
      </c>
      <c r="AI105" s="1578">
        <v>0</v>
      </c>
      <c r="AJ105" s="1578">
        <v>0</v>
      </c>
      <c r="AK105" s="1578">
        <v>0</v>
      </c>
      <c r="AL105" s="1613">
        <f>(AF105/AF7)</f>
        <v>0</v>
      </c>
      <c r="AM105" s="1614">
        <f>AG105/1000</f>
        <v>0</v>
      </c>
      <c r="AN105" s="1615">
        <f>SUM(AO105+AP105)</f>
        <v>600000</v>
      </c>
      <c r="AO105" s="1590">
        <v>450000</v>
      </c>
      <c r="AP105" s="1738">
        <f>SUM(AQ105:AT105)</f>
        <v>150000</v>
      </c>
      <c r="AQ105" s="1642"/>
      <c r="AR105" s="1590">
        <v>0</v>
      </c>
      <c r="AS105" s="1590">
        <v>0</v>
      </c>
      <c r="AT105" s="1741">
        <v>150000</v>
      </c>
      <c r="AU105" s="1616">
        <f>SUM(AN105+AG105+Y105+G105)</f>
        <v>3524646.4</v>
      </c>
      <c r="AV105" s="1617">
        <f>AM105/$AM$7</f>
        <v>0</v>
      </c>
      <c r="AW105" s="1627">
        <v>0</v>
      </c>
      <c r="AX105" s="1619">
        <f>AW105/$AW$7</f>
        <v>0</v>
      </c>
    </row>
    <row r="106" spans="1:50" ht="15.75" customHeight="1" x14ac:dyDescent="0.25">
      <c r="A106" s="1520" t="s">
        <v>166</v>
      </c>
      <c r="B106" s="2009" t="s">
        <v>167</v>
      </c>
      <c r="C106" s="2004"/>
      <c r="D106" s="1608">
        <f>+G106+Y106+AG106+AN106</f>
        <v>1754856.08</v>
      </c>
      <c r="E106" s="1552">
        <f>SUM(G106+Y106+AG106+AN106)</f>
        <v>1754856.08</v>
      </c>
      <c r="F106" s="1447">
        <f>+X106+AF106+AM106+AW106</f>
        <v>1000</v>
      </c>
      <c r="G106" s="1608">
        <f>SUM(H106:W106)</f>
        <v>1388856.08</v>
      </c>
      <c r="H106" s="1103"/>
      <c r="I106" s="1103"/>
      <c r="J106" s="1103"/>
      <c r="K106" s="1103"/>
      <c r="L106" s="78"/>
      <c r="M106" s="1586"/>
      <c r="N106" s="1103"/>
      <c r="O106" s="1103"/>
      <c r="P106" s="78"/>
      <c r="Q106" s="1103"/>
      <c r="R106" s="1586"/>
      <c r="S106" s="1586">
        <v>1388856.08</v>
      </c>
      <c r="T106" s="1586"/>
      <c r="U106" s="1586"/>
      <c r="V106" s="1586"/>
      <c r="W106" s="1586"/>
      <c r="X106" s="1588">
        <f>1000000/1000</f>
        <v>1000</v>
      </c>
      <c r="Y106" s="1561">
        <f>SUM(Z106:AD106)</f>
        <v>0</v>
      </c>
      <c r="Z106" s="1561"/>
      <c r="AA106" s="1561"/>
      <c r="AB106" s="1561"/>
      <c r="AC106" s="1561"/>
      <c r="AD106" s="1561"/>
      <c r="AE106" s="1609">
        <f>X106/$X$7</f>
        <v>2.3345967387237E-4</v>
      </c>
      <c r="AF106" s="1561">
        <f>Y106/1000</f>
        <v>0</v>
      </c>
      <c r="AG106" s="1576">
        <f>SUM(AH106:AK106)</f>
        <v>0</v>
      </c>
      <c r="AH106" s="1611">
        <v>0</v>
      </c>
      <c r="AI106" s="1612">
        <v>0</v>
      </c>
      <c r="AJ106" s="1612">
        <v>0</v>
      </c>
      <c r="AK106" s="1612">
        <v>0</v>
      </c>
      <c r="AL106" s="1613">
        <f>(AF106/AF7)</f>
        <v>0</v>
      </c>
      <c r="AM106" s="1614">
        <f>AG106/1000</f>
        <v>0</v>
      </c>
      <c r="AN106" s="1615">
        <f>SUM(AO106+AP106)</f>
        <v>366000</v>
      </c>
      <c r="AO106" s="1612">
        <v>248000</v>
      </c>
      <c r="AP106" s="1738">
        <f>SUM(AQ106:AT106)</f>
        <v>118000</v>
      </c>
      <c r="AQ106" s="1611">
        <v>0</v>
      </c>
      <c r="AR106" s="1612">
        <v>0</v>
      </c>
      <c r="AS106" s="1612">
        <v>0</v>
      </c>
      <c r="AT106" s="1740">
        <v>118000</v>
      </c>
      <c r="AU106" s="1616">
        <f>SUM(AN106+AG106+Y106+G106)</f>
        <v>1754856.08</v>
      </c>
      <c r="AV106" s="1617">
        <f>AM106/$AM$7</f>
        <v>0</v>
      </c>
      <c r="AW106" s="1627">
        <v>0</v>
      </c>
      <c r="AX106" s="1619">
        <f>AW106/$AW$7</f>
        <v>0</v>
      </c>
    </row>
    <row r="107" spans="1:50" ht="15.75" customHeight="1" x14ac:dyDescent="0.25">
      <c r="A107" s="1520"/>
      <c r="B107" s="1624"/>
      <c r="C107" s="1513"/>
      <c r="D107" s="1608"/>
      <c r="E107" s="1552"/>
      <c r="F107" s="1447"/>
      <c r="G107" s="1608"/>
      <c r="H107" s="1103"/>
      <c r="I107" s="1103"/>
      <c r="J107" s="1103"/>
      <c r="K107" s="1103"/>
      <c r="L107" s="78"/>
      <c r="M107" s="1586"/>
      <c r="N107" s="1103"/>
      <c r="O107" s="1103"/>
      <c r="P107" s="78"/>
      <c r="Q107" s="1103"/>
      <c r="R107" s="1586"/>
      <c r="S107" s="1586"/>
      <c r="T107" s="1586"/>
      <c r="U107" s="1586"/>
      <c r="V107" s="1586"/>
      <c r="W107" s="1586"/>
      <c r="X107" s="1588"/>
      <c r="Y107" s="1514"/>
      <c r="Z107" s="1514"/>
      <c r="AA107" s="1514"/>
      <c r="AB107" s="1514"/>
      <c r="AC107" s="1514"/>
      <c r="AD107" s="1514"/>
      <c r="AE107" s="1575"/>
      <c r="AF107" s="1561"/>
      <c r="AG107" s="1576"/>
      <c r="AH107" s="1611"/>
      <c r="AI107" s="1612"/>
      <c r="AJ107" s="1612"/>
      <c r="AK107" s="1612"/>
      <c r="AL107" s="1613"/>
      <c r="AM107" s="1614"/>
      <c r="AN107" s="1599"/>
      <c r="AO107" s="1612"/>
      <c r="AP107" s="1659"/>
      <c r="AQ107" s="1611"/>
      <c r="AR107" s="1612"/>
      <c r="AS107" s="1612"/>
      <c r="AT107" s="1612"/>
      <c r="AU107" s="1616"/>
      <c r="AV107" s="1603"/>
      <c r="AW107" s="1627"/>
      <c r="AX107" s="1592"/>
    </row>
    <row r="108" spans="1:50" ht="15.75" customHeight="1" x14ac:dyDescent="0.25">
      <c r="A108" s="1517" t="s">
        <v>168</v>
      </c>
      <c r="B108" s="2013" t="s">
        <v>169</v>
      </c>
      <c r="C108" s="2016"/>
      <c r="D108" s="1573">
        <f>SUM(D109:D111)</f>
        <v>36760800</v>
      </c>
      <c r="E108" s="1742">
        <f>SUM(G108+Y108+AG108+AN108)</f>
        <v>36760800</v>
      </c>
      <c r="F108" s="1495">
        <f>+X108+AF108+AM108+AW108</f>
        <v>36450</v>
      </c>
      <c r="G108" s="1573">
        <f>SUM(H108:W108)</f>
        <v>23600800</v>
      </c>
      <c r="H108" s="1574">
        <f t="shared" ref="H108:W108" si="104">SUM(H109:H111)</f>
        <v>66400</v>
      </c>
      <c r="I108" s="1574">
        <f t="shared" si="104"/>
        <v>798800</v>
      </c>
      <c r="J108" s="1574">
        <f t="shared" si="104"/>
        <v>450000</v>
      </c>
      <c r="K108" s="1574">
        <f t="shared" si="104"/>
        <v>4800000</v>
      </c>
      <c r="L108" s="1574">
        <f t="shared" si="104"/>
        <v>2300000</v>
      </c>
      <c r="M108" s="1574">
        <f t="shared" si="104"/>
        <v>1300000</v>
      </c>
      <c r="N108" s="1574">
        <f t="shared" si="104"/>
        <v>1200000</v>
      </c>
      <c r="O108" s="1574">
        <f t="shared" si="104"/>
        <v>97000</v>
      </c>
      <c r="P108" s="1574">
        <f t="shared" si="104"/>
        <v>0</v>
      </c>
      <c r="Q108" s="1574">
        <f t="shared" si="104"/>
        <v>400000</v>
      </c>
      <c r="R108" s="1574">
        <f t="shared" si="104"/>
        <v>1100000</v>
      </c>
      <c r="S108" s="1574">
        <f t="shared" si="104"/>
        <v>0</v>
      </c>
      <c r="T108" s="1574">
        <f t="shared" si="104"/>
        <v>7488600</v>
      </c>
      <c r="U108" s="1574">
        <f t="shared" si="104"/>
        <v>0</v>
      </c>
      <c r="V108" s="1574">
        <f t="shared" si="104"/>
        <v>3600000</v>
      </c>
      <c r="W108" s="1574">
        <f t="shared" si="104"/>
        <v>0</v>
      </c>
      <c r="X108" s="1628">
        <f>+X109+X110+X111</f>
        <v>14200</v>
      </c>
      <c r="Y108" s="1578">
        <f>SUM(Y109:Y111)</f>
        <v>8170000</v>
      </c>
      <c r="Z108" s="1578">
        <f>SUM(Z109:Z111)</f>
        <v>3800000</v>
      </c>
      <c r="AA108" s="1578">
        <f>SUM(AA109:AA110)</f>
        <v>0</v>
      </c>
      <c r="AB108" s="1578">
        <f>SUM(AB109:AB110)</f>
        <v>790000</v>
      </c>
      <c r="AC108" s="1578">
        <f>SUM(AC109:AC110)</f>
        <v>790000</v>
      </c>
      <c r="AD108" s="1578">
        <f>SUM(AD109:AD110)</f>
        <v>2790000</v>
      </c>
      <c r="AE108" s="1575">
        <f>X108/$X$7</f>
        <v>3.315127368987654E-3</v>
      </c>
      <c r="AF108" s="1557">
        <f>+AF109+AF110+AF111</f>
        <v>17200</v>
      </c>
      <c r="AG108" s="1576">
        <f>SUM(AG109:AG111)</f>
        <v>1440000</v>
      </c>
      <c r="AH108" s="1684">
        <f>SUM(AH109:AH111)</f>
        <v>400000</v>
      </c>
      <c r="AI108" s="1658">
        <f>SUM(AI109:AI111)</f>
        <v>800000</v>
      </c>
      <c r="AJ108" s="1597">
        <f>SUM(AJ109:AJ111)</f>
        <v>0</v>
      </c>
      <c r="AK108" s="1597">
        <f>SUM(AK109:AK111)</f>
        <v>240000</v>
      </c>
      <c r="AL108" s="1577">
        <f>(AF108/AF7)</f>
        <v>1.1401935869992011E-2</v>
      </c>
      <c r="AM108" s="1598">
        <f>AM109+AM110</f>
        <v>500</v>
      </c>
      <c r="AN108" s="1599">
        <f t="shared" ref="AN108:AU108" si="105">SUM(AN109:AN111)</f>
        <v>3550000</v>
      </c>
      <c r="AO108" s="1597">
        <f t="shared" si="105"/>
        <v>2150000</v>
      </c>
      <c r="AP108" s="1599">
        <f t="shared" si="105"/>
        <v>1400000</v>
      </c>
      <c r="AQ108" s="1601">
        <f t="shared" si="105"/>
        <v>1400000</v>
      </c>
      <c r="AR108" s="1600">
        <f t="shared" si="105"/>
        <v>0</v>
      </c>
      <c r="AS108" s="1600">
        <f t="shared" si="105"/>
        <v>0</v>
      </c>
      <c r="AT108" s="1600">
        <f t="shared" si="105"/>
        <v>0</v>
      </c>
      <c r="AU108" s="1602">
        <f t="shared" si="105"/>
        <v>36760800</v>
      </c>
      <c r="AV108" s="1603">
        <f>AM108/$AM$7</f>
        <v>8.0898204179321505E-5</v>
      </c>
      <c r="AW108" s="1631">
        <f>+AW109+AW110</f>
        <v>4550</v>
      </c>
      <c r="AX108" s="1592">
        <f>AW108/$AW$7</f>
        <v>8.5698969148400548E-5</v>
      </c>
    </row>
    <row r="109" spans="1:50" ht="15.75" customHeight="1" x14ac:dyDescent="0.25">
      <c r="A109" s="1520" t="s">
        <v>170</v>
      </c>
      <c r="B109" s="2018" t="s">
        <v>171</v>
      </c>
      <c r="C109" s="2020"/>
      <c r="D109" s="1608">
        <f>+G109+Y109+AG109+AN109</f>
        <v>31210800</v>
      </c>
      <c r="E109" s="1552">
        <f>SUM(G109+Y109+AG109+AN109)</f>
        <v>31210800</v>
      </c>
      <c r="F109" s="1447">
        <f>+X109+AF109+AM109+AW109</f>
        <v>29300</v>
      </c>
      <c r="G109" s="1608">
        <f>SUM(H109:W109)</f>
        <v>23050800</v>
      </c>
      <c r="H109" s="1103">
        <v>66400</v>
      </c>
      <c r="I109" s="1103">
        <v>798800</v>
      </c>
      <c r="J109" s="1103"/>
      <c r="K109" s="1103">
        <v>4800000</v>
      </c>
      <c r="L109" s="78">
        <v>2300000</v>
      </c>
      <c r="M109" s="1586">
        <v>1300000</v>
      </c>
      <c r="N109" s="1103">
        <v>1100000</v>
      </c>
      <c r="O109" s="1103">
        <v>97000</v>
      </c>
      <c r="P109" s="78"/>
      <c r="Q109" s="1103">
        <v>400000</v>
      </c>
      <c r="R109" s="1586">
        <v>1100000</v>
      </c>
      <c r="S109" s="1586"/>
      <c r="T109" s="1586">
        <f>7200000+288600</f>
        <v>7488600</v>
      </c>
      <c r="U109" s="1586"/>
      <c r="V109" s="1586">
        <v>3600000</v>
      </c>
      <c r="W109" s="1586"/>
      <c r="X109" s="1588">
        <f>13200000/1000</f>
        <v>13200</v>
      </c>
      <c r="Y109" s="1561">
        <f>SUM(Z109:AD109)</f>
        <v>3170000</v>
      </c>
      <c r="Z109" s="1561">
        <v>800000</v>
      </c>
      <c r="AA109" s="1561"/>
      <c r="AB109" s="1561">
        <v>790000</v>
      </c>
      <c r="AC109" s="1561">
        <v>790000</v>
      </c>
      <c r="AD109" s="1561">
        <v>790000</v>
      </c>
      <c r="AE109" s="1609">
        <f>X109/$X$7</f>
        <v>3.0816676951152841E-3</v>
      </c>
      <c r="AF109" s="1561">
        <f>13100000/1000</f>
        <v>13100</v>
      </c>
      <c r="AG109" s="1576">
        <f>SUM(AH109:AK109)</f>
        <v>1440000</v>
      </c>
      <c r="AH109" s="1611">
        <v>400000</v>
      </c>
      <c r="AI109" s="1612">
        <v>800000</v>
      </c>
      <c r="AJ109" s="1612"/>
      <c r="AK109" s="1612">
        <v>240000</v>
      </c>
      <c r="AL109" s="1613">
        <f>(AF109/AF7)</f>
        <v>8.6840325521450774E-3</v>
      </c>
      <c r="AM109" s="1614">
        <v>0</v>
      </c>
      <c r="AN109" s="1615">
        <f>SUM(AO109+AP109)</f>
        <v>3550000</v>
      </c>
      <c r="AO109" s="1612">
        <v>2150000</v>
      </c>
      <c r="AP109" s="1738">
        <f>SUM(AQ109:AT109)</f>
        <v>1400000</v>
      </c>
      <c r="AQ109" s="1611">
        <v>1400000</v>
      </c>
      <c r="AR109" s="1612"/>
      <c r="AS109" s="1612"/>
      <c r="AT109" s="1612"/>
      <c r="AU109" s="1616">
        <f>SUM(AN109+AG109+Y109+G109)</f>
        <v>31210800</v>
      </c>
      <c r="AV109" s="1617">
        <f>AM109/$AM$7</f>
        <v>0</v>
      </c>
      <c r="AW109" s="1627">
        <f>3000000/1000</f>
        <v>3000</v>
      </c>
      <c r="AX109" s="1619">
        <f>AW109/$AW$7</f>
        <v>5.6504814823121234E-5</v>
      </c>
    </row>
    <row r="110" spans="1:50" ht="15.75" customHeight="1" x14ac:dyDescent="0.25">
      <c r="A110" s="1520" t="s">
        <v>172</v>
      </c>
      <c r="B110" s="2009" t="s">
        <v>173</v>
      </c>
      <c r="C110" s="2018"/>
      <c r="D110" s="1608">
        <f>+G110+Y110+AG110+AN110</f>
        <v>3500000</v>
      </c>
      <c r="E110" s="1552">
        <f>SUM(G110+Y110+AG110+AN110)</f>
        <v>3500000</v>
      </c>
      <c r="F110" s="1447">
        <f>+X110+AF110+AM110+AW110</f>
        <v>7150</v>
      </c>
      <c r="G110" s="1608">
        <f>SUM(H110:W110)</f>
        <v>0</v>
      </c>
      <c r="H110" s="1103"/>
      <c r="I110" s="1103"/>
      <c r="J110" s="1103"/>
      <c r="K110" s="1103">
        <v>0</v>
      </c>
      <c r="L110" s="78"/>
      <c r="M110" s="1586"/>
      <c r="N110" s="1103"/>
      <c r="O110" s="1103"/>
      <c r="P110" s="78"/>
      <c r="Q110" s="1103"/>
      <c r="R110" s="1586"/>
      <c r="S110" s="1586"/>
      <c r="T110" s="1586"/>
      <c r="U110" s="1586"/>
      <c r="V110" s="1586"/>
      <c r="W110" s="1586"/>
      <c r="X110" s="1588">
        <f>1000000/1000</f>
        <v>1000</v>
      </c>
      <c r="Y110" s="1561">
        <f>SUM(Z110:AD110)</f>
        <v>3500000</v>
      </c>
      <c r="Z110" s="1561">
        <v>1500000</v>
      </c>
      <c r="AA110" s="1561"/>
      <c r="AB110" s="1561"/>
      <c r="AC110" s="1561"/>
      <c r="AD110" s="1561">
        <v>2000000</v>
      </c>
      <c r="AE110" s="1609">
        <f>X110/$X$7</f>
        <v>2.3345967387237E-4</v>
      </c>
      <c r="AF110" s="1561">
        <f>4100000/1000</f>
        <v>4100</v>
      </c>
      <c r="AG110" s="1576">
        <f>SUM(AH110:AK110)</f>
        <v>0</v>
      </c>
      <c r="AH110" s="1638">
        <v>0</v>
      </c>
      <c r="AI110" s="1639">
        <v>0</v>
      </c>
      <c r="AJ110" s="1639">
        <v>0</v>
      </c>
      <c r="AK110" s="1639">
        <v>0</v>
      </c>
      <c r="AL110" s="1613">
        <f>(AF110/AF7)</f>
        <v>2.717903317846933E-3</v>
      </c>
      <c r="AM110" s="1614">
        <f>500000/1000</f>
        <v>500</v>
      </c>
      <c r="AN110" s="1615">
        <f>SUM(AO110+AP110)</f>
        <v>0</v>
      </c>
      <c r="AO110" s="1637"/>
      <c r="AP110" s="1738">
        <f>SUM(AQ110:AT110)</f>
        <v>0</v>
      </c>
      <c r="AQ110" s="1692"/>
      <c r="AR110" s="1637"/>
      <c r="AS110" s="1637"/>
      <c r="AT110" s="1637"/>
      <c r="AU110" s="1616">
        <f>SUM(AN110+AG110+Y110+G110)</f>
        <v>3500000</v>
      </c>
      <c r="AV110" s="1617">
        <f>AM110/$AM$7</f>
        <v>8.0898204179321505E-5</v>
      </c>
      <c r="AW110" s="1627">
        <f>1550000/1000</f>
        <v>1550</v>
      </c>
      <c r="AX110" s="1619">
        <f>AW110/$AW$7</f>
        <v>2.9194154325279307E-5</v>
      </c>
    </row>
    <row r="111" spans="1:50" ht="15.75" hidden="1" customHeight="1" x14ac:dyDescent="0.25">
      <c r="A111" s="1520" t="s">
        <v>174</v>
      </c>
      <c r="B111" s="2018" t="s">
        <v>175</v>
      </c>
      <c r="C111" s="2020"/>
      <c r="D111" s="1608">
        <f>+G111+Y111+AG111+AN111</f>
        <v>2050000</v>
      </c>
      <c r="E111" s="1552">
        <f>SUM(G111+Y111+AG111+AN111)</f>
        <v>2050000</v>
      </c>
      <c r="F111" s="1447">
        <f>+X111+AF111+AM111+AW111</f>
        <v>0</v>
      </c>
      <c r="G111" s="1608">
        <f>SUM(H111:W111)</f>
        <v>550000</v>
      </c>
      <c r="H111" s="1103"/>
      <c r="I111" s="1103"/>
      <c r="J111" s="1103">
        <v>450000</v>
      </c>
      <c r="K111" s="1103">
        <v>0</v>
      </c>
      <c r="L111" s="78">
        <v>0</v>
      </c>
      <c r="M111" s="1586"/>
      <c r="N111" s="1103">
        <f>100000</f>
        <v>100000</v>
      </c>
      <c r="O111" s="1103"/>
      <c r="P111" s="78"/>
      <c r="Q111" s="1103"/>
      <c r="R111" s="1586"/>
      <c r="S111" s="1586"/>
      <c r="T111" s="1586"/>
      <c r="U111" s="1586"/>
      <c r="V111" s="1586"/>
      <c r="W111" s="1586"/>
      <c r="X111" s="1588">
        <f>+'[3]Egresos -2015 '!$Z$110</f>
        <v>0</v>
      </c>
      <c r="Y111" s="1561">
        <f>SUM(Z111:AD111)</f>
        <v>1500000</v>
      </c>
      <c r="Z111" s="1561">
        <v>1500000</v>
      </c>
      <c r="AA111" s="1561"/>
      <c r="AB111" s="1561"/>
      <c r="AC111" s="1561"/>
      <c r="AD111" s="1561"/>
      <c r="AE111" s="1609">
        <f>X111/$X$7*100</f>
        <v>0</v>
      </c>
      <c r="AF111" s="1561">
        <v>0</v>
      </c>
      <c r="AG111" s="1576">
        <f>SUM(AH111:AK111)</f>
        <v>0</v>
      </c>
      <c r="AH111" s="1684"/>
      <c r="AI111" s="1658"/>
      <c r="AJ111" s="1658"/>
      <c r="AK111" s="1658"/>
      <c r="AL111" s="1613">
        <f>(AF111/AF7)*100</f>
        <v>0</v>
      </c>
      <c r="AM111" s="1614">
        <v>0</v>
      </c>
      <c r="AN111" s="1615">
        <f>SUM(AO111+AP111)</f>
        <v>0</v>
      </c>
      <c r="AO111" s="1612"/>
      <c r="AP111" s="1738">
        <f>SUM(AQ111:AT111)</f>
        <v>0</v>
      </c>
      <c r="AQ111" s="1611"/>
      <c r="AR111" s="1612"/>
      <c r="AS111" s="1612"/>
      <c r="AT111" s="1612"/>
      <c r="AU111" s="1616">
        <f>SUM(AN111+AG111+Y111+G111)</f>
        <v>2050000</v>
      </c>
      <c r="AV111" s="1603">
        <f>AM111/$AM$7</f>
        <v>0</v>
      </c>
      <c r="AW111" s="1627">
        <v>0</v>
      </c>
      <c r="AX111" s="1592">
        <f>AW111/$AW$7</f>
        <v>0</v>
      </c>
    </row>
    <row r="112" spans="1:50" ht="15.75" customHeight="1" x14ac:dyDescent="0.25">
      <c r="A112" s="1520"/>
      <c r="B112" s="1624"/>
      <c r="C112" s="1513"/>
      <c r="D112" s="1608"/>
      <c r="E112" s="1552"/>
      <c r="F112" s="1447"/>
      <c r="G112" s="1608"/>
      <c r="H112" s="1103"/>
      <c r="I112" s="1103"/>
      <c r="J112" s="1103"/>
      <c r="K112" s="1103"/>
      <c r="L112" s="78"/>
      <c r="M112" s="1586"/>
      <c r="N112" s="1103"/>
      <c r="O112" s="1103"/>
      <c r="P112" s="78"/>
      <c r="Q112" s="1103"/>
      <c r="R112" s="1586"/>
      <c r="S112" s="1586"/>
      <c r="T112" s="1586"/>
      <c r="U112" s="1586"/>
      <c r="V112" s="1586"/>
      <c r="W112" s="1586"/>
      <c r="X112" s="1588"/>
      <c r="Y112" s="1561"/>
      <c r="Z112" s="1561"/>
      <c r="AA112" s="1561"/>
      <c r="AB112" s="1561"/>
      <c r="AC112" s="1561"/>
      <c r="AD112" s="1561"/>
      <c r="AE112" s="1575"/>
      <c r="AF112" s="1561"/>
      <c r="AG112" s="1576"/>
      <c r="AH112" s="1684"/>
      <c r="AI112" s="1658"/>
      <c r="AJ112" s="1658"/>
      <c r="AK112" s="1658"/>
      <c r="AL112" s="1613"/>
      <c r="AM112" s="1614"/>
      <c r="AN112" s="1599"/>
      <c r="AO112" s="1612"/>
      <c r="AP112" s="1659"/>
      <c r="AQ112" s="1611"/>
      <c r="AR112" s="1612"/>
      <c r="AS112" s="1612"/>
      <c r="AT112" s="1612"/>
      <c r="AU112" s="1616"/>
      <c r="AV112" s="1603"/>
      <c r="AW112" s="1627"/>
      <c r="AX112" s="1592"/>
    </row>
    <row r="113" spans="1:50" ht="15.75" hidden="1" customHeight="1" x14ac:dyDescent="0.25">
      <c r="A113" s="1520"/>
      <c r="B113" s="1624"/>
      <c r="C113" s="1513"/>
      <c r="D113" s="1608"/>
      <c r="E113" s="1552"/>
      <c r="F113" s="1447"/>
      <c r="G113" s="1608"/>
      <c r="H113" s="1103"/>
      <c r="I113" s="1103"/>
      <c r="J113" s="1103"/>
      <c r="K113" s="1103"/>
      <c r="L113" s="78"/>
      <c r="M113" s="1586"/>
      <c r="N113" s="1103"/>
      <c r="O113" s="1103"/>
      <c r="P113" s="78"/>
      <c r="Q113" s="1103"/>
      <c r="R113" s="1586"/>
      <c r="S113" s="1586"/>
      <c r="T113" s="1586"/>
      <c r="U113" s="1586"/>
      <c r="V113" s="1586"/>
      <c r="W113" s="1586"/>
      <c r="X113" s="1588"/>
      <c r="Y113" s="1561"/>
      <c r="Z113" s="1561"/>
      <c r="AA113" s="1561"/>
      <c r="AB113" s="1561"/>
      <c r="AC113" s="1561"/>
      <c r="AD113" s="1561"/>
      <c r="AE113" s="1575"/>
      <c r="AF113" s="1561"/>
      <c r="AG113" s="1576"/>
      <c r="AH113" s="1684"/>
      <c r="AI113" s="1658"/>
      <c r="AJ113" s="1658"/>
      <c r="AK113" s="1658"/>
      <c r="AL113" s="1613"/>
      <c r="AM113" s="1614"/>
      <c r="AN113" s="1599"/>
      <c r="AO113" s="1612"/>
      <c r="AP113" s="1659"/>
      <c r="AQ113" s="1611"/>
      <c r="AR113" s="1612"/>
      <c r="AS113" s="1612"/>
      <c r="AT113" s="1612"/>
      <c r="AU113" s="1616"/>
      <c r="AV113" s="1603"/>
      <c r="AW113" s="1627"/>
      <c r="AX113" s="1592"/>
    </row>
    <row r="114" spans="1:50" ht="15.75" hidden="1" customHeight="1" x14ac:dyDescent="0.25">
      <c r="A114" s="1520"/>
      <c r="B114" s="1624"/>
      <c r="C114" s="1513"/>
      <c r="D114" s="1608"/>
      <c r="E114" s="1552"/>
      <c r="F114" s="1447">
        <f>+X114+AF114+AM114+AW114</f>
        <v>0</v>
      </c>
      <c r="G114" s="1608"/>
      <c r="H114" s="1103"/>
      <c r="I114" s="1103"/>
      <c r="J114" s="1103"/>
      <c r="K114" s="1103"/>
      <c r="L114" s="78"/>
      <c r="M114" s="1586"/>
      <c r="N114" s="1103"/>
      <c r="O114" s="1103"/>
      <c r="P114" s="78"/>
      <c r="Q114" s="1103"/>
      <c r="R114" s="1586"/>
      <c r="S114" s="1586"/>
      <c r="T114" s="1586"/>
      <c r="U114" s="1586"/>
      <c r="V114" s="1586"/>
      <c r="W114" s="1586"/>
      <c r="X114" s="1588">
        <f>G114/1000</f>
        <v>0</v>
      </c>
      <c r="Y114" s="1561"/>
      <c r="Z114" s="1561"/>
      <c r="AA114" s="1561"/>
      <c r="AB114" s="1561"/>
      <c r="AC114" s="1561"/>
      <c r="AD114" s="1561"/>
      <c r="AE114" s="1575">
        <f>X114/$X$7*100</f>
        <v>0</v>
      </c>
      <c r="AF114" s="1561">
        <f>Y114/1000</f>
        <v>0</v>
      </c>
      <c r="AG114" s="1576"/>
      <c r="AH114" s="1684"/>
      <c r="AI114" s="1658"/>
      <c r="AJ114" s="1658"/>
      <c r="AK114" s="1658"/>
      <c r="AL114" s="1613"/>
      <c r="AM114" s="1614">
        <f>AG114/1000</f>
        <v>0</v>
      </c>
      <c r="AN114" s="1599"/>
      <c r="AO114" s="1612"/>
      <c r="AP114" s="1659"/>
      <c r="AQ114" s="1611"/>
      <c r="AR114" s="1612"/>
      <c r="AS114" s="1612"/>
      <c r="AT114" s="1612"/>
      <c r="AU114" s="1616"/>
      <c r="AV114" s="1603">
        <f>AM114/$AM$7</f>
        <v>0</v>
      </c>
      <c r="AW114" s="1627">
        <f>AN114/1000</f>
        <v>0</v>
      </c>
      <c r="AX114" s="1592">
        <f>AW114/$AW$7</f>
        <v>0</v>
      </c>
    </row>
    <row r="115" spans="1:50" s="1434" customFormat="1" ht="15.75" hidden="1" customHeight="1" x14ac:dyDescent="0.25">
      <c r="A115" s="1520"/>
      <c r="B115" s="1624"/>
      <c r="C115" s="1513"/>
      <c r="D115" s="1608"/>
      <c r="E115" s="1552"/>
      <c r="F115" s="1447" t="e">
        <f>+X115+AF115+AM115+AW115</f>
        <v>#VALUE!</v>
      </c>
      <c r="G115" s="1608"/>
      <c r="H115" s="1103"/>
      <c r="I115" s="1103"/>
      <c r="J115" s="1103"/>
      <c r="K115" s="1103"/>
      <c r="L115" s="78"/>
      <c r="M115" s="1586"/>
      <c r="N115" s="1103"/>
      <c r="O115" s="1103"/>
      <c r="P115" s="78"/>
      <c r="Q115" s="1103"/>
      <c r="R115" s="1586"/>
      <c r="S115" s="1586"/>
      <c r="T115" s="1586"/>
      <c r="U115" s="1586"/>
      <c r="V115" s="1586"/>
      <c r="W115" s="1586"/>
      <c r="X115" s="1588">
        <f>G115/1000</f>
        <v>0</v>
      </c>
      <c r="Y115" s="1514"/>
      <c r="Z115" s="1514"/>
      <c r="AA115" s="1514"/>
      <c r="AB115" s="1514"/>
      <c r="AC115" s="1514"/>
      <c r="AD115" s="1514"/>
      <c r="AE115" s="1575">
        <f>X115/$X$7*100</f>
        <v>0</v>
      </c>
      <c r="AF115" s="1561">
        <f>Y115/1000</f>
        <v>0</v>
      </c>
      <c r="AG115" s="1580" t="s">
        <v>0</v>
      </c>
      <c r="AH115" s="1728" t="s">
        <v>0</v>
      </c>
      <c r="AI115" s="1729" t="s">
        <v>0</v>
      </c>
      <c r="AJ115" s="1729"/>
      <c r="AK115" s="1729"/>
      <c r="AL115" s="1613"/>
      <c r="AM115" s="1614" t="e">
        <f>AG115/1000</f>
        <v>#VALUE!</v>
      </c>
      <c r="AN115" s="1599"/>
      <c r="AO115" s="1729"/>
      <c r="AP115" s="1730"/>
      <c r="AQ115" s="1728"/>
      <c r="AR115" s="1729"/>
      <c r="AS115" s="1729"/>
      <c r="AT115" s="1729"/>
      <c r="AU115" s="1616"/>
      <c r="AV115" s="1603" t="e">
        <f>AM115/$AM$7</f>
        <v>#VALUE!</v>
      </c>
      <c r="AW115" s="1627">
        <f>AN115/1000</f>
        <v>0</v>
      </c>
      <c r="AX115" s="1592">
        <f>AW115/$AW$7</f>
        <v>0</v>
      </c>
    </row>
    <row r="116" spans="1:50" ht="15.75" customHeight="1" x14ac:dyDescent="0.25">
      <c r="A116" s="1517" t="s">
        <v>176</v>
      </c>
      <c r="B116" s="2013" t="s">
        <v>177</v>
      </c>
      <c r="C116" s="2002"/>
      <c r="D116" s="1573">
        <f>SUM(D117:D125)</f>
        <v>155385613.31</v>
      </c>
      <c r="E116" s="1572">
        <f>SUM(G116+Y116+AG116+AN116)</f>
        <v>155385613.31</v>
      </c>
      <c r="F116" s="1495">
        <f>+X116+AF116+AM116+AW116</f>
        <v>186020</v>
      </c>
      <c r="G116" s="1573">
        <f>SUM(G118:G125)</f>
        <v>128491863.31</v>
      </c>
      <c r="H116" s="1099">
        <f t="shared" ref="H116:W116" si="106">SUM(H117:H125)</f>
        <v>200000</v>
      </c>
      <c r="I116" s="1099">
        <f t="shared" si="106"/>
        <v>300000</v>
      </c>
      <c r="J116" s="1099">
        <f t="shared" si="106"/>
        <v>1500000</v>
      </c>
      <c r="K116" s="1099">
        <f t="shared" si="106"/>
        <v>0</v>
      </c>
      <c r="L116" s="1647">
        <f t="shared" si="106"/>
        <v>0</v>
      </c>
      <c r="M116" s="1647">
        <f t="shared" si="106"/>
        <v>102855919.87</v>
      </c>
      <c r="N116" s="1099">
        <f t="shared" si="106"/>
        <v>0</v>
      </c>
      <c r="O116" s="1099">
        <f t="shared" si="106"/>
        <v>200000</v>
      </c>
      <c r="P116" s="1647">
        <f t="shared" si="106"/>
        <v>450000</v>
      </c>
      <c r="Q116" s="1099">
        <f t="shared" si="106"/>
        <v>450000</v>
      </c>
      <c r="R116" s="1647">
        <f t="shared" si="106"/>
        <v>175000</v>
      </c>
      <c r="S116" s="1647">
        <f t="shared" si="106"/>
        <v>19367943.439999998</v>
      </c>
      <c r="T116" s="1647">
        <f t="shared" si="106"/>
        <v>750000</v>
      </c>
      <c r="U116" s="1647">
        <f t="shared" si="106"/>
        <v>1560000</v>
      </c>
      <c r="V116" s="1647">
        <f t="shared" si="106"/>
        <v>1358000</v>
      </c>
      <c r="W116" s="1647">
        <f t="shared" si="106"/>
        <v>950000</v>
      </c>
      <c r="X116" s="1628">
        <f>+X118+X120+X121+X122+X123+X124+X125</f>
        <v>160020</v>
      </c>
      <c r="Y116" s="1639">
        <f t="shared" ref="Y116:AD116" si="107">SUM(Y117:Y125)</f>
        <v>5500000</v>
      </c>
      <c r="Z116" s="1639">
        <f t="shared" si="107"/>
        <v>300000</v>
      </c>
      <c r="AA116" s="1639">
        <f t="shared" si="107"/>
        <v>1600000</v>
      </c>
      <c r="AB116" s="1639">
        <f t="shared" si="107"/>
        <v>1200000</v>
      </c>
      <c r="AC116" s="1639">
        <f t="shared" si="107"/>
        <v>1200000</v>
      </c>
      <c r="AD116" s="1639">
        <f t="shared" si="107"/>
        <v>1200000</v>
      </c>
      <c r="AE116" s="1575">
        <f>X116/$X$7</f>
        <v>3.7358217013056645E-2</v>
      </c>
      <c r="AF116" s="1557">
        <f>+AF117+AF118+AF121+AF122+AF123+AF124+AF125</f>
        <v>22200</v>
      </c>
      <c r="AG116" s="1576">
        <f>SUM(AG118:AG125)</f>
        <v>17100000</v>
      </c>
      <c r="AH116" s="1731">
        <f>SUM(AH117:AH125)</f>
        <v>300000</v>
      </c>
      <c r="AI116" s="1732">
        <f>SUM(AI117:AI125)</f>
        <v>575000</v>
      </c>
      <c r="AJ116" s="1597">
        <f>SUM(AJ118:AJ125)</f>
        <v>425000</v>
      </c>
      <c r="AK116" s="1597">
        <f>SUM(AK118:AK125)</f>
        <v>15800000</v>
      </c>
      <c r="AL116" s="1577">
        <f>(AF116/AF7)</f>
        <v>1.4716452111268758E-2</v>
      </c>
      <c r="AM116" s="1598">
        <f>+AM118+AM121+AM122+AM123+AM124+AM125</f>
        <v>1150</v>
      </c>
      <c r="AN116" s="1599">
        <f t="shared" ref="AN116:AU116" si="108">SUM(AN118:AN125)</f>
        <v>4293750</v>
      </c>
      <c r="AO116" s="1600">
        <f t="shared" si="108"/>
        <v>2520000</v>
      </c>
      <c r="AP116" s="1599">
        <f t="shared" si="108"/>
        <v>1773750</v>
      </c>
      <c r="AQ116" s="1601">
        <f t="shared" si="108"/>
        <v>215000</v>
      </c>
      <c r="AR116" s="1600">
        <f t="shared" si="108"/>
        <v>107500</v>
      </c>
      <c r="AS116" s="1600">
        <f t="shared" si="108"/>
        <v>1075000</v>
      </c>
      <c r="AT116" s="1600">
        <f t="shared" si="108"/>
        <v>376250</v>
      </c>
      <c r="AU116" s="1602">
        <f t="shared" si="108"/>
        <v>155385613.31</v>
      </c>
      <c r="AV116" s="1603">
        <f>AM116/$AM$7</f>
        <v>1.8606586961243947E-4</v>
      </c>
      <c r="AW116" s="1631">
        <f>+AW118+AW121+AW122+AW123+AW124+AW125</f>
        <v>2650</v>
      </c>
      <c r="AX116" s="1592">
        <f>AW116/$AW$7</f>
        <v>4.9912586427090426E-5</v>
      </c>
    </row>
    <row r="117" spans="1:50" ht="15.75" customHeight="1" x14ac:dyDescent="0.25">
      <c r="A117" s="1517"/>
      <c r="B117" s="1656"/>
      <c r="C117" s="1743"/>
      <c r="D117" s="1608"/>
      <c r="E117" s="1552"/>
      <c r="F117" s="1447"/>
      <c r="G117" s="1608">
        <v>0</v>
      </c>
      <c r="H117" s="1099"/>
      <c r="I117" s="1099"/>
      <c r="J117" s="1099"/>
      <c r="K117" s="1099"/>
      <c r="L117" s="1647"/>
      <c r="M117" s="1685"/>
      <c r="N117" s="1099"/>
      <c r="O117" s="1099"/>
      <c r="P117" s="1647"/>
      <c r="Q117" s="1099"/>
      <c r="R117" s="1685"/>
      <c r="S117" s="1685"/>
      <c r="T117" s="1685"/>
      <c r="U117" s="1685"/>
      <c r="V117" s="1685"/>
      <c r="W117" s="1685"/>
      <c r="X117" s="1588"/>
      <c r="Y117" s="1557"/>
      <c r="Z117" s="1557"/>
      <c r="AA117" s="1557"/>
      <c r="AB117" s="1557"/>
      <c r="AC117" s="1557"/>
      <c r="AD117" s="1557"/>
      <c r="AE117" s="1575"/>
      <c r="AF117" s="1561"/>
      <c r="AG117" s="1580" t="s">
        <v>0</v>
      </c>
      <c r="AH117" s="1728" t="s">
        <v>0</v>
      </c>
      <c r="AI117" s="1729"/>
      <c r="AJ117" s="1729" t="s">
        <v>0</v>
      </c>
      <c r="AK117" s="1729" t="s">
        <v>0</v>
      </c>
      <c r="AL117" s="1577"/>
      <c r="AM117" s="1614"/>
      <c r="AN117" s="1562"/>
      <c r="AO117" s="1729" t="s">
        <v>0</v>
      </c>
      <c r="AP117" s="1730" t="s">
        <v>0</v>
      </c>
      <c r="AQ117" s="1728" t="s">
        <v>0</v>
      </c>
      <c r="AR117" s="1729" t="s">
        <v>0</v>
      </c>
      <c r="AS117" s="1729" t="s">
        <v>0</v>
      </c>
      <c r="AT117" s="1729" t="s">
        <v>0</v>
      </c>
      <c r="AU117" s="1463"/>
      <c r="AV117" s="1603"/>
      <c r="AW117" s="1627"/>
      <c r="AX117" s="1592"/>
    </row>
    <row r="118" spans="1:50" ht="15.75" customHeight="1" x14ac:dyDescent="0.25">
      <c r="A118" s="1520" t="s">
        <v>178</v>
      </c>
      <c r="B118" s="2009" t="s">
        <v>179</v>
      </c>
      <c r="C118" s="2004"/>
      <c r="D118" s="1608">
        <f t="shared" ref="D118:D125" si="109">+G118+Y118+AG118+AN118</f>
        <v>24080000</v>
      </c>
      <c r="E118" s="1552">
        <f t="shared" ref="E118:E125" si="110">SUM(G118+Y118+AG118+AN118)</f>
        <v>24080000</v>
      </c>
      <c r="F118" s="1447">
        <f t="shared" ref="F118:F125" si="111">+X118+AF118+AM118+AW118</f>
        <v>40000</v>
      </c>
      <c r="G118" s="1608">
        <f>SUM(H118:W118)</f>
        <v>9080000</v>
      </c>
      <c r="H118" s="1103"/>
      <c r="I118" s="1103"/>
      <c r="J118" s="1103"/>
      <c r="K118" s="1103"/>
      <c r="L118" s="78"/>
      <c r="M118" s="1586"/>
      <c r="N118" s="1103">
        <v>0</v>
      </c>
      <c r="O118" s="1103">
        <v>0</v>
      </c>
      <c r="P118" s="78"/>
      <c r="Q118" s="1103"/>
      <c r="R118" s="1586"/>
      <c r="S118" s="1586">
        <v>9080000</v>
      </c>
      <c r="T118" s="1586"/>
      <c r="U118" s="1586"/>
      <c r="V118" s="1586"/>
      <c r="W118" s="1586"/>
      <c r="X118" s="1588">
        <f>40000000/1000</f>
        <v>40000</v>
      </c>
      <c r="Y118" s="1561">
        <f t="shared" ref="Y118:Y125" si="112">SUM(Z118:AD118)</f>
        <v>0</v>
      </c>
      <c r="Z118" s="1561">
        <v>0</v>
      </c>
      <c r="AA118" s="1561">
        <v>0</v>
      </c>
      <c r="AB118" s="1561"/>
      <c r="AC118" s="1561"/>
      <c r="AD118" s="1561"/>
      <c r="AE118" s="1609">
        <f>X118/$X$7*100</f>
        <v>0.93383869548947995</v>
      </c>
      <c r="AF118" s="1561">
        <f>Y118/1000</f>
        <v>0</v>
      </c>
      <c r="AG118" s="1576">
        <f t="shared" ref="AG118:AG125" si="113">SUM(AH118:AK118)</f>
        <v>15000000</v>
      </c>
      <c r="AH118" s="1728">
        <v>0</v>
      </c>
      <c r="AI118" s="1729">
        <v>0</v>
      </c>
      <c r="AJ118" s="1729"/>
      <c r="AK118" s="1729">
        <v>15000000</v>
      </c>
      <c r="AL118" s="1613">
        <f>(AF118/AF7)</f>
        <v>0</v>
      </c>
      <c r="AM118" s="1614">
        <v>0</v>
      </c>
      <c r="AN118" s="1599">
        <f t="shared" ref="AN118:AN125" si="114">SUM(AO118+AP118)</f>
        <v>0</v>
      </c>
      <c r="AO118" s="1729"/>
      <c r="AP118" s="1730">
        <f t="shared" ref="AP118:AP125" si="115">SUM(AQ118:AT118)</f>
        <v>0</v>
      </c>
      <c r="AQ118" s="1728"/>
      <c r="AR118" s="1729"/>
      <c r="AS118" s="1729"/>
      <c r="AT118" s="1729"/>
      <c r="AU118" s="1616">
        <f t="shared" ref="AU118:AU125" si="116">SUM(AN118+AG118+Y118+G118)</f>
        <v>24080000</v>
      </c>
      <c r="AV118" s="1617">
        <f t="shared" ref="AV118:AV125" si="117">AM118/$AM$7</f>
        <v>0</v>
      </c>
      <c r="AW118" s="1627">
        <v>0</v>
      </c>
      <c r="AX118" s="1619">
        <f t="shared" ref="AX118:AX125" si="118">AW118/$AW$7</f>
        <v>0</v>
      </c>
    </row>
    <row r="119" spans="1:50" ht="15.75" hidden="1" customHeight="1" x14ac:dyDescent="0.25">
      <c r="A119" s="1652" t="s">
        <v>180</v>
      </c>
      <c r="B119" s="2009" t="s">
        <v>181</v>
      </c>
      <c r="C119" s="2004"/>
      <c r="D119" s="1608">
        <f t="shared" si="109"/>
        <v>0</v>
      </c>
      <c r="E119" s="1552">
        <f t="shared" si="110"/>
        <v>0</v>
      </c>
      <c r="F119" s="1447">
        <f t="shared" si="111"/>
        <v>0</v>
      </c>
      <c r="G119" s="1608">
        <f>SUM(H119:W119)</f>
        <v>0</v>
      </c>
      <c r="H119" s="78"/>
      <c r="I119" s="78"/>
      <c r="J119" s="78"/>
      <c r="K119" s="78"/>
      <c r="L119" s="78"/>
      <c r="M119" s="1586"/>
      <c r="N119" s="78"/>
      <c r="O119" s="78"/>
      <c r="P119" s="78"/>
      <c r="Q119" s="78"/>
      <c r="R119" s="1586"/>
      <c r="S119" s="1586"/>
      <c r="T119" s="1586"/>
      <c r="U119" s="1586"/>
      <c r="V119" s="1586"/>
      <c r="W119" s="1586"/>
      <c r="X119" s="1588">
        <v>0</v>
      </c>
      <c r="Y119" s="1561">
        <f t="shared" si="112"/>
        <v>0</v>
      </c>
      <c r="Z119" s="1561"/>
      <c r="AA119" s="1561"/>
      <c r="AB119" s="1561"/>
      <c r="AC119" s="1561"/>
      <c r="AD119" s="1561"/>
      <c r="AE119" s="1609">
        <f>X119/$X$7*100</f>
        <v>0</v>
      </c>
      <c r="AF119" s="1561">
        <f>Y119/1000</f>
        <v>0</v>
      </c>
      <c r="AG119" s="1576">
        <f t="shared" si="113"/>
        <v>0</v>
      </c>
      <c r="AH119" s="1728">
        <v>0</v>
      </c>
      <c r="AI119" s="1729">
        <v>0</v>
      </c>
      <c r="AJ119" s="1637">
        <v>0</v>
      </c>
      <c r="AK119" s="1637">
        <v>0</v>
      </c>
      <c r="AL119" s="1613">
        <f>(AF119/AF7)*100</f>
        <v>0</v>
      </c>
      <c r="AM119" s="1614">
        <v>0</v>
      </c>
      <c r="AN119" s="1615">
        <f t="shared" si="114"/>
        <v>0</v>
      </c>
      <c r="AO119" s="1637"/>
      <c r="AP119" s="1738">
        <f t="shared" si="115"/>
        <v>0</v>
      </c>
      <c r="AQ119" s="1692"/>
      <c r="AR119" s="1637"/>
      <c r="AS119" s="1637"/>
      <c r="AT119" s="1637"/>
      <c r="AU119" s="1616">
        <f t="shared" si="116"/>
        <v>0</v>
      </c>
      <c r="AV119" s="1617">
        <f t="shared" si="117"/>
        <v>0</v>
      </c>
      <c r="AW119" s="1627">
        <f>AN119/1000</f>
        <v>0</v>
      </c>
      <c r="AX119" s="1619">
        <f t="shared" si="118"/>
        <v>0</v>
      </c>
    </row>
    <row r="120" spans="1:50" ht="15.75" customHeight="1" x14ac:dyDescent="0.25">
      <c r="A120" s="1652" t="s">
        <v>567</v>
      </c>
      <c r="B120" s="2009" t="s">
        <v>568</v>
      </c>
      <c r="C120" s="2004"/>
      <c r="D120" s="1608">
        <f t="shared" si="109"/>
        <v>0</v>
      </c>
      <c r="E120" s="1552">
        <f t="shared" si="110"/>
        <v>0</v>
      </c>
      <c r="F120" s="1447">
        <f t="shared" si="111"/>
        <v>150</v>
      </c>
      <c r="G120" s="1608"/>
      <c r="H120" s="78"/>
      <c r="I120" s="78"/>
      <c r="J120" s="78"/>
      <c r="K120" s="78"/>
      <c r="L120" s="78"/>
      <c r="M120" s="1586"/>
      <c r="N120" s="78"/>
      <c r="O120" s="78"/>
      <c r="P120" s="78"/>
      <c r="Q120" s="78"/>
      <c r="R120" s="1586">
        <v>25000</v>
      </c>
      <c r="S120" s="1586">
        <v>1500000</v>
      </c>
      <c r="T120" s="1586"/>
      <c r="U120" s="1586"/>
      <c r="V120" s="1586"/>
      <c r="W120" s="1586">
        <v>100000</v>
      </c>
      <c r="X120" s="1588">
        <f>150000/1000</f>
        <v>150</v>
      </c>
      <c r="Y120" s="1561">
        <f t="shared" si="112"/>
        <v>0</v>
      </c>
      <c r="Z120" s="1561"/>
      <c r="AA120" s="1561"/>
      <c r="AB120" s="1561"/>
      <c r="AC120" s="1561"/>
      <c r="AD120" s="1561"/>
      <c r="AE120" s="1609">
        <f t="shared" ref="AE120:AE125" si="119">X120/$X$7</f>
        <v>3.5018951080855499E-5</v>
      </c>
      <c r="AF120" s="1561">
        <f>Y120/1000</f>
        <v>0</v>
      </c>
      <c r="AG120" s="1576">
        <f t="shared" si="113"/>
        <v>0</v>
      </c>
      <c r="AH120" s="1728"/>
      <c r="AI120" s="1729"/>
      <c r="AJ120" s="1637"/>
      <c r="AK120" s="1637"/>
      <c r="AL120" s="1613">
        <f>(AF120/AF7)</f>
        <v>0</v>
      </c>
      <c r="AM120" s="1614">
        <v>0</v>
      </c>
      <c r="AN120" s="1615">
        <f t="shared" si="114"/>
        <v>0</v>
      </c>
      <c r="AO120" s="1637"/>
      <c r="AP120" s="1738">
        <f t="shared" si="115"/>
        <v>0</v>
      </c>
      <c r="AQ120" s="1692"/>
      <c r="AR120" s="1637"/>
      <c r="AS120" s="1637"/>
      <c r="AT120" s="1637"/>
      <c r="AU120" s="1616">
        <f t="shared" si="116"/>
        <v>0</v>
      </c>
      <c r="AV120" s="1617">
        <f t="shared" si="117"/>
        <v>0</v>
      </c>
      <c r="AW120" s="1627">
        <f>AN120/1000</f>
        <v>0</v>
      </c>
      <c r="AX120" s="1619">
        <f t="shared" si="118"/>
        <v>0</v>
      </c>
    </row>
    <row r="121" spans="1:50" ht="13.5" customHeight="1" x14ac:dyDescent="0.25">
      <c r="A121" s="1520" t="s">
        <v>182</v>
      </c>
      <c r="B121" s="2009" t="s">
        <v>183</v>
      </c>
      <c r="C121" s="2004"/>
      <c r="D121" s="1608">
        <f t="shared" si="109"/>
        <v>8320000</v>
      </c>
      <c r="E121" s="1552">
        <f t="shared" si="110"/>
        <v>8320000</v>
      </c>
      <c r="F121" s="1447">
        <f t="shared" si="111"/>
        <v>15000</v>
      </c>
      <c r="G121" s="1608">
        <f>SUM(H121:W121)</f>
        <v>8320000</v>
      </c>
      <c r="H121" s="1103"/>
      <c r="I121" s="1103"/>
      <c r="J121" s="1103"/>
      <c r="K121" s="1103"/>
      <c r="L121" s="78">
        <v>0</v>
      </c>
      <c r="M121" s="1586"/>
      <c r="N121" s="1103">
        <v>0</v>
      </c>
      <c r="O121" s="1103"/>
      <c r="P121" s="78"/>
      <c r="Q121" s="1103"/>
      <c r="R121" s="1586"/>
      <c r="S121" s="1586">
        <v>8320000</v>
      </c>
      <c r="T121" s="1586"/>
      <c r="U121" s="1586"/>
      <c r="V121" s="1586"/>
      <c r="W121" s="1586"/>
      <c r="X121" s="1588">
        <f>15000000/1000</f>
        <v>15000</v>
      </c>
      <c r="Y121" s="1561">
        <f t="shared" si="112"/>
        <v>0</v>
      </c>
      <c r="Z121" s="1561"/>
      <c r="AA121" s="1561"/>
      <c r="AB121" s="1561"/>
      <c r="AC121" s="1561"/>
      <c r="AD121" s="1561"/>
      <c r="AE121" s="1609">
        <f t="shared" si="119"/>
        <v>3.5018951080855502E-3</v>
      </c>
      <c r="AF121" s="1561">
        <f>Y121/1000</f>
        <v>0</v>
      </c>
      <c r="AG121" s="1576">
        <f t="shared" si="113"/>
        <v>0</v>
      </c>
      <c r="AH121" s="1728">
        <v>0</v>
      </c>
      <c r="AI121" s="1729">
        <v>0</v>
      </c>
      <c r="AJ121" s="1744">
        <v>0</v>
      </c>
      <c r="AK121" s="1744">
        <v>0</v>
      </c>
      <c r="AL121" s="1613">
        <f>(AF121/AF7)</f>
        <v>0</v>
      </c>
      <c r="AM121" s="1614">
        <v>0</v>
      </c>
      <c r="AN121" s="1615">
        <f t="shared" si="114"/>
        <v>0</v>
      </c>
      <c r="AO121" s="1744"/>
      <c r="AP121" s="1738">
        <f t="shared" si="115"/>
        <v>0</v>
      </c>
      <c r="AQ121" s="1745"/>
      <c r="AR121" s="1744"/>
      <c r="AS121" s="1744"/>
      <c r="AT121" s="1744"/>
      <c r="AU121" s="1616">
        <f t="shared" si="116"/>
        <v>8320000</v>
      </c>
      <c r="AV121" s="1617">
        <f t="shared" si="117"/>
        <v>0</v>
      </c>
      <c r="AW121" s="1627">
        <v>0</v>
      </c>
      <c r="AX121" s="1619">
        <f t="shared" si="118"/>
        <v>0</v>
      </c>
    </row>
    <row r="122" spans="1:50" ht="15.75" customHeight="1" x14ac:dyDescent="0.25">
      <c r="A122" s="1652" t="s">
        <v>184</v>
      </c>
      <c r="B122" s="2009" t="s">
        <v>185</v>
      </c>
      <c r="C122" s="2004"/>
      <c r="D122" s="1608">
        <f t="shared" si="109"/>
        <v>921985.86</v>
      </c>
      <c r="E122" s="1552">
        <f t="shared" si="110"/>
        <v>921985.86</v>
      </c>
      <c r="F122" s="1447">
        <f t="shared" si="111"/>
        <v>5400</v>
      </c>
      <c r="G122" s="1608">
        <f>SUM(H122:W122)</f>
        <v>421985.86</v>
      </c>
      <c r="H122" s="78"/>
      <c r="I122" s="78"/>
      <c r="J122" s="78"/>
      <c r="K122" s="78"/>
      <c r="L122" s="78"/>
      <c r="M122" s="1586"/>
      <c r="N122" s="78"/>
      <c r="O122" s="78"/>
      <c r="P122" s="78"/>
      <c r="Q122" s="78">
        <v>50000</v>
      </c>
      <c r="R122" s="1586">
        <v>25000</v>
      </c>
      <c r="S122" s="1586">
        <v>116985.86</v>
      </c>
      <c r="T122" s="1586">
        <v>50000</v>
      </c>
      <c r="U122" s="1586"/>
      <c r="V122" s="1586">
        <v>130000</v>
      </c>
      <c r="W122" s="1586">
        <v>50000</v>
      </c>
      <c r="X122" s="1588">
        <f>5100000/1000</f>
        <v>5100</v>
      </c>
      <c r="Y122" s="1561">
        <f t="shared" si="112"/>
        <v>0</v>
      </c>
      <c r="Z122" s="1561"/>
      <c r="AA122" s="1561"/>
      <c r="AB122" s="1561"/>
      <c r="AC122" s="1561"/>
      <c r="AD122" s="1561"/>
      <c r="AE122" s="1609">
        <f t="shared" si="119"/>
        <v>1.190644336749087E-3</v>
      </c>
      <c r="AF122" s="1561">
        <f>Y122/1000</f>
        <v>0</v>
      </c>
      <c r="AG122" s="1576">
        <f t="shared" si="113"/>
        <v>0</v>
      </c>
      <c r="AH122" s="1728">
        <v>0</v>
      </c>
      <c r="AI122" s="1729">
        <v>0</v>
      </c>
      <c r="AJ122" s="1729">
        <v>0</v>
      </c>
      <c r="AK122" s="1729">
        <v>0</v>
      </c>
      <c r="AL122" s="1613">
        <f>(AF122/AF7)</f>
        <v>0</v>
      </c>
      <c r="AM122" s="1614">
        <f>200000/1000</f>
        <v>200</v>
      </c>
      <c r="AN122" s="1615">
        <f t="shared" si="114"/>
        <v>500000</v>
      </c>
      <c r="AO122" s="1729">
        <v>500000</v>
      </c>
      <c r="AP122" s="1738">
        <f t="shared" si="115"/>
        <v>0</v>
      </c>
      <c r="AQ122" s="1728"/>
      <c r="AR122" s="1729"/>
      <c r="AS122" s="1729"/>
      <c r="AT122" s="1729"/>
      <c r="AU122" s="1616">
        <f t="shared" si="116"/>
        <v>921985.86</v>
      </c>
      <c r="AV122" s="1617">
        <f t="shared" si="117"/>
        <v>3.2359281671728605E-5</v>
      </c>
      <c r="AW122" s="1627">
        <f>100000/1000</f>
        <v>100</v>
      </c>
      <c r="AX122" s="1619">
        <f t="shared" si="118"/>
        <v>1.8834938274373746E-6</v>
      </c>
    </row>
    <row r="123" spans="1:50" ht="15.75" customHeight="1" x14ac:dyDescent="0.25">
      <c r="A123" s="1520" t="s">
        <v>186</v>
      </c>
      <c r="B123" s="2009" t="s">
        <v>187</v>
      </c>
      <c r="C123" s="2004"/>
      <c r="D123" s="1608">
        <f t="shared" si="109"/>
        <v>10175985.859999999</v>
      </c>
      <c r="E123" s="1552">
        <f t="shared" si="110"/>
        <v>10175985.859999999</v>
      </c>
      <c r="F123" s="1447">
        <f t="shared" si="111"/>
        <v>16170</v>
      </c>
      <c r="G123" s="1608">
        <f>SUM(H123:W123)</f>
        <v>4650985.8599999994</v>
      </c>
      <c r="H123" s="1103">
        <v>100000</v>
      </c>
      <c r="I123" s="1103">
        <v>200000</v>
      </c>
      <c r="J123" s="1103">
        <v>500000</v>
      </c>
      <c r="K123" s="1103"/>
      <c r="L123" s="78"/>
      <c r="M123" s="1586">
        <v>1664000</v>
      </c>
      <c r="N123" s="1103"/>
      <c r="O123" s="1103">
        <v>100000</v>
      </c>
      <c r="P123" s="78">
        <v>200000</v>
      </c>
      <c r="Q123" s="1103">
        <v>200000</v>
      </c>
      <c r="R123" s="1586">
        <v>50000</v>
      </c>
      <c r="S123" s="1586">
        <v>116985.86</v>
      </c>
      <c r="T123" s="1586">
        <v>300000</v>
      </c>
      <c r="U123" s="1586">
        <v>520000</v>
      </c>
      <c r="V123" s="1586">
        <v>600000</v>
      </c>
      <c r="W123" s="1586">
        <v>100000</v>
      </c>
      <c r="X123" s="1588">
        <f>12670000/1000</f>
        <v>12670</v>
      </c>
      <c r="Y123" s="1561">
        <f t="shared" si="112"/>
        <v>3100000</v>
      </c>
      <c r="Z123" s="1561">
        <v>100000</v>
      </c>
      <c r="AA123" s="1561">
        <f>700000+200000</f>
        <v>900000</v>
      </c>
      <c r="AB123" s="1561">
        <v>700000</v>
      </c>
      <c r="AC123" s="1561">
        <v>700000</v>
      </c>
      <c r="AD123" s="1561">
        <v>700000</v>
      </c>
      <c r="AE123" s="1609">
        <f t="shared" si="119"/>
        <v>2.957934067962928E-3</v>
      </c>
      <c r="AF123" s="1561">
        <f>2200000/1000</f>
        <v>2200</v>
      </c>
      <c r="AG123" s="1576">
        <f t="shared" si="113"/>
        <v>400000</v>
      </c>
      <c r="AH123" s="1728">
        <v>100000</v>
      </c>
      <c r="AI123" s="1729"/>
      <c r="AJ123" s="1586">
        <v>100000</v>
      </c>
      <c r="AK123" s="1586">
        <v>200000</v>
      </c>
      <c r="AL123" s="1613">
        <f>(AF123/AF7)</f>
        <v>1.4583871461617689E-3</v>
      </c>
      <c r="AM123" s="1614">
        <v>0</v>
      </c>
      <c r="AN123" s="1615">
        <f t="shared" si="114"/>
        <v>2025000</v>
      </c>
      <c r="AO123" s="1586">
        <v>1200000</v>
      </c>
      <c r="AP123" s="1738">
        <f t="shared" si="115"/>
        <v>825000</v>
      </c>
      <c r="AQ123" s="1645">
        <v>100000</v>
      </c>
      <c r="AR123" s="1586">
        <v>50000</v>
      </c>
      <c r="AS123" s="1586">
        <v>500000</v>
      </c>
      <c r="AT123" s="1586">
        <v>175000</v>
      </c>
      <c r="AU123" s="1616">
        <f t="shared" si="116"/>
        <v>10175985.859999999</v>
      </c>
      <c r="AV123" s="1617">
        <f t="shared" si="117"/>
        <v>0</v>
      </c>
      <c r="AW123" s="1627">
        <f>1300000/1000</f>
        <v>1300</v>
      </c>
      <c r="AX123" s="1619">
        <f t="shared" si="118"/>
        <v>2.4485419756685868E-5</v>
      </c>
    </row>
    <row r="124" spans="1:50" ht="15.75" customHeight="1" x14ac:dyDescent="0.25">
      <c r="A124" s="1520" t="s">
        <v>188</v>
      </c>
      <c r="B124" s="2009" t="s">
        <v>189</v>
      </c>
      <c r="C124" s="2004"/>
      <c r="D124" s="1608">
        <f t="shared" si="109"/>
        <v>109291105.73</v>
      </c>
      <c r="E124" s="1552">
        <f t="shared" si="110"/>
        <v>109291105.73</v>
      </c>
      <c r="F124" s="1447">
        <f t="shared" si="111"/>
        <v>98850</v>
      </c>
      <c r="G124" s="1608">
        <f>SUM(H124:W124)</f>
        <v>104166105.73</v>
      </c>
      <c r="H124" s="1103">
        <v>100000</v>
      </c>
      <c r="I124" s="1103">
        <v>100000</v>
      </c>
      <c r="J124" s="1103">
        <v>500000</v>
      </c>
      <c r="K124" s="1103"/>
      <c r="L124" s="78"/>
      <c r="M124" s="1586">
        <f>98151119.87+2500000</f>
        <v>100651119.87</v>
      </c>
      <c r="N124" s="1103"/>
      <c r="O124" s="1103">
        <v>100000</v>
      </c>
      <c r="P124" s="78">
        <v>250000</v>
      </c>
      <c r="Q124" s="1103">
        <v>200000</v>
      </c>
      <c r="R124" s="1586">
        <v>50000</v>
      </c>
      <c r="S124" s="1586">
        <v>116985.86</v>
      </c>
      <c r="T124" s="1586">
        <v>400000</v>
      </c>
      <c r="U124" s="1586">
        <v>520000</v>
      </c>
      <c r="V124" s="1586">
        <v>578000</v>
      </c>
      <c r="W124" s="1586">
        <f>100000+500000</f>
        <v>600000</v>
      </c>
      <c r="X124" s="1588">
        <f>82100000/1000</f>
        <v>82100</v>
      </c>
      <c r="Y124" s="1561">
        <f t="shared" si="112"/>
        <v>2300000</v>
      </c>
      <c r="Z124" s="1561">
        <v>100000</v>
      </c>
      <c r="AA124" s="1561">
        <f>500000+200000</f>
        <v>700000</v>
      </c>
      <c r="AB124" s="1561">
        <v>500000</v>
      </c>
      <c r="AC124" s="1561">
        <v>500000</v>
      </c>
      <c r="AD124" s="1561">
        <v>500000</v>
      </c>
      <c r="AE124" s="1609">
        <f t="shared" si="119"/>
        <v>1.9167039224921578E-2</v>
      </c>
      <c r="AF124" s="1561">
        <f>16000000/1000</f>
        <v>16000</v>
      </c>
      <c r="AG124" s="1576">
        <f t="shared" si="113"/>
        <v>1300000</v>
      </c>
      <c r="AH124" s="1728">
        <v>100000</v>
      </c>
      <c r="AI124" s="1729">
        <v>500000</v>
      </c>
      <c r="AJ124" s="1586">
        <v>200000</v>
      </c>
      <c r="AK124" s="1586">
        <v>500000</v>
      </c>
      <c r="AL124" s="1613">
        <f>(AF124/AF7)</f>
        <v>1.0606451972085592E-2</v>
      </c>
      <c r="AM124" s="1614">
        <f>500000/1000</f>
        <v>500</v>
      </c>
      <c r="AN124" s="1615">
        <f t="shared" si="114"/>
        <v>1525000</v>
      </c>
      <c r="AO124" s="1586">
        <v>700000</v>
      </c>
      <c r="AP124" s="1738">
        <f t="shared" si="115"/>
        <v>825000</v>
      </c>
      <c r="AQ124" s="1645">
        <v>100000</v>
      </c>
      <c r="AR124" s="1586">
        <v>50000</v>
      </c>
      <c r="AS124" s="1586">
        <v>500000</v>
      </c>
      <c r="AT124" s="1586">
        <v>175000</v>
      </c>
      <c r="AU124" s="1616">
        <f t="shared" si="116"/>
        <v>109291105.73</v>
      </c>
      <c r="AV124" s="1617">
        <f t="shared" si="117"/>
        <v>8.0898204179321505E-5</v>
      </c>
      <c r="AW124" s="1627">
        <f>250000/1000</f>
        <v>250</v>
      </c>
      <c r="AX124" s="1619">
        <f t="shared" si="118"/>
        <v>4.7087345685934367E-6</v>
      </c>
    </row>
    <row r="125" spans="1:50" ht="15.75" customHeight="1" x14ac:dyDescent="0.25">
      <c r="A125" s="1520" t="s">
        <v>190</v>
      </c>
      <c r="B125" s="2009" t="s">
        <v>191</v>
      </c>
      <c r="C125" s="2004"/>
      <c r="D125" s="1608">
        <f t="shared" si="109"/>
        <v>2596535.8600000003</v>
      </c>
      <c r="E125" s="1552">
        <f t="shared" si="110"/>
        <v>2596535.8600000003</v>
      </c>
      <c r="F125" s="1447">
        <f t="shared" si="111"/>
        <v>10450</v>
      </c>
      <c r="G125" s="1608">
        <f>SUM(H125:W125)</f>
        <v>1852785.86</v>
      </c>
      <c r="H125" s="1103"/>
      <c r="I125" s="1103"/>
      <c r="J125" s="1103">
        <v>500000</v>
      </c>
      <c r="K125" s="1103"/>
      <c r="L125" s="78"/>
      <c r="M125" s="1586">
        <v>540800</v>
      </c>
      <c r="N125" s="1103"/>
      <c r="O125" s="1103"/>
      <c r="P125" s="78"/>
      <c r="Q125" s="1103"/>
      <c r="R125" s="1586">
        <v>25000</v>
      </c>
      <c r="S125" s="1586">
        <v>116985.86</v>
      </c>
      <c r="T125" s="1586"/>
      <c r="U125" s="1586">
        <v>520000</v>
      </c>
      <c r="V125" s="1586">
        <v>50000</v>
      </c>
      <c r="W125" s="1586">
        <v>100000</v>
      </c>
      <c r="X125" s="1588">
        <f>5000000/1000</f>
        <v>5000</v>
      </c>
      <c r="Y125" s="1561">
        <f t="shared" si="112"/>
        <v>100000</v>
      </c>
      <c r="Z125" s="1561">
        <v>100000</v>
      </c>
      <c r="AA125" s="1561">
        <v>0</v>
      </c>
      <c r="AB125" s="1561">
        <v>0</v>
      </c>
      <c r="AC125" s="1561">
        <v>0</v>
      </c>
      <c r="AD125" s="1561">
        <v>0</v>
      </c>
      <c r="AE125" s="1609">
        <f t="shared" si="119"/>
        <v>1.1672983693618499E-3</v>
      </c>
      <c r="AF125" s="1561">
        <f>4000000/1000</f>
        <v>4000</v>
      </c>
      <c r="AG125" s="1576">
        <f t="shared" si="113"/>
        <v>400000</v>
      </c>
      <c r="AH125" s="1746">
        <v>100000</v>
      </c>
      <c r="AI125" s="1747">
        <v>75000</v>
      </c>
      <c r="AJ125" s="1747">
        <v>125000</v>
      </c>
      <c r="AK125" s="1747">
        <v>100000</v>
      </c>
      <c r="AL125" s="1613">
        <f>(AF125/AF7)</f>
        <v>2.651612993021398E-3</v>
      </c>
      <c r="AM125" s="1614">
        <f>450000/1000</f>
        <v>450</v>
      </c>
      <c r="AN125" s="1615">
        <f t="shared" si="114"/>
        <v>243750</v>
      </c>
      <c r="AO125" s="1747">
        <v>120000</v>
      </c>
      <c r="AP125" s="1738">
        <f t="shared" si="115"/>
        <v>123750</v>
      </c>
      <c r="AQ125" s="1746">
        <v>15000</v>
      </c>
      <c r="AR125" s="1747">
        <v>7500</v>
      </c>
      <c r="AS125" s="1747">
        <v>75000</v>
      </c>
      <c r="AT125" s="1747">
        <v>26250</v>
      </c>
      <c r="AU125" s="1616">
        <f t="shared" si="116"/>
        <v>2596535.8600000003</v>
      </c>
      <c r="AV125" s="1617">
        <f t="shared" si="117"/>
        <v>7.2808383761389364E-5</v>
      </c>
      <c r="AW125" s="1627">
        <f>1000000/1000</f>
        <v>1000</v>
      </c>
      <c r="AX125" s="1619">
        <f t="shared" si="118"/>
        <v>1.8834938274373747E-5</v>
      </c>
    </row>
    <row r="126" spans="1:50" ht="15.75" customHeight="1" x14ac:dyDescent="0.25">
      <c r="A126" s="1654"/>
      <c r="B126" s="1748"/>
      <c r="C126" s="1749"/>
      <c r="D126" s="1608"/>
      <c r="E126" s="1552"/>
      <c r="F126" s="1447"/>
      <c r="G126" s="1608"/>
      <c r="H126" s="1653"/>
      <c r="I126" s="1653"/>
      <c r="J126" s="1653"/>
      <c r="K126" s="1653"/>
      <c r="L126" s="78"/>
      <c r="M126" s="1586"/>
      <c r="N126" s="1653"/>
      <c r="O126" s="1653"/>
      <c r="P126" s="78"/>
      <c r="Q126" s="1653"/>
      <c r="R126" s="1586"/>
      <c r="S126" s="1586"/>
      <c r="T126" s="1586"/>
      <c r="U126" s="1586"/>
      <c r="V126" s="1586"/>
      <c r="W126" s="1586"/>
      <c r="X126" s="1588"/>
      <c r="Y126" s="1580"/>
      <c r="Z126" s="1580"/>
      <c r="AA126" s="1580"/>
      <c r="AB126" s="1580"/>
      <c r="AC126" s="1580"/>
      <c r="AD126" s="1580"/>
      <c r="AE126" s="1575"/>
      <c r="AF126" s="1561"/>
      <c r="AG126" s="1576"/>
      <c r="AH126" s="1746"/>
      <c r="AI126" s="1747"/>
      <c r="AJ126" s="1747"/>
      <c r="AK126" s="1747"/>
      <c r="AL126" s="1613"/>
      <c r="AM126" s="1614"/>
      <c r="AN126" s="1562"/>
      <c r="AO126" s="1747"/>
      <c r="AP126" s="1750"/>
      <c r="AQ126" s="1746"/>
      <c r="AR126" s="1747"/>
      <c r="AS126" s="1747"/>
      <c r="AT126" s="1747"/>
      <c r="AU126" s="1463"/>
      <c r="AV126" s="1603"/>
      <c r="AW126" s="1627"/>
      <c r="AX126" s="1592"/>
    </row>
    <row r="127" spans="1:50" ht="15.75" customHeight="1" x14ac:dyDescent="0.25">
      <c r="A127" s="1517" t="s">
        <v>192</v>
      </c>
      <c r="B127" s="2013" t="s">
        <v>193</v>
      </c>
      <c r="C127" s="2002"/>
      <c r="D127" s="1573">
        <f>SUM(D128:D129)</f>
        <v>56595000</v>
      </c>
      <c r="E127" s="1572">
        <f>SUM(G127+Y127+AG127+AN127)</f>
        <v>56595000</v>
      </c>
      <c r="F127" s="1495">
        <f>+X127+AF127+AM127+AW127</f>
        <v>7430</v>
      </c>
      <c r="G127" s="1573">
        <f>SUM(G128:G129)</f>
        <v>56030000</v>
      </c>
      <c r="H127" s="1653"/>
      <c r="I127" s="1653"/>
      <c r="J127" s="1653"/>
      <c r="K127" s="1653"/>
      <c r="L127" s="78"/>
      <c r="M127" s="1657">
        <f>+M128+M129</f>
        <v>0</v>
      </c>
      <c r="N127" s="1653"/>
      <c r="O127" s="1653"/>
      <c r="P127" s="78"/>
      <c r="Q127" s="1653"/>
      <c r="R127" s="1657">
        <f t="shared" ref="R127:AD127" si="120">+R128+R129</f>
        <v>0</v>
      </c>
      <c r="S127" s="1657">
        <f t="shared" si="120"/>
        <v>56000000</v>
      </c>
      <c r="T127" s="1657">
        <f t="shared" si="120"/>
        <v>0</v>
      </c>
      <c r="U127" s="1657">
        <f t="shared" si="120"/>
        <v>0</v>
      </c>
      <c r="V127" s="1657">
        <f t="shared" si="120"/>
        <v>30000</v>
      </c>
      <c r="W127" s="1657">
        <f t="shared" si="120"/>
        <v>0</v>
      </c>
      <c r="X127" s="1628">
        <f t="shared" si="120"/>
        <v>7380</v>
      </c>
      <c r="Y127" s="1657">
        <f t="shared" si="120"/>
        <v>100000</v>
      </c>
      <c r="Z127" s="1657">
        <f t="shared" si="120"/>
        <v>100000</v>
      </c>
      <c r="AA127" s="1657">
        <f t="shared" si="120"/>
        <v>0</v>
      </c>
      <c r="AB127" s="1657">
        <f t="shared" si="120"/>
        <v>0</v>
      </c>
      <c r="AC127" s="1657">
        <f t="shared" si="120"/>
        <v>0</v>
      </c>
      <c r="AD127" s="1657">
        <f t="shared" si="120"/>
        <v>0</v>
      </c>
      <c r="AE127" s="1575">
        <f>X127/$X$7</f>
        <v>1.7229323931780905E-3</v>
      </c>
      <c r="AF127" s="1557">
        <v>0</v>
      </c>
      <c r="AG127" s="1576">
        <f>SUM(AG128:AG129)</f>
        <v>465000</v>
      </c>
      <c r="AH127" s="1751">
        <f>SUM(AH128:AH129)</f>
        <v>65000</v>
      </c>
      <c r="AI127" s="1752">
        <f>SUM(AI128:AI129)</f>
        <v>0</v>
      </c>
      <c r="AJ127" s="1752">
        <f>SUM(AJ128:AJ129)</f>
        <v>0</v>
      </c>
      <c r="AK127" s="1752">
        <f>SUM(AK128:AK129)</f>
        <v>400000</v>
      </c>
      <c r="AL127" s="1577">
        <f>(AF127/AF7)</f>
        <v>0</v>
      </c>
      <c r="AM127" s="1598">
        <f>+AM128+AM129</f>
        <v>50</v>
      </c>
      <c r="AN127" s="1599">
        <f t="shared" ref="AN127:AU127" si="121">SUM(AN128:AN129)</f>
        <v>0</v>
      </c>
      <c r="AO127" s="1240">
        <f t="shared" si="121"/>
        <v>0</v>
      </c>
      <c r="AP127" s="1604">
        <f t="shared" si="121"/>
        <v>0</v>
      </c>
      <c r="AQ127" s="1753">
        <f t="shared" si="121"/>
        <v>0</v>
      </c>
      <c r="AR127" s="1240">
        <f t="shared" si="121"/>
        <v>0</v>
      </c>
      <c r="AS127" s="1240">
        <f t="shared" si="121"/>
        <v>0</v>
      </c>
      <c r="AT127" s="1240">
        <f t="shared" si="121"/>
        <v>0</v>
      </c>
      <c r="AU127" s="1602">
        <f t="shared" si="121"/>
        <v>56595000</v>
      </c>
      <c r="AV127" s="1603">
        <f>AM127/$AM$7</f>
        <v>8.0898204179321512E-6</v>
      </c>
      <c r="AW127" s="1627">
        <f>AN127/1000</f>
        <v>0</v>
      </c>
      <c r="AX127" s="1592">
        <f>AW127/$AW$7</f>
        <v>0</v>
      </c>
    </row>
    <row r="128" spans="1:50" ht="21.75" customHeight="1" x14ac:dyDescent="0.25">
      <c r="A128" s="1520" t="s">
        <v>194</v>
      </c>
      <c r="B128" s="2009" t="s">
        <v>195</v>
      </c>
      <c r="C128" s="2019"/>
      <c r="D128" s="1608">
        <f>+G128+Y128+AG128+AN128</f>
        <v>50000000</v>
      </c>
      <c r="E128" s="1552">
        <f>SUM(G128+Y128+AG128+AN128)</f>
        <v>50000000</v>
      </c>
      <c r="F128" s="1447">
        <f>+X128+AF128+AM128+AW128</f>
        <v>7380</v>
      </c>
      <c r="G128" s="1608">
        <f>SUM(H128:W128)</f>
        <v>50000000</v>
      </c>
      <c r="H128" s="1653"/>
      <c r="I128" s="1653"/>
      <c r="J128" s="1653"/>
      <c r="K128" s="1653"/>
      <c r="L128" s="78"/>
      <c r="M128" s="1586">
        <v>0</v>
      </c>
      <c r="N128" s="1653"/>
      <c r="O128" s="1653"/>
      <c r="P128" s="78"/>
      <c r="Q128" s="1653"/>
      <c r="R128" s="1586"/>
      <c r="S128" s="1586">
        <v>50000000</v>
      </c>
      <c r="T128" s="1586"/>
      <c r="U128" s="1586"/>
      <c r="V128" s="1586"/>
      <c r="W128" s="1586"/>
      <c r="X128" s="1588">
        <f>7380000/1000</f>
        <v>7380</v>
      </c>
      <c r="Y128" s="1561">
        <f>SUM(Z128:AD128)</f>
        <v>0</v>
      </c>
      <c r="Z128" s="1586">
        <v>0</v>
      </c>
      <c r="AA128" s="1586">
        <v>0</v>
      </c>
      <c r="AB128" s="1586">
        <v>0</v>
      </c>
      <c r="AC128" s="1586">
        <v>0</v>
      </c>
      <c r="AD128" s="1586">
        <v>0</v>
      </c>
      <c r="AE128" s="1609">
        <f>X128/$X$7</f>
        <v>1.7229323931780905E-3</v>
      </c>
      <c r="AF128" s="1561">
        <f>Y128/1000</f>
        <v>0</v>
      </c>
      <c r="AG128" s="1576">
        <f>SUM(AH128:AK128)</f>
        <v>0</v>
      </c>
      <c r="AH128" s="1692">
        <v>0</v>
      </c>
      <c r="AI128" s="1637">
        <v>0</v>
      </c>
      <c r="AJ128" s="1240">
        <v>0</v>
      </c>
      <c r="AK128" s="1240">
        <v>0</v>
      </c>
      <c r="AL128" s="1613">
        <f>(AF128/AF7)</f>
        <v>0</v>
      </c>
      <c r="AM128" s="1614">
        <v>0</v>
      </c>
      <c r="AN128" s="1615">
        <f>SUM(AO128+AP128)</f>
        <v>0</v>
      </c>
      <c r="AO128" s="1240">
        <v>0</v>
      </c>
      <c r="AP128" s="1738">
        <f>SUM(AQ128:AT128)</f>
        <v>0</v>
      </c>
      <c r="AQ128" s="1753">
        <v>0</v>
      </c>
      <c r="AR128" s="1240">
        <v>0</v>
      </c>
      <c r="AS128" s="1240">
        <v>0</v>
      </c>
      <c r="AT128" s="1240">
        <v>0</v>
      </c>
      <c r="AU128" s="1616">
        <f>SUM(AN128+AG128+Y128+G128)</f>
        <v>50000000</v>
      </c>
      <c r="AV128" s="1617">
        <f>AM128/$AM$7</f>
        <v>0</v>
      </c>
      <c r="AW128" s="1627">
        <f>AN128/1000</f>
        <v>0</v>
      </c>
      <c r="AX128" s="1619">
        <f>AW128/$AW$7</f>
        <v>0</v>
      </c>
    </row>
    <row r="129" spans="1:50" ht="15.75" customHeight="1" x14ac:dyDescent="0.25">
      <c r="A129" s="1520" t="s">
        <v>196</v>
      </c>
      <c r="B129" s="2009" t="s">
        <v>197</v>
      </c>
      <c r="C129" s="2019"/>
      <c r="D129" s="1608">
        <f>+G129+Y129+AG129+AN129</f>
        <v>6595000</v>
      </c>
      <c r="E129" s="1552">
        <f>SUM(G129+Y129+AG129+AN129)</f>
        <v>6595000</v>
      </c>
      <c r="F129" s="1447">
        <f>+X129+AF129+AM129+AW129</f>
        <v>50</v>
      </c>
      <c r="G129" s="1608">
        <f>SUM(H129:W129)</f>
        <v>6030000</v>
      </c>
      <c r="H129" s="1653"/>
      <c r="I129" s="1653"/>
      <c r="J129" s="1653"/>
      <c r="K129" s="1653"/>
      <c r="L129" s="78"/>
      <c r="M129" s="1586">
        <v>0</v>
      </c>
      <c r="N129" s="1653"/>
      <c r="O129" s="1653"/>
      <c r="P129" s="78"/>
      <c r="Q129" s="1653"/>
      <c r="R129" s="1586"/>
      <c r="S129" s="1586">
        <v>6000000</v>
      </c>
      <c r="T129" s="1586"/>
      <c r="U129" s="1586"/>
      <c r="V129" s="1586">
        <v>30000</v>
      </c>
      <c r="W129" s="1586"/>
      <c r="X129" s="1588">
        <v>0</v>
      </c>
      <c r="Y129" s="1561">
        <f>SUM(Z129:AD129)</f>
        <v>100000</v>
      </c>
      <c r="Z129" s="1586">
        <v>100000</v>
      </c>
      <c r="AA129" s="1586">
        <v>0</v>
      </c>
      <c r="AB129" s="1586">
        <v>0</v>
      </c>
      <c r="AC129" s="1586">
        <v>0</v>
      </c>
      <c r="AD129" s="1586">
        <v>0</v>
      </c>
      <c r="AE129" s="1609">
        <f>X129/$X$7</f>
        <v>0</v>
      </c>
      <c r="AF129" s="1561">
        <v>0</v>
      </c>
      <c r="AG129" s="1576">
        <f>SUM(AH129:AK129)</f>
        <v>465000</v>
      </c>
      <c r="AH129" s="1692">
        <v>65000</v>
      </c>
      <c r="AI129" s="1637"/>
      <c r="AJ129" s="1240"/>
      <c r="AK129" s="1240">
        <v>400000</v>
      </c>
      <c r="AL129" s="1613">
        <f>(AF129/AF7)</f>
        <v>0</v>
      </c>
      <c r="AM129" s="1614">
        <f>50000/1000</f>
        <v>50</v>
      </c>
      <c r="AN129" s="1615">
        <f>SUM(AO129+AP129)</f>
        <v>0</v>
      </c>
      <c r="AO129" s="1240"/>
      <c r="AP129" s="1738">
        <f>SUM(AQ129:AT129)</f>
        <v>0</v>
      </c>
      <c r="AQ129" s="1753"/>
      <c r="AR129" s="1240"/>
      <c r="AS129" s="1240"/>
      <c r="AT129" s="1240"/>
      <c r="AU129" s="1616">
        <f>SUM(AN129+AG129+Y129+G129)</f>
        <v>6595000</v>
      </c>
      <c r="AV129" s="1617">
        <f>AM129/$AM$7</f>
        <v>8.0898204179321512E-6</v>
      </c>
      <c r="AW129" s="1627">
        <f>AN129/1000</f>
        <v>0</v>
      </c>
      <c r="AX129" s="1619">
        <f>AW129/$AW$7</f>
        <v>0</v>
      </c>
    </row>
    <row r="130" spans="1:50" ht="15.75" customHeight="1" x14ac:dyDescent="0.25">
      <c r="A130" s="1520"/>
      <c r="B130" s="1624"/>
      <c r="C130" s="1754"/>
      <c r="D130" s="1608"/>
      <c r="E130" s="1552"/>
      <c r="F130" s="1447"/>
      <c r="G130" s="1608"/>
      <c r="H130" s="1653"/>
      <c r="I130" s="1653"/>
      <c r="J130" s="1653"/>
      <c r="K130" s="1653"/>
      <c r="L130" s="78"/>
      <c r="M130" s="1586"/>
      <c r="N130" s="1653"/>
      <c r="O130" s="1653"/>
      <c r="P130" s="78"/>
      <c r="Q130" s="1653"/>
      <c r="R130" s="1586"/>
      <c r="S130" s="1586"/>
      <c r="T130" s="1586"/>
      <c r="U130" s="1586"/>
      <c r="V130" s="1586"/>
      <c r="W130" s="1586"/>
      <c r="X130" s="1588"/>
      <c r="Y130" s="1561"/>
      <c r="Z130" s="1586"/>
      <c r="AA130" s="1586"/>
      <c r="AB130" s="1586"/>
      <c r="AC130" s="1586"/>
      <c r="AD130" s="1586"/>
      <c r="AE130" s="1609"/>
      <c r="AF130" s="1561"/>
      <c r="AG130" s="1576"/>
      <c r="AH130" s="1692"/>
      <c r="AI130" s="1637"/>
      <c r="AJ130" s="1240"/>
      <c r="AK130" s="1240"/>
      <c r="AL130" s="1613"/>
      <c r="AM130" s="1614"/>
      <c r="AN130" s="1615"/>
      <c r="AO130" s="1240"/>
      <c r="AP130" s="1738"/>
      <c r="AQ130" s="1753"/>
      <c r="AR130" s="1240"/>
      <c r="AS130" s="1240"/>
      <c r="AT130" s="1240"/>
      <c r="AU130" s="1616"/>
      <c r="AV130" s="1617"/>
      <c r="AW130" s="1627"/>
      <c r="AX130" s="1619"/>
    </row>
    <row r="131" spans="1:50" ht="15.75" customHeight="1" thickBot="1" x14ac:dyDescent="0.3">
      <c r="A131" s="1708"/>
      <c r="B131" s="1755"/>
      <c r="C131" s="1756"/>
      <c r="D131" s="1709"/>
      <c r="E131" s="1710"/>
      <c r="F131" s="1507"/>
      <c r="G131" s="1709">
        <f>SUM(H131:W131)</f>
        <v>0</v>
      </c>
      <c r="H131" s="1757"/>
      <c r="I131" s="1757"/>
      <c r="J131" s="1757"/>
      <c r="K131" s="1757"/>
      <c r="L131" s="1712"/>
      <c r="M131" s="1713"/>
      <c r="N131" s="1757"/>
      <c r="O131" s="1757"/>
      <c r="P131" s="1712"/>
      <c r="Q131" s="1757"/>
      <c r="R131" s="1713"/>
      <c r="S131" s="1713"/>
      <c r="T131" s="1713"/>
      <c r="U131" s="1713"/>
      <c r="V131" s="1713"/>
      <c r="W131" s="1713"/>
      <c r="X131" s="1714"/>
      <c r="Y131" s="1713"/>
      <c r="Z131" s="1713"/>
      <c r="AA131" s="1713"/>
      <c r="AB131" s="1713"/>
      <c r="AC131" s="1713"/>
      <c r="AD131" s="1713"/>
      <c r="AE131" s="1758"/>
      <c r="AF131" s="1715"/>
      <c r="AG131" s="1717" t="s">
        <v>0</v>
      </c>
      <c r="AH131" s="1759" t="s">
        <v>0</v>
      </c>
      <c r="AI131" s="1760" t="s">
        <v>0</v>
      </c>
      <c r="AJ131" s="1760" t="s">
        <v>0</v>
      </c>
      <c r="AK131" s="1760" t="s">
        <v>0</v>
      </c>
      <c r="AL131" s="1720"/>
      <c r="AM131" s="1721"/>
      <c r="AN131" s="1761"/>
      <c r="AO131" s="1762" t="s">
        <v>0</v>
      </c>
      <c r="AP131" s="1763" t="s">
        <v>0</v>
      </c>
      <c r="AQ131" s="1764" t="s">
        <v>0</v>
      </c>
      <c r="AR131" s="1762" t="s">
        <v>0</v>
      </c>
      <c r="AS131" s="1762" t="s">
        <v>0</v>
      </c>
      <c r="AT131" s="1762" t="s">
        <v>0</v>
      </c>
      <c r="AU131" s="1723"/>
      <c r="AV131" s="1765"/>
      <c r="AW131" s="1725"/>
      <c r="AX131" s="1766"/>
    </row>
    <row r="132" spans="1:50" ht="15.75" customHeight="1" x14ac:dyDescent="0.25">
      <c r="A132" s="1517" t="s">
        <v>372</v>
      </c>
      <c r="B132" s="2013" t="s">
        <v>373</v>
      </c>
      <c r="C132" s="2016"/>
      <c r="D132" s="1573">
        <f>SUM(D133:D135)</f>
        <v>9779434.2400000002</v>
      </c>
      <c r="E132" s="1572">
        <f>SUM(E133:E135)</f>
        <v>9779434.2400000002</v>
      </c>
      <c r="F132" s="1495">
        <f>+X132+AF132+AM132+AW132</f>
        <v>1850</v>
      </c>
      <c r="G132" s="1573">
        <f>SUM(G133:G135)</f>
        <v>4779434.24</v>
      </c>
      <c r="H132" s="1653"/>
      <c r="I132" s="1653"/>
      <c r="J132" s="1653"/>
      <c r="K132" s="1653"/>
      <c r="L132" s="78"/>
      <c r="M132" s="1657">
        <f>+M133+M134+M135</f>
        <v>0</v>
      </c>
      <c r="N132" s="1653"/>
      <c r="O132" s="1653"/>
      <c r="P132" s="78"/>
      <c r="Q132" s="1653"/>
      <c r="R132" s="1657">
        <f t="shared" ref="R132:AD132" si="122">+R133+R134+R135</f>
        <v>0</v>
      </c>
      <c r="S132" s="1657">
        <f t="shared" si="122"/>
        <v>4679434.2400000002</v>
      </c>
      <c r="T132" s="1657">
        <f t="shared" si="122"/>
        <v>0</v>
      </c>
      <c r="U132" s="1657">
        <f t="shared" si="122"/>
        <v>0</v>
      </c>
      <c r="V132" s="1657">
        <f t="shared" si="122"/>
        <v>0</v>
      </c>
      <c r="W132" s="1657">
        <f t="shared" si="122"/>
        <v>100000</v>
      </c>
      <c r="X132" s="1628">
        <f t="shared" si="122"/>
        <v>1850</v>
      </c>
      <c r="Y132" s="1657">
        <f t="shared" si="122"/>
        <v>0</v>
      </c>
      <c r="Z132" s="1657">
        <f t="shared" si="122"/>
        <v>0</v>
      </c>
      <c r="AA132" s="1657">
        <f t="shared" si="122"/>
        <v>0</v>
      </c>
      <c r="AB132" s="1657">
        <f t="shared" si="122"/>
        <v>0</v>
      </c>
      <c r="AC132" s="1657">
        <f t="shared" si="122"/>
        <v>0</v>
      </c>
      <c r="AD132" s="1657">
        <f t="shared" si="122"/>
        <v>0</v>
      </c>
      <c r="AE132" s="1575">
        <f>X132/$X$7</f>
        <v>4.319003966638845E-4</v>
      </c>
      <c r="AF132" s="1557">
        <f>Y132/1000</f>
        <v>0</v>
      </c>
      <c r="AG132" s="1576">
        <f>SUM(AG133:AG135)</f>
        <v>5000000</v>
      </c>
      <c r="AH132" s="1684">
        <f>SUM(AH133:AH135)</f>
        <v>0</v>
      </c>
      <c r="AI132" s="1658">
        <f>SUM(AI133:AI135)</f>
        <v>5000000</v>
      </c>
      <c r="AJ132" s="1658">
        <f>SUM(AJ133:AJ135)</f>
        <v>0</v>
      </c>
      <c r="AK132" s="1658">
        <f>SUM(AK133:AK135)</f>
        <v>0</v>
      </c>
      <c r="AL132" s="1577">
        <f>(AF132/AF7)</f>
        <v>0</v>
      </c>
      <c r="AM132" s="1598">
        <f>+AM133+AM134+AM135</f>
        <v>0</v>
      </c>
      <c r="AN132" s="1599">
        <f t="shared" ref="AN132:AU132" si="123">SUM(AN133:AN135)</f>
        <v>0</v>
      </c>
      <c r="AO132" s="1612">
        <f t="shared" si="123"/>
        <v>0</v>
      </c>
      <c r="AP132" s="1659">
        <f t="shared" si="123"/>
        <v>0</v>
      </c>
      <c r="AQ132" s="1611">
        <f t="shared" si="123"/>
        <v>0</v>
      </c>
      <c r="AR132" s="1612">
        <f t="shared" si="123"/>
        <v>0</v>
      </c>
      <c r="AS132" s="1612">
        <f t="shared" si="123"/>
        <v>0</v>
      </c>
      <c r="AT132" s="1612">
        <f t="shared" si="123"/>
        <v>0</v>
      </c>
      <c r="AU132" s="1602">
        <f t="shared" si="123"/>
        <v>9779434.2400000002</v>
      </c>
      <c r="AV132" s="1603">
        <f>AM132/$AM$7</f>
        <v>0</v>
      </c>
      <c r="AW132" s="1627">
        <f>AN132/1000</f>
        <v>0</v>
      </c>
      <c r="AX132" s="1592">
        <f>AW132/$AW$7</f>
        <v>0</v>
      </c>
    </row>
    <row r="133" spans="1:50" ht="15.75" customHeight="1" x14ac:dyDescent="0.25">
      <c r="A133" s="1520" t="s">
        <v>198</v>
      </c>
      <c r="B133" s="2009" t="s">
        <v>199</v>
      </c>
      <c r="C133" s="2019"/>
      <c r="D133" s="1608">
        <f>+G133+Y133+AG133+AN133</f>
        <v>0</v>
      </c>
      <c r="E133" s="1552">
        <f>SUM(G133+Y133+AG133+AN133)</f>
        <v>0</v>
      </c>
      <c r="F133" s="1447">
        <f>+X133+AF133+AM133+AW133</f>
        <v>200</v>
      </c>
      <c r="G133" s="1608">
        <f>SUM(H133:W133)</f>
        <v>0</v>
      </c>
      <c r="H133" s="1653"/>
      <c r="I133" s="1653"/>
      <c r="J133" s="1653"/>
      <c r="K133" s="1653"/>
      <c r="L133" s="78"/>
      <c r="M133" s="1586">
        <v>0</v>
      </c>
      <c r="N133" s="1653"/>
      <c r="O133" s="1653"/>
      <c r="P133" s="78"/>
      <c r="Q133" s="1653"/>
      <c r="R133" s="1586"/>
      <c r="S133" s="1586"/>
      <c r="T133" s="1586"/>
      <c r="U133" s="1586"/>
      <c r="V133" s="1586"/>
      <c r="W133" s="1586"/>
      <c r="X133" s="1588">
        <f>200000/1000</f>
        <v>200</v>
      </c>
      <c r="Y133" s="1561">
        <f>SUM(Z133:AD133)</f>
        <v>0</v>
      </c>
      <c r="Z133" s="1586">
        <v>0</v>
      </c>
      <c r="AA133" s="1586">
        <v>0</v>
      </c>
      <c r="AB133" s="1586">
        <v>0</v>
      </c>
      <c r="AC133" s="1586">
        <v>0</v>
      </c>
      <c r="AD133" s="1586">
        <v>0</v>
      </c>
      <c r="AE133" s="1609">
        <f>X133/$X$7</f>
        <v>4.6691934774473997E-5</v>
      </c>
      <c r="AF133" s="1561">
        <f>Y133/1000</f>
        <v>0</v>
      </c>
      <c r="AG133" s="1576">
        <f>SUM(AH133:AK133)</f>
        <v>0</v>
      </c>
      <c r="AH133" s="1728">
        <v>0</v>
      </c>
      <c r="AI133" s="1729">
        <v>0</v>
      </c>
      <c r="AJ133" s="1729">
        <v>0</v>
      </c>
      <c r="AK133" s="1729">
        <v>0</v>
      </c>
      <c r="AL133" s="1693">
        <f>(AF133/AF7)</f>
        <v>0</v>
      </c>
      <c r="AM133" s="1614">
        <v>0</v>
      </c>
      <c r="AN133" s="1615">
        <f>SUM(AO133+AP133)</f>
        <v>0</v>
      </c>
      <c r="AO133" s="1729">
        <v>0</v>
      </c>
      <c r="AP133" s="1738">
        <f>SUM(AQ133:AT133)</f>
        <v>0</v>
      </c>
      <c r="AQ133" s="1728">
        <v>0</v>
      </c>
      <c r="AR133" s="1729">
        <v>0</v>
      </c>
      <c r="AS133" s="1729">
        <v>0</v>
      </c>
      <c r="AT133" s="1729">
        <v>0</v>
      </c>
      <c r="AU133" s="1616">
        <f>SUM(AN133+AG133+Y133+G133)</f>
        <v>0</v>
      </c>
      <c r="AV133" s="1617">
        <f>AM133/$AM$7</f>
        <v>0</v>
      </c>
      <c r="AW133" s="1627">
        <f>AN133/1000</f>
        <v>0</v>
      </c>
      <c r="AX133" s="1619">
        <f>AW133/$AW$7</f>
        <v>0</v>
      </c>
    </row>
    <row r="134" spans="1:50" ht="15.75" customHeight="1" x14ac:dyDescent="0.25">
      <c r="A134" s="1520" t="s">
        <v>200</v>
      </c>
      <c r="B134" s="2009" t="s">
        <v>201</v>
      </c>
      <c r="C134" s="2019"/>
      <c r="D134" s="1608">
        <f>+G134+Y134+AG134+AN134</f>
        <v>3509575.6800000002</v>
      </c>
      <c r="E134" s="1552">
        <f>SUM(G134+Y134+AG134+AN134)</f>
        <v>3509575.6800000002</v>
      </c>
      <c r="F134" s="1447">
        <f>+X134+AF134+AM134+AW134</f>
        <v>1400</v>
      </c>
      <c r="G134" s="1608">
        <f>SUM(H134:W134)</f>
        <v>3509575.6800000002</v>
      </c>
      <c r="H134" s="1653"/>
      <c r="I134" s="1653"/>
      <c r="J134" s="1653"/>
      <c r="K134" s="1653"/>
      <c r="L134" s="78"/>
      <c r="M134" s="1586">
        <v>0</v>
      </c>
      <c r="N134" s="1653"/>
      <c r="O134" s="1653"/>
      <c r="P134" s="78"/>
      <c r="Q134" s="1653"/>
      <c r="R134" s="1586"/>
      <c r="S134" s="1586">
        <v>3509575.6800000002</v>
      </c>
      <c r="T134" s="1586"/>
      <c r="U134" s="1586"/>
      <c r="V134" s="1586"/>
      <c r="W134" s="1586"/>
      <c r="X134" s="1588">
        <f>1400000/1000</f>
        <v>1400</v>
      </c>
      <c r="Y134" s="1561">
        <f>SUM(Z134:AD134)</f>
        <v>0</v>
      </c>
      <c r="Z134" s="1586">
        <v>0</v>
      </c>
      <c r="AA134" s="1586">
        <v>0</v>
      </c>
      <c r="AB134" s="1586">
        <v>0</v>
      </c>
      <c r="AC134" s="1586">
        <v>0</v>
      </c>
      <c r="AD134" s="1586">
        <v>0</v>
      </c>
      <c r="AE134" s="1609">
        <f>X134/$X$7</f>
        <v>3.2684354342131798E-4</v>
      </c>
      <c r="AF134" s="1561">
        <f>Y134/1000</f>
        <v>0</v>
      </c>
      <c r="AG134" s="1576">
        <f>SUM(AH134:AK134)</f>
        <v>0</v>
      </c>
      <c r="AH134" s="1728">
        <v>0</v>
      </c>
      <c r="AI134" s="1729">
        <v>0</v>
      </c>
      <c r="AJ134" s="1729">
        <v>0</v>
      </c>
      <c r="AK134" s="1729">
        <v>0</v>
      </c>
      <c r="AL134" s="1613">
        <f>(AF134/AF7)</f>
        <v>0</v>
      </c>
      <c r="AM134" s="1614">
        <v>0</v>
      </c>
      <c r="AN134" s="1615">
        <f>SUM(AO134+AP134)</f>
        <v>0</v>
      </c>
      <c r="AO134" s="1729">
        <v>0</v>
      </c>
      <c r="AP134" s="1738">
        <f>SUM(AQ134:AT134)</f>
        <v>0</v>
      </c>
      <c r="AQ134" s="1728">
        <v>0</v>
      </c>
      <c r="AR134" s="1729">
        <v>0</v>
      </c>
      <c r="AS134" s="1729">
        <v>0</v>
      </c>
      <c r="AT134" s="1729">
        <v>0</v>
      </c>
      <c r="AU134" s="1616">
        <f>SUM(AN134+AG134+Y134+G134)</f>
        <v>3509575.6800000002</v>
      </c>
      <c r="AV134" s="1617">
        <f>AM134/$AM$7</f>
        <v>0</v>
      </c>
      <c r="AW134" s="1627">
        <f>AN134/1000</f>
        <v>0</v>
      </c>
      <c r="AX134" s="1619">
        <f>AW134/$AW$7</f>
        <v>0</v>
      </c>
    </row>
    <row r="135" spans="1:50" ht="15.75" customHeight="1" x14ac:dyDescent="0.25">
      <c r="A135" s="1520" t="s">
        <v>202</v>
      </c>
      <c r="B135" s="2009" t="s">
        <v>203</v>
      </c>
      <c r="C135" s="2019"/>
      <c r="D135" s="1608">
        <f>+G135+Y135+AG135+AN135</f>
        <v>6269858.5600000005</v>
      </c>
      <c r="E135" s="1552">
        <f>SUM(G135+Y135+AG135+AN135)</f>
        <v>6269858.5600000005</v>
      </c>
      <c r="F135" s="1447">
        <f>+X135+AF135+AM135+AW135</f>
        <v>250</v>
      </c>
      <c r="G135" s="1608">
        <f>SUM(H135:W135)</f>
        <v>1269858.56</v>
      </c>
      <c r="H135" s="1653"/>
      <c r="I135" s="1653"/>
      <c r="J135" s="1653"/>
      <c r="K135" s="1653"/>
      <c r="L135" s="78"/>
      <c r="M135" s="1586">
        <v>0</v>
      </c>
      <c r="N135" s="1653"/>
      <c r="O135" s="1653"/>
      <c r="P135" s="78"/>
      <c r="Q135" s="1653"/>
      <c r="R135" s="1586"/>
      <c r="S135" s="1586">
        <v>1169858.5600000001</v>
      </c>
      <c r="T135" s="1586"/>
      <c r="U135" s="1586"/>
      <c r="V135" s="1586"/>
      <c r="W135" s="1586">
        <v>100000</v>
      </c>
      <c r="X135" s="1588">
        <f>250000/1000</f>
        <v>250</v>
      </c>
      <c r="Y135" s="1561">
        <f>SUM(Z135:AD135)</f>
        <v>0</v>
      </c>
      <c r="Z135" s="1586">
        <v>0</v>
      </c>
      <c r="AA135" s="1586">
        <v>0</v>
      </c>
      <c r="AB135" s="1586">
        <v>0</v>
      </c>
      <c r="AC135" s="1586">
        <v>0</v>
      </c>
      <c r="AD135" s="1586">
        <v>0</v>
      </c>
      <c r="AE135" s="1609">
        <f>X135/$X$7</f>
        <v>5.8364918468092501E-5</v>
      </c>
      <c r="AF135" s="1561">
        <f>Y135/1000</f>
        <v>0</v>
      </c>
      <c r="AG135" s="1576">
        <f>SUM(AH135:AK135)</f>
        <v>5000000</v>
      </c>
      <c r="AH135" s="1728"/>
      <c r="AI135" s="1729">
        <v>5000000</v>
      </c>
      <c r="AJ135" s="1729">
        <v>0</v>
      </c>
      <c r="AK135" s="1729">
        <v>0</v>
      </c>
      <c r="AL135" s="1613">
        <f>(AF135/AF7)</f>
        <v>0</v>
      </c>
      <c r="AM135" s="1614">
        <v>0</v>
      </c>
      <c r="AN135" s="1615">
        <f>SUM(AO135+AP135)</f>
        <v>0</v>
      </c>
      <c r="AO135" s="1729">
        <v>0</v>
      </c>
      <c r="AP135" s="1738">
        <f>SUM(AQ135:AT135)</f>
        <v>0</v>
      </c>
      <c r="AQ135" s="1728">
        <v>0</v>
      </c>
      <c r="AR135" s="1729">
        <v>0</v>
      </c>
      <c r="AS135" s="1729">
        <v>0</v>
      </c>
      <c r="AT135" s="1729"/>
      <c r="AU135" s="1616">
        <f>SUM(AN135+AG135+Y135+G135)</f>
        <v>6269858.5600000005</v>
      </c>
      <c r="AV135" s="1617">
        <f>AM135/$AM$7</f>
        <v>0</v>
      </c>
      <c r="AW135" s="1627">
        <f>AN135/1000</f>
        <v>0</v>
      </c>
      <c r="AX135" s="1619">
        <f>AW135/$AW$7</f>
        <v>0</v>
      </c>
    </row>
    <row r="136" spans="1:50" ht="15.75" customHeight="1" x14ac:dyDescent="0.25">
      <c r="A136" s="1520"/>
      <c r="B136" s="1624"/>
      <c r="C136" s="1754"/>
      <c r="D136" s="1608"/>
      <c r="E136" s="1552"/>
      <c r="F136" s="1447"/>
      <c r="G136" s="1608"/>
      <c r="H136" s="1653"/>
      <c r="I136" s="1653"/>
      <c r="J136" s="1653"/>
      <c r="K136" s="1653"/>
      <c r="L136" s="78"/>
      <c r="M136" s="1586"/>
      <c r="N136" s="1653"/>
      <c r="O136" s="1653"/>
      <c r="P136" s="78"/>
      <c r="Q136" s="1653"/>
      <c r="R136" s="1586"/>
      <c r="S136" s="1586"/>
      <c r="T136" s="1586"/>
      <c r="U136" s="1586"/>
      <c r="V136" s="1586"/>
      <c r="W136" s="1586"/>
      <c r="X136" s="1588"/>
      <c r="Y136" s="1561"/>
      <c r="Z136" s="1561"/>
      <c r="AA136" s="1561"/>
      <c r="AB136" s="1561"/>
      <c r="AC136" s="1561"/>
      <c r="AD136" s="1561"/>
      <c r="AE136" s="1575"/>
      <c r="AF136" s="1561"/>
      <c r="AG136" s="1576"/>
      <c r="AH136" s="1767"/>
      <c r="AI136" s="1557"/>
      <c r="AJ136" s="1557"/>
      <c r="AK136" s="1557"/>
      <c r="AL136" s="1613"/>
      <c r="AM136" s="1614"/>
      <c r="AN136" s="1599"/>
      <c r="AO136" s="1561"/>
      <c r="AP136" s="1686"/>
      <c r="AQ136" s="1640"/>
      <c r="AR136" s="1561"/>
      <c r="AS136" s="1561"/>
      <c r="AT136" s="1561"/>
      <c r="AU136" s="1616"/>
      <c r="AV136" s="1603"/>
      <c r="AW136" s="1627"/>
      <c r="AX136" s="1592"/>
    </row>
    <row r="137" spans="1:50" ht="15.75" hidden="1" customHeight="1" x14ac:dyDescent="0.25">
      <c r="A137" s="1520"/>
      <c r="B137" s="1624"/>
      <c r="C137" s="1754"/>
      <c r="D137" s="1608"/>
      <c r="E137" s="1552"/>
      <c r="F137" s="1447"/>
      <c r="G137" s="1608"/>
      <c r="H137" s="1653"/>
      <c r="I137" s="1653"/>
      <c r="J137" s="1653"/>
      <c r="K137" s="1653"/>
      <c r="L137" s="78"/>
      <c r="M137" s="1586"/>
      <c r="N137" s="1653"/>
      <c r="O137" s="1653"/>
      <c r="P137" s="78"/>
      <c r="Q137" s="1653"/>
      <c r="R137" s="1586"/>
      <c r="S137" s="1586"/>
      <c r="T137" s="1586"/>
      <c r="U137" s="1586"/>
      <c r="V137" s="1586"/>
      <c r="W137" s="1586"/>
      <c r="X137" s="1588"/>
      <c r="Y137" s="1561"/>
      <c r="Z137" s="1561"/>
      <c r="AA137" s="1561"/>
      <c r="AB137" s="1561"/>
      <c r="AC137" s="1561"/>
      <c r="AD137" s="1561"/>
      <c r="AE137" s="1575"/>
      <c r="AF137" s="1561"/>
      <c r="AG137" s="1576"/>
      <c r="AH137" s="1767"/>
      <c r="AI137" s="1557"/>
      <c r="AJ137" s="1557"/>
      <c r="AK137" s="1557"/>
      <c r="AL137" s="1613"/>
      <c r="AM137" s="1614"/>
      <c r="AN137" s="1599"/>
      <c r="AO137" s="1561"/>
      <c r="AP137" s="1686"/>
      <c r="AQ137" s="1640"/>
      <c r="AR137" s="1561"/>
      <c r="AS137" s="1561"/>
      <c r="AT137" s="1561"/>
      <c r="AU137" s="1616"/>
      <c r="AV137" s="1603"/>
      <c r="AW137" s="1627"/>
      <c r="AX137" s="1592"/>
    </row>
    <row r="138" spans="1:50" ht="15.75" customHeight="1" x14ac:dyDescent="0.25">
      <c r="A138" s="1768">
        <v>2</v>
      </c>
      <c r="B138" s="2010" t="s">
        <v>204</v>
      </c>
      <c r="C138" s="2011"/>
      <c r="D138" s="1574">
        <f>+D140+D146+D149+D158+D162</f>
        <v>191101270.44</v>
      </c>
      <c r="E138" s="1572">
        <f>SUM(E140+E146+E149+E158+E162)</f>
        <v>191101270.44</v>
      </c>
      <c r="F138" s="1495">
        <f>+X138+AF138+AM138+AW138</f>
        <v>132369.29999999999</v>
      </c>
      <c r="G138" s="1574">
        <f t="shared" ref="G138:W138" si="124">G140+G149+G158+G162+G146</f>
        <v>143836230.44</v>
      </c>
      <c r="H138" s="1574">
        <f t="shared" si="124"/>
        <v>2723200</v>
      </c>
      <c r="I138" s="1574">
        <f t="shared" si="124"/>
        <v>600000</v>
      </c>
      <c r="J138" s="1574">
        <f t="shared" si="124"/>
        <v>4180000</v>
      </c>
      <c r="K138" s="1574">
        <f t="shared" si="124"/>
        <v>6900000</v>
      </c>
      <c r="L138" s="1574">
        <f t="shared" si="124"/>
        <v>20500000</v>
      </c>
      <c r="M138" s="1574">
        <f t="shared" si="124"/>
        <v>15454778.979999999</v>
      </c>
      <c r="N138" s="1574">
        <f t="shared" si="124"/>
        <v>2000000</v>
      </c>
      <c r="O138" s="1574">
        <f t="shared" si="124"/>
        <v>385000</v>
      </c>
      <c r="P138" s="1574">
        <f t="shared" si="124"/>
        <v>3800000</v>
      </c>
      <c r="Q138" s="1574">
        <f t="shared" si="124"/>
        <v>1150000</v>
      </c>
      <c r="R138" s="1574">
        <f t="shared" si="124"/>
        <v>3270000</v>
      </c>
      <c r="S138" s="1574">
        <f t="shared" si="124"/>
        <v>56653251.460000001</v>
      </c>
      <c r="T138" s="1574">
        <f t="shared" si="124"/>
        <v>3960000</v>
      </c>
      <c r="U138" s="1574">
        <f t="shared" si="124"/>
        <v>5928000</v>
      </c>
      <c r="V138" s="1574">
        <f t="shared" si="124"/>
        <v>10497000</v>
      </c>
      <c r="W138" s="1574">
        <f t="shared" si="124"/>
        <v>5835000</v>
      </c>
      <c r="X138" s="1628">
        <f>+X140+X146+X149+X158+X162</f>
        <v>75232.896000000008</v>
      </c>
      <c r="Y138" s="1574">
        <f t="shared" ref="Y138:AD138" si="125">Y140+Y149+Y158+Y162+Y146</f>
        <v>10630000</v>
      </c>
      <c r="Z138" s="1574">
        <f t="shared" si="125"/>
        <v>2550000</v>
      </c>
      <c r="AA138" s="1574">
        <f t="shared" si="125"/>
        <v>1295000</v>
      </c>
      <c r="AB138" s="1574">
        <f t="shared" si="125"/>
        <v>1195000</v>
      </c>
      <c r="AC138" s="1574">
        <f t="shared" si="125"/>
        <v>2795000</v>
      </c>
      <c r="AD138" s="1574">
        <f t="shared" si="125"/>
        <v>2795000</v>
      </c>
      <c r="AE138" s="1575">
        <f>X138/$X$7</f>
        <v>1.7563847364633931E-2</v>
      </c>
      <c r="AF138" s="1557">
        <f>+AF140+AF146+AF149+AF158+AF162</f>
        <v>32652.612999999998</v>
      </c>
      <c r="AG138" s="1576">
        <f>SUM(AG140+AG146+AG149+AG158+AG162)</f>
        <v>10845000</v>
      </c>
      <c r="AH138" s="1689">
        <f>AH140+AH146+AH149+AH158+AH162</f>
        <v>2175000</v>
      </c>
      <c r="AI138" s="1597">
        <f>AI140+AI146+AI149+AI158+AI162</f>
        <v>4310000</v>
      </c>
      <c r="AJ138" s="1597">
        <f>AJ140+AJ146+AJ149+AJ158+AJ162</f>
        <v>660000</v>
      </c>
      <c r="AK138" s="1597">
        <f>AK140+AK146+AK149+AK158+AK162</f>
        <v>3700000</v>
      </c>
      <c r="AL138" s="1577">
        <f>(AF138/AF7)</f>
        <v>2.164552322172485E-2</v>
      </c>
      <c r="AM138" s="1769">
        <f>+AM140+AM146+AM149+AM158+AM162</f>
        <v>5178.7910000000002</v>
      </c>
      <c r="AN138" s="1599">
        <f t="shared" ref="AN138:AU138" si="126">AN140+AN146+AN149+AN158+AN162</f>
        <v>25790040</v>
      </c>
      <c r="AO138" s="1600">
        <f t="shared" si="126"/>
        <v>18790040</v>
      </c>
      <c r="AP138" s="1599">
        <f t="shared" si="126"/>
        <v>7000000</v>
      </c>
      <c r="AQ138" s="1601">
        <f t="shared" si="126"/>
        <v>5112500</v>
      </c>
      <c r="AR138" s="1600">
        <f t="shared" si="126"/>
        <v>277500</v>
      </c>
      <c r="AS138" s="1600">
        <f t="shared" si="126"/>
        <v>555000</v>
      </c>
      <c r="AT138" s="1600">
        <f t="shared" si="126"/>
        <v>1055000</v>
      </c>
      <c r="AU138" s="1602">
        <f t="shared" si="126"/>
        <v>191101270.44</v>
      </c>
      <c r="AV138" s="1603">
        <f>AM138/$AM$7</f>
        <v>8.3790978344006528E-4</v>
      </c>
      <c r="AW138" s="1631">
        <f>+AW140+AW146+AW149+AW158+AW162</f>
        <v>19305</v>
      </c>
      <c r="AX138" s="1592">
        <f>AW138/$AW$7</f>
        <v>3.6360848338678515E-4</v>
      </c>
    </row>
    <row r="139" spans="1:50" ht="15.75" customHeight="1" x14ac:dyDescent="0.25">
      <c r="A139" s="1654"/>
      <c r="B139" s="1748"/>
      <c r="C139" s="1749"/>
      <c r="D139" s="1608"/>
      <c r="E139" s="1552"/>
      <c r="F139" s="1447"/>
      <c r="G139" s="1608"/>
      <c r="H139" s="1653"/>
      <c r="I139" s="1653"/>
      <c r="J139" s="1653"/>
      <c r="K139" s="1653"/>
      <c r="L139" s="78"/>
      <c r="M139" s="1586"/>
      <c r="N139" s="1653"/>
      <c r="O139" s="1653"/>
      <c r="P139" s="78"/>
      <c r="Q139" s="1653"/>
      <c r="R139" s="1586"/>
      <c r="S139" s="1586"/>
      <c r="T139" s="1586"/>
      <c r="U139" s="1586"/>
      <c r="V139" s="1586"/>
      <c r="W139" s="1586"/>
      <c r="X139" s="1588"/>
      <c r="Y139" s="1557"/>
      <c r="Z139" s="1557"/>
      <c r="AA139" s="1557"/>
      <c r="AB139" s="1557"/>
      <c r="AC139" s="1557"/>
      <c r="AD139" s="1557"/>
      <c r="AE139" s="1575"/>
      <c r="AF139" s="1561"/>
      <c r="AG139" s="1576"/>
      <c r="AH139" s="1640"/>
      <c r="AI139" s="1561"/>
      <c r="AJ139" s="1561"/>
      <c r="AK139" s="1561"/>
      <c r="AL139" s="1613"/>
      <c r="AM139" s="1614"/>
      <c r="AN139" s="1599"/>
      <c r="AO139" s="1561"/>
      <c r="AP139" s="1686"/>
      <c r="AQ139" s="1640"/>
      <c r="AR139" s="1561"/>
      <c r="AS139" s="1561"/>
      <c r="AT139" s="1561"/>
      <c r="AU139" s="1616"/>
      <c r="AV139" s="1603"/>
      <c r="AW139" s="1627"/>
      <c r="AX139" s="1592"/>
    </row>
    <row r="140" spans="1:50" ht="15.75" customHeight="1" x14ac:dyDescent="0.25">
      <c r="A140" s="1770" t="s">
        <v>205</v>
      </c>
      <c r="B140" s="2010" t="s">
        <v>206</v>
      </c>
      <c r="C140" s="2011"/>
      <c r="D140" s="1573">
        <f>SUM(D141:D144)</f>
        <v>49930731.100000001</v>
      </c>
      <c r="E140" s="1572">
        <f>SUM(G140+Y140+AG140+AN140)</f>
        <v>49930731.100000001</v>
      </c>
      <c r="F140" s="1495">
        <f>+X140+AF140+AM140+AW140</f>
        <v>42540.466</v>
      </c>
      <c r="G140" s="1573">
        <f>SUM(H140:W140)</f>
        <v>34930731.100000001</v>
      </c>
      <c r="H140" s="1647">
        <f t="shared" ref="H140:W140" si="127">SUM(H141:H144)</f>
        <v>315000</v>
      </c>
      <c r="I140" s="1647">
        <f t="shared" si="127"/>
        <v>150000</v>
      </c>
      <c r="J140" s="1647">
        <f t="shared" si="127"/>
        <v>830000</v>
      </c>
      <c r="K140" s="1647">
        <f t="shared" si="127"/>
        <v>2000000</v>
      </c>
      <c r="L140" s="1647">
        <f t="shared" si="127"/>
        <v>3000000</v>
      </c>
      <c r="M140" s="1647">
        <f t="shared" si="127"/>
        <v>3082560</v>
      </c>
      <c r="N140" s="1647">
        <f t="shared" si="127"/>
        <v>500000</v>
      </c>
      <c r="O140" s="1647">
        <f t="shared" si="127"/>
        <v>200000</v>
      </c>
      <c r="P140" s="1647">
        <f t="shared" si="127"/>
        <v>1300000</v>
      </c>
      <c r="Q140" s="1647">
        <f t="shared" si="127"/>
        <v>250000</v>
      </c>
      <c r="R140" s="1647">
        <f t="shared" si="127"/>
        <v>1000000</v>
      </c>
      <c r="S140" s="1647">
        <f t="shared" si="127"/>
        <v>17881171.100000001</v>
      </c>
      <c r="T140" s="1647">
        <f t="shared" si="127"/>
        <v>1300000</v>
      </c>
      <c r="U140" s="1647">
        <f t="shared" si="127"/>
        <v>1560000</v>
      </c>
      <c r="V140" s="1647">
        <f t="shared" si="127"/>
        <v>1212000</v>
      </c>
      <c r="W140" s="1647">
        <f t="shared" si="127"/>
        <v>350000</v>
      </c>
      <c r="X140" s="1628">
        <f>+X141+X142+X143+X144</f>
        <v>19029.813000000002</v>
      </c>
      <c r="Y140" s="1639">
        <f t="shared" ref="Y140:AD140" si="128">SUM(Y141:Y144)</f>
        <v>4600000</v>
      </c>
      <c r="Z140" s="1639">
        <f t="shared" si="128"/>
        <v>600000</v>
      </c>
      <c r="AA140" s="1639">
        <f t="shared" si="128"/>
        <v>200000</v>
      </c>
      <c r="AB140" s="1639">
        <f t="shared" si="128"/>
        <v>200000</v>
      </c>
      <c r="AC140" s="1639">
        <f t="shared" si="128"/>
        <v>1800000</v>
      </c>
      <c r="AD140" s="1639">
        <f t="shared" si="128"/>
        <v>1800000</v>
      </c>
      <c r="AE140" s="1575">
        <f>X140/$X$7</f>
        <v>4.4426939368321875E-3</v>
      </c>
      <c r="AF140" s="1557">
        <f>+AF141+AF142+AF143+AF144</f>
        <v>13587.638999999999</v>
      </c>
      <c r="AG140" s="1576">
        <f>SUM(AG141:AG144)</f>
        <v>3350000</v>
      </c>
      <c r="AH140" s="1689">
        <f>SUM(AH141:AH144)</f>
        <v>750000</v>
      </c>
      <c r="AI140" s="1597">
        <f>SUM(AI141:AI144)</f>
        <v>1050000</v>
      </c>
      <c r="AJ140" s="1597">
        <f>SUM(AJ141:AJ144)</f>
        <v>250000</v>
      </c>
      <c r="AK140" s="1597">
        <f>SUM(AK141:AK144)</f>
        <v>1300000</v>
      </c>
      <c r="AL140" s="1577">
        <f>(AF140/AF7)</f>
        <v>9.0072900292210677E-3</v>
      </c>
      <c r="AM140" s="1598">
        <f>+AM141+AM142+AM143+AM144</f>
        <v>3998.0140000000001</v>
      </c>
      <c r="AN140" s="1599">
        <f t="shared" ref="AN140:AU140" si="129">SUM(AN141:AN144)</f>
        <v>7050000</v>
      </c>
      <c r="AO140" s="1600">
        <f t="shared" si="129"/>
        <v>4200000</v>
      </c>
      <c r="AP140" s="1599">
        <f t="shared" si="129"/>
        <v>2850000</v>
      </c>
      <c r="AQ140" s="1601">
        <f t="shared" si="129"/>
        <v>962500</v>
      </c>
      <c r="AR140" s="1600">
        <f t="shared" si="129"/>
        <v>277500</v>
      </c>
      <c r="AS140" s="1600">
        <f t="shared" si="129"/>
        <v>555000</v>
      </c>
      <c r="AT140" s="1600">
        <f t="shared" si="129"/>
        <v>1055000</v>
      </c>
      <c r="AU140" s="1602">
        <f t="shared" si="129"/>
        <v>49930731.100000001</v>
      </c>
      <c r="AV140" s="1603">
        <f>AM140/$AM$7</f>
        <v>6.4686430576757189E-4</v>
      </c>
      <c r="AW140" s="1631">
        <f>+AW141+AW142+AW143+AW144</f>
        <v>5925</v>
      </c>
      <c r="AX140" s="1592">
        <f>AW140/$AW$7</f>
        <v>1.1159700927566445E-4</v>
      </c>
    </row>
    <row r="141" spans="1:50" ht="15.75" customHeight="1" x14ac:dyDescent="0.25">
      <c r="A141" s="1520" t="s">
        <v>207</v>
      </c>
      <c r="B141" s="2009" t="s">
        <v>208</v>
      </c>
      <c r="C141" s="2004"/>
      <c r="D141" s="1608">
        <f>+G141+Y141+AG141+AN141</f>
        <v>14531560.77</v>
      </c>
      <c r="E141" s="1552">
        <f>SUM(G141+Y141+AG141+AN141)</f>
        <v>14531560.77</v>
      </c>
      <c r="F141" s="1447">
        <f>+X141+AF141+AM141+AW141</f>
        <v>6397.5</v>
      </c>
      <c r="G141" s="1608">
        <f>SUM(H141:W141)</f>
        <v>14531560.77</v>
      </c>
      <c r="H141" s="1103"/>
      <c r="I141" s="1103"/>
      <c r="J141" s="1103"/>
      <c r="K141" s="1103"/>
      <c r="L141" s="78"/>
      <c r="M141" s="1586">
        <v>270400</v>
      </c>
      <c r="N141" s="1103"/>
      <c r="O141" s="1103"/>
      <c r="P141" s="78"/>
      <c r="Q141" s="1103"/>
      <c r="R141" s="1586"/>
      <c r="S141" s="1586">
        <v>14261160.77</v>
      </c>
      <c r="T141" s="1586"/>
      <c r="U141" s="1586"/>
      <c r="V141" s="1586"/>
      <c r="W141" s="1586"/>
      <c r="X141" s="1588">
        <f>6397500/1000</f>
        <v>6397.5</v>
      </c>
      <c r="Y141" s="1561">
        <f>SUM(Z141:AD141)</f>
        <v>0</v>
      </c>
      <c r="Z141" s="1561"/>
      <c r="AA141" s="1561"/>
      <c r="AB141" s="1561"/>
      <c r="AC141" s="1561"/>
      <c r="AD141" s="1561"/>
      <c r="AE141" s="1609">
        <f>X141/$X$7</f>
        <v>1.4935582635984871E-3</v>
      </c>
      <c r="AF141" s="1561">
        <f>Y141/1000</f>
        <v>0</v>
      </c>
      <c r="AG141" s="1576">
        <f>SUM(AH141:AK141)</f>
        <v>0</v>
      </c>
      <c r="AH141" s="1638">
        <v>0</v>
      </c>
      <c r="AI141" s="1639">
        <v>0</v>
      </c>
      <c r="AJ141" s="1639">
        <v>0</v>
      </c>
      <c r="AK141" s="1639">
        <v>0</v>
      </c>
      <c r="AL141" s="1613">
        <f>(AF141/AF7)</f>
        <v>0</v>
      </c>
      <c r="AM141" s="1614">
        <f>AG141/1000</f>
        <v>0</v>
      </c>
      <c r="AN141" s="1615">
        <f>SUM(AO141+AP141)</f>
        <v>0</v>
      </c>
      <c r="AO141" s="1637">
        <v>0</v>
      </c>
      <c r="AP141" s="1738">
        <f>SUM(AQ141:AT141)</f>
        <v>0</v>
      </c>
      <c r="AQ141" s="1692">
        <v>0</v>
      </c>
      <c r="AR141" s="1637">
        <v>0</v>
      </c>
      <c r="AS141" s="1637">
        <v>0</v>
      </c>
      <c r="AT141" s="1637">
        <v>0</v>
      </c>
      <c r="AU141" s="1616">
        <f>SUM(AN141+AG141+Y141+G141)</f>
        <v>14531560.77</v>
      </c>
      <c r="AV141" s="1617">
        <f>AM141/$AM$7</f>
        <v>0</v>
      </c>
      <c r="AW141" s="1627">
        <f>AN141/1000</f>
        <v>0</v>
      </c>
      <c r="AX141" s="1619">
        <f>AW141/$AW$7</f>
        <v>0</v>
      </c>
    </row>
    <row r="142" spans="1:50" ht="15.75" customHeight="1" x14ac:dyDescent="0.25">
      <c r="A142" s="1520" t="s">
        <v>209</v>
      </c>
      <c r="B142" s="2009" t="s">
        <v>210</v>
      </c>
      <c r="C142" s="2004"/>
      <c r="D142" s="1608">
        <f>+G142+Y142+AG142+AN142</f>
        <v>3998145.86</v>
      </c>
      <c r="E142" s="1552">
        <f>SUM(G142+Y142+AG142+AN142)</f>
        <v>3998145.86</v>
      </c>
      <c r="F142" s="1447">
        <f>+X142+AF142+AM142+AW142</f>
        <v>318</v>
      </c>
      <c r="G142" s="1608">
        <f>SUM(H142:W142)</f>
        <v>3848145.86</v>
      </c>
      <c r="H142" s="1103">
        <v>15000</v>
      </c>
      <c r="I142" s="1103"/>
      <c r="J142" s="1103"/>
      <c r="K142" s="1103"/>
      <c r="L142" s="78">
        <v>3000000</v>
      </c>
      <c r="M142" s="1586">
        <v>108160</v>
      </c>
      <c r="N142" s="1103"/>
      <c r="O142" s="1103"/>
      <c r="P142" s="78"/>
      <c r="Q142" s="1103"/>
      <c r="R142" s="1586"/>
      <c r="S142" s="1586">
        <v>116985.86</v>
      </c>
      <c r="T142" s="1586">
        <v>300000</v>
      </c>
      <c r="U142" s="1586">
        <v>208000</v>
      </c>
      <c r="V142" s="1586">
        <v>50000</v>
      </c>
      <c r="W142" s="1586">
        <v>50000</v>
      </c>
      <c r="X142" s="1588">
        <f>318000/1000</f>
        <v>318</v>
      </c>
      <c r="Y142" s="1561">
        <f>SUM(Z142:AD142)</f>
        <v>0</v>
      </c>
      <c r="Z142" s="1561"/>
      <c r="AA142" s="1561"/>
      <c r="AB142" s="1561">
        <v>0</v>
      </c>
      <c r="AC142" s="1561">
        <v>0</v>
      </c>
      <c r="AD142" s="1561">
        <v>0</v>
      </c>
      <c r="AE142" s="1609">
        <f>X142/$X$7</f>
        <v>7.4240176291413658E-5</v>
      </c>
      <c r="AF142" s="1561">
        <f>Y142/1000</f>
        <v>0</v>
      </c>
      <c r="AG142" s="1576">
        <f>SUM(AH142:AK142)</f>
        <v>0</v>
      </c>
      <c r="AH142" s="730">
        <v>0</v>
      </c>
      <c r="AI142" s="783">
        <v>0</v>
      </c>
      <c r="AJ142" s="783"/>
      <c r="AK142" s="783"/>
      <c r="AL142" s="1613">
        <f>(AF142/AF7)</f>
        <v>0</v>
      </c>
      <c r="AM142" s="1614">
        <f>AG142/1000</f>
        <v>0</v>
      </c>
      <c r="AN142" s="1615">
        <f>SUM(AO142+AP142)</f>
        <v>150000</v>
      </c>
      <c r="AO142" s="783">
        <v>150000</v>
      </c>
      <c r="AP142" s="1738">
        <f>SUM(AQ142:AT142)</f>
        <v>0</v>
      </c>
      <c r="AQ142" s="730"/>
      <c r="AR142" s="783"/>
      <c r="AS142" s="783"/>
      <c r="AT142" s="783"/>
      <c r="AU142" s="1616">
        <f>SUM(AN142+AG142+Y142+G142)</f>
        <v>3998145.86</v>
      </c>
      <c r="AV142" s="1617">
        <f>AM142/$AM$7</f>
        <v>0</v>
      </c>
      <c r="AW142" s="1627">
        <f>0/1000</f>
        <v>0</v>
      </c>
      <c r="AX142" s="1619">
        <f>AW142/$AW$7</f>
        <v>0</v>
      </c>
    </row>
    <row r="143" spans="1:50" ht="15.75" customHeight="1" x14ac:dyDescent="0.25">
      <c r="A143" s="1520" t="s">
        <v>211</v>
      </c>
      <c r="B143" s="2009" t="s">
        <v>212</v>
      </c>
      <c r="C143" s="2004"/>
      <c r="D143" s="1608">
        <f>+G143+Y143+AG143+AN143</f>
        <v>29210374.710000001</v>
      </c>
      <c r="E143" s="1552">
        <f>SUM(G143+Y143+AG143+AN143)</f>
        <v>29210374.710000001</v>
      </c>
      <c r="F143" s="1447">
        <f>+X143+AF143+AM143+AW143</f>
        <v>35524.966</v>
      </c>
      <c r="G143" s="1608">
        <f>SUM(H143:W143)</f>
        <v>15160374.710000001</v>
      </c>
      <c r="H143" s="1103">
        <v>300000</v>
      </c>
      <c r="I143" s="1103">
        <v>150000</v>
      </c>
      <c r="J143" s="1103">
        <v>800000</v>
      </c>
      <c r="K143" s="1103">
        <v>2000000</v>
      </c>
      <c r="L143" s="78"/>
      <c r="M143" s="1586">
        <v>2704000</v>
      </c>
      <c r="N143" s="1103">
        <f>500000</f>
        <v>500000</v>
      </c>
      <c r="O143" s="1103">
        <v>200000</v>
      </c>
      <c r="P143" s="78">
        <v>1300000</v>
      </c>
      <c r="Q143" s="1103">
        <v>250000</v>
      </c>
      <c r="R143" s="1586">
        <v>1000000</v>
      </c>
      <c r="S143" s="1586">
        <v>2504374.71</v>
      </c>
      <c r="T143" s="1586">
        <v>1000000</v>
      </c>
      <c r="U143" s="1586">
        <v>1040000</v>
      </c>
      <c r="V143" s="1586">
        <v>1162000</v>
      </c>
      <c r="W143" s="1586">
        <v>250000</v>
      </c>
      <c r="X143" s="1588">
        <f>12014313/1000</f>
        <v>12014.313</v>
      </c>
      <c r="Y143" s="1561">
        <f>SUM(Z143:AD143)</f>
        <v>4500000</v>
      </c>
      <c r="Z143" s="1637">
        <v>500000</v>
      </c>
      <c r="AA143" s="1637">
        <v>200000</v>
      </c>
      <c r="AB143" s="1637">
        <v>200000</v>
      </c>
      <c r="AC143" s="1637">
        <v>1800000</v>
      </c>
      <c r="AD143" s="1637">
        <v>1800000</v>
      </c>
      <c r="AE143" s="1609">
        <f>X143/$X$7</f>
        <v>2.8048575947805751E-3</v>
      </c>
      <c r="AF143" s="1561">
        <f>13587639/1000</f>
        <v>13587.638999999999</v>
      </c>
      <c r="AG143" s="1576">
        <f>SUM(AH143:AK143)</f>
        <v>2800000</v>
      </c>
      <c r="AH143" s="1746">
        <v>750000</v>
      </c>
      <c r="AI143" s="1747">
        <v>1000000</v>
      </c>
      <c r="AJ143" s="1747">
        <v>250000</v>
      </c>
      <c r="AK143" s="1747">
        <v>800000</v>
      </c>
      <c r="AL143" s="1613">
        <f>(AF143/AF7)</f>
        <v>9.0072900292210677E-3</v>
      </c>
      <c r="AM143" s="1614">
        <f>3998014/1000</f>
        <v>3998.0140000000001</v>
      </c>
      <c r="AN143" s="1615">
        <f>SUM(AO143+AP143)</f>
        <v>6750000</v>
      </c>
      <c r="AO143" s="1747">
        <v>4000000</v>
      </c>
      <c r="AP143" s="1738">
        <f>SUM(AQ143:AT143)</f>
        <v>2750000</v>
      </c>
      <c r="AQ143" s="1746">
        <v>937500</v>
      </c>
      <c r="AR143" s="1747">
        <v>262500</v>
      </c>
      <c r="AS143" s="1747">
        <v>525000</v>
      </c>
      <c r="AT143" s="1747">
        <v>1025000</v>
      </c>
      <c r="AU143" s="1616">
        <f>SUM(AN143+AG143+Y143+G143)</f>
        <v>29210374.710000001</v>
      </c>
      <c r="AV143" s="1617">
        <f>AM143/$AM$7</f>
        <v>6.4686430576757189E-4</v>
      </c>
      <c r="AW143" s="1627">
        <f>5925000/1000</f>
        <v>5925</v>
      </c>
      <c r="AX143" s="1619">
        <f>AW143/$AW$7</f>
        <v>1.1159700927566445E-4</v>
      </c>
    </row>
    <row r="144" spans="1:50" ht="15.75" customHeight="1" x14ac:dyDescent="0.25">
      <c r="A144" s="1520" t="s">
        <v>213</v>
      </c>
      <c r="B144" s="2009" t="s">
        <v>214</v>
      </c>
      <c r="C144" s="2004"/>
      <c r="D144" s="1608">
        <f>+G144+Y144+AG144+AN144</f>
        <v>2190649.7599999998</v>
      </c>
      <c r="E144" s="1552">
        <f>SUM(G144+Y144+AG144+AN144)</f>
        <v>2190649.7599999998</v>
      </c>
      <c r="F144" s="1447">
        <f>+X144+AF144+AM144+AW144</f>
        <v>300</v>
      </c>
      <c r="G144" s="1608">
        <f>SUM(H144:W144)</f>
        <v>1390649.76</v>
      </c>
      <c r="H144" s="1103"/>
      <c r="I144" s="1103"/>
      <c r="J144" s="1103">
        <v>30000</v>
      </c>
      <c r="K144" s="1103">
        <v>0</v>
      </c>
      <c r="L144" s="78">
        <v>0</v>
      </c>
      <c r="M144" s="1586"/>
      <c r="N144" s="1103"/>
      <c r="O144" s="1103"/>
      <c r="P144" s="78"/>
      <c r="Q144" s="1103"/>
      <c r="R144" s="1586"/>
      <c r="S144" s="1586">
        <v>998649.76</v>
      </c>
      <c r="T144" s="1586"/>
      <c r="U144" s="1586">
        <v>312000</v>
      </c>
      <c r="V144" s="1586"/>
      <c r="W144" s="1586">
        <v>50000</v>
      </c>
      <c r="X144" s="1588">
        <f>300000/1000</f>
        <v>300</v>
      </c>
      <c r="Y144" s="1561">
        <f>SUM(Z144:AD144)</f>
        <v>100000</v>
      </c>
      <c r="Z144" s="1561">
        <v>100000</v>
      </c>
      <c r="AA144" s="1561">
        <v>0</v>
      </c>
      <c r="AB144" s="1561">
        <v>0</v>
      </c>
      <c r="AC144" s="1561">
        <v>0</v>
      </c>
      <c r="AD144" s="1561">
        <v>0</v>
      </c>
      <c r="AE144" s="1609">
        <f>X144/$X$7</f>
        <v>7.0037902161710998E-5</v>
      </c>
      <c r="AF144" s="1561">
        <f>0/1000</f>
        <v>0</v>
      </c>
      <c r="AG144" s="1576">
        <f>SUM(AH144:AK144)</f>
        <v>550000</v>
      </c>
      <c r="AH144" s="1611"/>
      <c r="AI144" s="1612">
        <v>50000</v>
      </c>
      <c r="AJ144" s="1612"/>
      <c r="AK144" s="1612">
        <v>500000</v>
      </c>
      <c r="AL144" s="1613">
        <f>(AF144/AF7)</f>
        <v>0</v>
      </c>
      <c r="AM144" s="1614">
        <v>0</v>
      </c>
      <c r="AN144" s="1615">
        <f>SUM(AO144+AP144)</f>
        <v>150000</v>
      </c>
      <c r="AO144" s="1612">
        <v>50000</v>
      </c>
      <c r="AP144" s="1738">
        <f>SUM(AQ144:AT144)</f>
        <v>100000</v>
      </c>
      <c r="AQ144" s="1611">
        <v>25000</v>
      </c>
      <c r="AR144" s="1612">
        <v>15000</v>
      </c>
      <c r="AS144" s="1612">
        <v>30000</v>
      </c>
      <c r="AT144" s="1612">
        <v>30000</v>
      </c>
      <c r="AU144" s="1616">
        <f>SUM(AN144+AG144+Y144+G144)</f>
        <v>2190649.7599999998</v>
      </c>
      <c r="AV144" s="1617">
        <f>AM144/$AM$7</f>
        <v>0</v>
      </c>
      <c r="AW144" s="1627">
        <f>0/1000</f>
        <v>0</v>
      </c>
      <c r="AX144" s="1619">
        <f>AW144/$AW$7</f>
        <v>0</v>
      </c>
    </row>
    <row r="145" spans="1:50" ht="15.75" customHeight="1" x14ac:dyDescent="0.25">
      <c r="A145" s="1520"/>
      <c r="B145" s="1624"/>
      <c r="C145" s="1513"/>
      <c r="D145" s="1608"/>
      <c r="E145" s="1552"/>
      <c r="F145" s="1447"/>
      <c r="G145" s="1608"/>
      <c r="H145" s="1103"/>
      <c r="I145" s="1103"/>
      <c r="J145" s="1103"/>
      <c r="K145" s="1103"/>
      <c r="L145" s="78"/>
      <c r="M145" s="1586"/>
      <c r="N145" s="1103"/>
      <c r="O145" s="1103"/>
      <c r="P145" s="78"/>
      <c r="Q145" s="1103"/>
      <c r="R145" s="1586"/>
      <c r="S145" s="1586"/>
      <c r="T145" s="1586"/>
      <c r="U145" s="1586"/>
      <c r="V145" s="1586"/>
      <c r="W145" s="1586"/>
      <c r="X145" s="1588"/>
      <c r="Y145" s="1561"/>
      <c r="Z145" s="1561"/>
      <c r="AA145" s="1561"/>
      <c r="AB145" s="1561"/>
      <c r="AC145" s="1561"/>
      <c r="AD145" s="1561"/>
      <c r="AE145" s="1575"/>
      <c r="AF145" s="1561"/>
      <c r="AG145" s="1580"/>
      <c r="AH145" s="1611"/>
      <c r="AI145" s="1612"/>
      <c r="AJ145" s="1612"/>
      <c r="AK145" s="1612"/>
      <c r="AL145" s="1613"/>
      <c r="AM145" s="1614"/>
      <c r="AN145" s="1599"/>
      <c r="AO145" s="1612"/>
      <c r="AP145" s="1659"/>
      <c r="AQ145" s="1611"/>
      <c r="AR145" s="1612"/>
      <c r="AS145" s="1612"/>
      <c r="AT145" s="1612"/>
      <c r="AU145" s="1616"/>
      <c r="AV145" s="1603"/>
      <c r="AW145" s="1627"/>
      <c r="AX145" s="1592"/>
    </row>
    <row r="146" spans="1:50" ht="15.75" customHeight="1" x14ac:dyDescent="0.25">
      <c r="A146" s="1517" t="s">
        <v>215</v>
      </c>
      <c r="B146" s="2013" t="s">
        <v>216</v>
      </c>
      <c r="C146" s="2016"/>
      <c r="D146" s="1573">
        <f>+D147</f>
        <v>4540040</v>
      </c>
      <c r="E146" s="1572">
        <f>SUM(G146+Y146+AG146+AN146)</f>
        <v>4540040</v>
      </c>
      <c r="F146" s="1495">
        <f>+X146+AF146+AM146+AW146</f>
        <v>4550</v>
      </c>
      <c r="G146" s="1573">
        <f>SUM(H146:W146)</f>
        <v>3150000</v>
      </c>
      <c r="H146" s="1099">
        <f t="shared" ref="H146:Q146" si="130">H147</f>
        <v>2000000</v>
      </c>
      <c r="I146" s="1099">
        <f t="shared" si="130"/>
        <v>0</v>
      </c>
      <c r="J146" s="1099">
        <f t="shared" si="130"/>
        <v>500000</v>
      </c>
      <c r="K146" s="1099">
        <f t="shared" si="130"/>
        <v>500000</v>
      </c>
      <c r="L146" s="1647">
        <f t="shared" si="130"/>
        <v>0</v>
      </c>
      <c r="M146" s="1647">
        <f t="shared" si="130"/>
        <v>0</v>
      </c>
      <c r="N146" s="1099">
        <f t="shared" si="130"/>
        <v>150000</v>
      </c>
      <c r="O146" s="1099">
        <f t="shared" si="130"/>
        <v>0</v>
      </c>
      <c r="P146" s="1647">
        <f t="shared" si="130"/>
        <v>0</v>
      </c>
      <c r="Q146" s="1099">
        <f t="shared" si="130"/>
        <v>0</v>
      </c>
      <c r="R146" s="1647"/>
      <c r="S146" s="1647"/>
      <c r="T146" s="1647"/>
      <c r="U146" s="1647"/>
      <c r="V146" s="1647"/>
      <c r="W146" s="1647"/>
      <c r="X146" s="1628">
        <f>+X147</f>
        <v>1300</v>
      </c>
      <c r="Y146" s="1647">
        <f t="shared" ref="Y146:AD146" si="131">Y147</f>
        <v>500000</v>
      </c>
      <c r="Z146" s="1647">
        <f t="shared" si="131"/>
        <v>500000</v>
      </c>
      <c r="AA146" s="1647">
        <f t="shared" si="131"/>
        <v>0</v>
      </c>
      <c r="AB146" s="1647">
        <f t="shared" si="131"/>
        <v>0</v>
      </c>
      <c r="AC146" s="1647">
        <f t="shared" si="131"/>
        <v>0</v>
      </c>
      <c r="AD146" s="1647">
        <f t="shared" si="131"/>
        <v>0</v>
      </c>
      <c r="AE146" s="1575">
        <f>X146/$X$7</f>
        <v>3.0349757603408101E-4</v>
      </c>
      <c r="AF146" s="1557">
        <f>+AF147</f>
        <v>2300</v>
      </c>
      <c r="AG146" s="1576">
        <f>SUM(AG147)</f>
        <v>0</v>
      </c>
      <c r="AH146" s="1684">
        <f>+AH147</f>
        <v>0</v>
      </c>
      <c r="AI146" s="1658">
        <f>+AI147</f>
        <v>0</v>
      </c>
      <c r="AJ146" s="1597">
        <f>SUM(AJ147)</f>
        <v>0</v>
      </c>
      <c r="AK146" s="1597">
        <f>SUM(AK147)</f>
        <v>0</v>
      </c>
      <c r="AL146" s="1577">
        <f>(AF146/AF7)</f>
        <v>1.5246774709873037E-3</v>
      </c>
      <c r="AM146" s="1598">
        <f>+AM147</f>
        <v>0</v>
      </c>
      <c r="AN146" s="1599">
        <f t="shared" ref="AN146:AU146" si="132">SUM(AN147)</f>
        <v>890040</v>
      </c>
      <c r="AO146" s="1600">
        <f t="shared" si="132"/>
        <v>890040</v>
      </c>
      <c r="AP146" s="1599">
        <f t="shared" si="132"/>
        <v>0</v>
      </c>
      <c r="AQ146" s="1601">
        <f t="shared" si="132"/>
        <v>0</v>
      </c>
      <c r="AR146" s="1600">
        <f t="shared" si="132"/>
        <v>0</v>
      </c>
      <c r="AS146" s="1600">
        <f t="shared" si="132"/>
        <v>0</v>
      </c>
      <c r="AT146" s="1600">
        <f t="shared" si="132"/>
        <v>0</v>
      </c>
      <c r="AU146" s="1602">
        <f t="shared" si="132"/>
        <v>4540040</v>
      </c>
      <c r="AV146" s="1603">
        <f>AM146/$AM$7</f>
        <v>0</v>
      </c>
      <c r="AW146" s="1631">
        <f>+AW147</f>
        <v>950</v>
      </c>
      <c r="AX146" s="1592">
        <f>AW146/$AW$7</f>
        <v>1.7893191360655057E-5</v>
      </c>
    </row>
    <row r="147" spans="1:50" ht="15.75" customHeight="1" x14ac:dyDescent="0.25">
      <c r="A147" s="1520" t="s">
        <v>217</v>
      </c>
      <c r="B147" s="2009" t="s">
        <v>218</v>
      </c>
      <c r="C147" s="2004"/>
      <c r="D147" s="1608">
        <f>+G147+Y147+AG147+AN147</f>
        <v>4540040</v>
      </c>
      <c r="E147" s="1552">
        <f>SUM(G147+Y147+AG147+AN147)</f>
        <v>4540040</v>
      </c>
      <c r="F147" s="1447">
        <f>+X147+AF147+AM147+AW147</f>
        <v>4550</v>
      </c>
      <c r="G147" s="1608">
        <f>SUM(H147:W147)</f>
        <v>3150000</v>
      </c>
      <c r="H147" s="1103">
        <v>2000000</v>
      </c>
      <c r="I147" s="1103"/>
      <c r="J147" s="1103">
        <v>500000</v>
      </c>
      <c r="K147" s="1103">
        <v>500000</v>
      </c>
      <c r="L147" s="78"/>
      <c r="M147" s="1586"/>
      <c r="N147" s="1103">
        <v>150000</v>
      </c>
      <c r="O147" s="1103"/>
      <c r="P147" s="78"/>
      <c r="Q147" s="1103"/>
      <c r="R147" s="1586"/>
      <c r="S147" s="1586"/>
      <c r="T147" s="1586"/>
      <c r="U147" s="1586"/>
      <c r="V147" s="1586"/>
      <c r="W147" s="1586"/>
      <c r="X147" s="1588">
        <f>1300000/1000</f>
        <v>1300</v>
      </c>
      <c r="Y147" s="1561">
        <f>SUM(Z147:AD147)</f>
        <v>500000</v>
      </c>
      <c r="Z147" s="1561">
        <v>500000</v>
      </c>
      <c r="AA147" s="1561"/>
      <c r="AB147" s="1561"/>
      <c r="AC147" s="1561"/>
      <c r="AD147" s="1561"/>
      <c r="AE147" s="1609">
        <f>X147/$X$7</f>
        <v>3.0349757603408101E-4</v>
      </c>
      <c r="AF147" s="1561">
        <f>2300000/1000</f>
        <v>2300</v>
      </c>
      <c r="AG147" s="1576">
        <f>SUM(AH147:AJ147)</f>
        <v>0</v>
      </c>
      <c r="AH147" s="1640"/>
      <c r="AI147" s="1561"/>
      <c r="AJ147" s="1600">
        <v>0</v>
      </c>
      <c r="AK147" s="1600">
        <v>0</v>
      </c>
      <c r="AL147" s="1613">
        <f>(AF147/AF7)</f>
        <v>1.5246774709873037E-3</v>
      </c>
      <c r="AM147" s="1614">
        <f>AG147/1000</f>
        <v>0</v>
      </c>
      <c r="AN147" s="1615">
        <f>SUM(AO147+AP147)</f>
        <v>890040</v>
      </c>
      <c r="AO147" s="1600">
        <v>890040</v>
      </c>
      <c r="AP147" s="1738">
        <f>SUM(AQ147:AT147)</f>
        <v>0</v>
      </c>
      <c r="AQ147" s="1601">
        <v>0</v>
      </c>
      <c r="AR147" s="1600">
        <v>0</v>
      </c>
      <c r="AS147" s="1600">
        <v>0</v>
      </c>
      <c r="AT147" s="1600">
        <v>0</v>
      </c>
      <c r="AU147" s="1616">
        <f>SUM(AN147+AG147+Y147+G147)</f>
        <v>4540040</v>
      </c>
      <c r="AV147" s="1617">
        <f>AM147/$AM$7</f>
        <v>0</v>
      </c>
      <c r="AW147" s="1627">
        <f>950000/1000</f>
        <v>950</v>
      </c>
      <c r="AX147" s="1619">
        <f>AW147/$AW$7</f>
        <v>1.7893191360655057E-5</v>
      </c>
    </row>
    <row r="148" spans="1:50" ht="15.75" customHeight="1" x14ac:dyDescent="0.25">
      <c r="A148" s="1520"/>
      <c r="B148" s="1624"/>
      <c r="C148" s="1513"/>
      <c r="D148" s="1608"/>
      <c r="E148" s="1552"/>
      <c r="F148" s="1447"/>
      <c r="G148" s="1608"/>
      <c r="H148" s="1103"/>
      <c r="I148" s="1103"/>
      <c r="J148" s="1103"/>
      <c r="K148" s="1103"/>
      <c r="L148" s="78"/>
      <c r="M148" s="1586"/>
      <c r="N148" s="1103"/>
      <c r="O148" s="1103"/>
      <c r="P148" s="78"/>
      <c r="Q148" s="1103"/>
      <c r="R148" s="1586"/>
      <c r="S148" s="1586"/>
      <c r="T148" s="1586"/>
      <c r="U148" s="1586"/>
      <c r="V148" s="1586"/>
      <c r="W148" s="1586"/>
      <c r="X148" s="1588"/>
      <c r="Y148" s="1561"/>
      <c r="Z148" s="1561"/>
      <c r="AA148" s="1561"/>
      <c r="AB148" s="1561"/>
      <c r="AC148" s="1561"/>
      <c r="AD148" s="1561"/>
      <c r="AE148" s="1575"/>
      <c r="AF148" s="1561"/>
      <c r="AG148" s="1580"/>
      <c r="AH148" s="1611"/>
      <c r="AI148" s="1612"/>
      <c r="AJ148" s="1612"/>
      <c r="AK148" s="1612"/>
      <c r="AL148" s="1613"/>
      <c r="AM148" s="1614"/>
      <c r="AN148" s="1599"/>
      <c r="AO148" s="1612"/>
      <c r="AP148" s="1659"/>
      <c r="AQ148" s="1611"/>
      <c r="AR148" s="1612"/>
      <c r="AS148" s="1612"/>
      <c r="AT148" s="1612"/>
      <c r="AU148" s="1616"/>
      <c r="AV148" s="1603"/>
      <c r="AW148" s="1627"/>
      <c r="AX148" s="1592"/>
    </row>
    <row r="149" spans="1:50" ht="15.75" customHeight="1" x14ac:dyDescent="0.25">
      <c r="A149" s="1517" t="s">
        <v>219</v>
      </c>
      <c r="B149" s="2013" t="s">
        <v>220</v>
      </c>
      <c r="C149" s="2002"/>
      <c r="D149" s="1573">
        <f>SUM(D150:D156)</f>
        <v>35737640.890000001</v>
      </c>
      <c r="E149" s="1572">
        <f t="shared" ref="E149:E156" si="133">SUM(G149+Y149+AG149+AN149)</f>
        <v>35737640.890000001</v>
      </c>
      <c r="F149" s="1495">
        <f t="shared" ref="F149:F156" si="134">+X149+AF149+AM149+AW149</f>
        <v>31300</v>
      </c>
      <c r="G149" s="1573">
        <f t="shared" ref="G149:G156" si="135">SUM(H149:W149)</f>
        <v>29627640.890000001</v>
      </c>
      <c r="H149" s="1099">
        <f t="shared" ref="H149:W149" si="136">SUM(H150:H156)</f>
        <v>75000</v>
      </c>
      <c r="I149" s="1099">
        <f t="shared" si="136"/>
        <v>0</v>
      </c>
      <c r="J149" s="1099">
        <f t="shared" si="136"/>
        <v>0</v>
      </c>
      <c r="K149" s="1099">
        <f t="shared" si="136"/>
        <v>0</v>
      </c>
      <c r="L149" s="1647">
        <f t="shared" si="136"/>
        <v>0</v>
      </c>
      <c r="M149" s="1647">
        <f t="shared" si="136"/>
        <v>3244800</v>
      </c>
      <c r="N149" s="1099">
        <f t="shared" si="136"/>
        <v>0</v>
      </c>
      <c r="O149" s="1099">
        <f t="shared" si="136"/>
        <v>0</v>
      </c>
      <c r="P149" s="1647">
        <f t="shared" si="136"/>
        <v>0</v>
      </c>
      <c r="Q149" s="1099">
        <f t="shared" si="136"/>
        <v>50000</v>
      </c>
      <c r="R149" s="1647">
        <f t="shared" si="136"/>
        <v>150000</v>
      </c>
      <c r="S149" s="1647">
        <f t="shared" si="136"/>
        <v>22134840.890000001</v>
      </c>
      <c r="T149" s="1647">
        <f t="shared" si="136"/>
        <v>550000</v>
      </c>
      <c r="U149" s="1647">
        <f t="shared" si="136"/>
        <v>1248000</v>
      </c>
      <c r="V149" s="1647">
        <f t="shared" si="136"/>
        <v>1525000</v>
      </c>
      <c r="W149" s="1647">
        <f t="shared" si="136"/>
        <v>650000</v>
      </c>
      <c r="X149" s="1628">
        <f>+X150+X151+X152+X153+X154+X155+X156</f>
        <v>29060</v>
      </c>
      <c r="Y149" s="1647">
        <f t="shared" ref="Y149:AD149" si="137">SUM(Y150:Y156)</f>
        <v>100000</v>
      </c>
      <c r="Z149" s="1647">
        <f t="shared" si="137"/>
        <v>100000</v>
      </c>
      <c r="AA149" s="1647">
        <f t="shared" si="137"/>
        <v>0</v>
      </c>
      <c r="AB149" s="1647">
        <f t="shared" si="137"/>
        <v>0</v>
      </c>
      <c r="AC149" s="1647">
        <f t="shared" si="137"/>
        <v>0</v>
      </c>
      <c r="AD149" s="1647">
        <f t="shared" si="137"/>
        <v>0</v>
      </c>
      <c r="AE149" s="1575">
        <f t="shared" ref="AE149:AE156" si="138">X149/$X$7</f>
        <v>6.7843381227310718E-3</v>
      </c>
      <c r="AF149" s="1557">
        <f>+AF153</f>
        <v>1350</v>
      </c>
      <c r="AG149" s="1576">
        <f>SUM(AG150:AG156)</f>
        <v>1510000</v>
      </c>
      <c r="AH149" s="1689">
        <f>SUM(AH150:AH156)</f>
        <v>150000</v>
      </c>
      <c r="AI149" s="1597">
        <f>SUM(AI150:AI156)</f>
        <v>660000</v>
      </c>
      <c r="AJ149" s="1597">
        <f>SUM(AJ150:AJ156)</f>
        <v>0</v>
      </c>
      <c r="AK149" s="1597">
        <f>SUM(AK150:AK156)</f>
        <v>700000</v>
      </c>
      <c r="AL149" s="1577">
        <f>(AF149/AF7)</f>
        <v>8.9491938514472177E-4</v>
      </c>
      <c r="AM149" s="1598">
        <f>+AM150+AM151+AM152+AM153+AM154+AM155+AM156</f>
        <v>0</v>
      </c>
      <c r="AN149" s="1599">
        <f t="shared" ref="AN149:AU149" si="139">SUM(AN150:AN156)</f>
        <v>4500000</v>
      </c>
      <c r="AO149" s="1597">
        <f t="shared" si="139"/>
        <v>4500000</v>
      </c>
      <c r="AP149" s="1599">
        <f t="shared" si="139"/>
        <v>0</v>
      </c>
      <c r="AQ149" s="1601">
        <f t="shared" si="139"/>
        <v>0</v>
      </c>
      <c r="AR149" s="1600">
        <f t="shared" si="139"/>
        <v>0</v>
      </c>
      <c r="AS149" s="1600">
        <f t="shared" si="139"/>
        <v>0</v>
      </c>
      <c r="AT149" s="1600">
        <f t="shared" si="139"/>
        <v>0</v>
      </c>
      <c r="AU149" s="1602">
        <f t="shared" si="139"/>
        <v>35737640.890000001</v>
      </c>
      <c r="AV149" s="1603">
        <f t="shared" ref="AV149:AV156" si="140">AM149/$AM$7</f>
        <v>0</v>
      </c>
      <c r="AW149" s="1631">
        <f>+AW150+AW151+AW152+AW153+AW154+AW155+AW156</f>
        <v>890</v>
      </c>
      <c r="AX149" s="1592">
        <f t="shared" ref="AX149:AX156" si="141">AW149/$AW$7</f>
        <v>1.6763095064192634E-5</v>
      </c>
    </row>
    <row r="150" spans="1:50" ht="15.75" customHeight="1" x14ac:dyDescent="0.25">
      <c r="A150" s="1520" t="s">
        <v>221</v>
      </c>
      <c r="B150" s="2009" t="s">
        <v>222</v>
      </c>
      <c r="C150" s="2004"/>
      <c r="D150" s="1608">
        <f t="shared" ref="D150:D156" si="142">+G150+Y150+AG150+AN150</f>
        <v>12631351.539999999</v>
      </c>
      <c r="E150" s="1552">
        <f t="shared" si="133"/>
        <v>12631351.539999999</v>
      </c>
      <c r="F150" s="1447">
        <f t="shared" si="134"/>
        <v>2430</v>
      </c>
      <c r="G150" s="1608">
        <f t="shared" si="135"/>
        <v>12631351.539999999</v>
      </c>
      <c r="H150" s="1103"/>
      <c r="I150" s="1103"/>
      <c r="J150" s="1103"/>
      <c r="K150" s="1103"/>
      <c r="L150" s="78"/>
      <c r="M150" s="1586"/>
      <c r="N150" s="1103"/>
      <c r="O150" s="1103"/>
      <c r="P150" s="78"/>
      <c r="Q150" s="1103"/>
      <c r="R150" s="1586">
        <v>25000</v>
      </c>
      <c r="S150" s="1586">
        <v>12298351.539999999</v>
      </c>
      <c r="T150" s="1586"/>
      <c r="U150" s="1586">
        <v>208000</v>
      </c>
      <c r="V150" s="1586">
        <v>50000</v>
      </c>
      <c r="W150" s="1586">
        <v>50000</v>
      </c>
      <c r="X150" s="1588">
        <f>2180000/1000</f>
        <v>2180</v>
      </c>
      <c r="Y150" s="1561">
        <f t="shared" ref="Y150:Y156" si="143">SUM(Z150:AD150)</f>
        <v>0</v>
      </c>
      <c r="Z150" s="1586">
        <v>0</v>
      </c>
      <c r="AA150" s="1586">
        <v>0</v>
      </c>
      <c r="AB150" s="1586">
        <v>0</v>
      </c>
      <c r="AC150" s="1586">
        <v>0</v>
      </c>
      <c r="AD150" s="1586">
        <v>0</v>
      </c>
      <c r="AE150" s="1609">
        <f t="shared" si="138"/>
        <v>5.0894208904176655E-4</v>
      </c>
      <c r="AF150" s="1561">
        <f>Y150/1000</f>
        <v>0</v>
      </c>
      <c r="AG150" s="1576">
        <f t="shared" ref="AG150:AG156" si="144">SUM(AH150:AK150)</f>
        <v>0</v>
      </c>
      <c r="AH150" s="1638">
        <v>0</v>
      </c>
      <c r="AI150" s="1639">
        <v>0</v>
      </c>
      <c r="AJ150" s="1639">
        <f>SUM(AJ151:AJ152)</f>
        <v>0</v>
      </c>
      <c r="AK150" s="1639">
        <f>SUM(AK151:AK152)</f>
        <v>0</v>
      </c>
      <c r="AL150" s="1613">
        <f>(AF150/AF7)</f>
        <v>0</v>
      </c>
      <c r="AM150" s="1614">
        <f>AG150/1000</f>
        <v>0</v>
      </c>
      <c r="AN150" s="1615">
        <f t="shared" ref="AN150:AN156" si="145">SUM(AO150+AP150)</f>
        <v>0</v>
      </c>
      <c r="AO150" s="1637"/>
      <c r="AP150" s="1738">
        <f t="shared" ref="AP150:AP156" si="146">SUM(AQ150:AT150)</f>
        <v>0</v>
      </c>
      <c r="AQ150" s="1692"/>
      <c r="AR150" s="1637"/>
      <c r="AS150" s="1637"/>
      <c r="AT150" s="1637"/>
      <c r="AU150" s="1616">
        <f t="shared" ref="AU150:AU156" si="147">SUM(AN150+AG150+Y150+G150)</f>
        <v>12631351.539999999</v>
      </c>
      <c r="AV150" s="1617">
        <f t="shared" si="140"/>
        <v>0</v>
      </c>
      <c r="AW150" s="1627">
        <f>250000/1000</f>
        <v>250</v>
      </c>
      <c r="AX150" s="1619">
        <f t="shared" si="141"/>
        <v>4.7087345685934367E-6</v>
      </c>
    </row>
    <row r="151" spans="1:50" ht="15.75" customHeight="1" x14ac:dyDescent="0.25">
      <c r="A151" s="1520" t="s">
        <v>223</v>
      </c>
      <c r="B151" s="2009" t="s">
        <v>224</v>
      </c>
      <c r="C151" s="2004"/>
      <c r="D151" s="1608">
        <f t="shared" si="142"/>
        <v>1115000</v>
      </c>
      <c r="E151" s="1552">
        <f t="shared" si="133"/>
        <v>1115000</v>
      </c>
      <c r="F151" s="1447">
        <f t="shared" si="134"/>
        <v>1000</v>
      </c>
      <c r="G151" s="1608">
        <f t="shared" si="135"/>
        <v>1115000</v>
      </c>
      <c r="H151" s="1103"/>
      <c r="I151" s="1103"/>
      <c r="J151" s="1103"/>
      <c r="K151" s="1103"/>
      <c r="L151" s="78"/>
      <c r="M151" s="1586"/>
      <c r="N151" s="1103"/>
      <c r="O151" s="1103"/>
      <c r="P151" s="78"/>
      <c r="Q151" s="1103"/>
      <c r="R151" s="1586">
        <v>25000</v>
      </c>
      <c r="S151" s="1586">
        <v>1040000</v>
      </c>
      <c r="T151" s="1586"/>
      <c r="U151" s="1586"/>
      <c r="V151" s="1586"/>
      <c r="W151" s="1586">
        <v>50000</v>
      </c>
      <c r="X151" s="1588">
        <f>1000000/1000</f>
        <v>1000</v>
      </c>
      <c r="Y151" s="1561">
        <f t="shared" si="143"/>
        <v>0</v>
      </c>
      <c r="Z151" s="1586">
        <v>0</v>
      </c>
      <c r="AA151" s="1586">
        <v>0</v>
      </c>
      <c r="AB151" s="1586">
        <v>0</v>
      </c>
      <c r="AC151" s="1586">
        <v>0</v>
      </c>
      <c r="AD151" s="1586">
        <v>0</v>
      </c>
      <c r="AE151" s="1609">
        <f t="shared" si="138"/>
        <v>2.3345967387237E-4</v>
      </c>
      <c r="AF151" s="1561">
        <f>Y151/1000</f>
        <v>0</v>
      </c>
      <c r="AG151" s="1576">
        <f t="shared" si="144"/>
        <v>0</v>
      </c>
      <c r="AH151" s="1611">
        <v>0</v>
      </c>
      <c r="AI151" s="1612">
        <v>0</v>
      </c>
      <c r="AJ151" s="1612">
        <v>0</v>
      </c>
      <c r="AK151" s="1612">
        <v>0</v>
      </c>
      <c r="AL151" s="1613">
        <f>(AF151/AF7)</f>
        <v>0</v>
      </c>
      <c r="AM151" s="1614">
        <v>0</v>
      </c>
      <c r="AN151" s="1615">
        <f t="shared" si="145"/>
        <v>0</v>
      </c>
      <c r="AO151" s="1612"/>
      <c r="AP151" s="1738">
        <f t="shared" si="146"/>
        <v>0</v>
      </c>
      <c r="AQ151" s="1611"/>
      <c r="AR151" s="1612"/>
      <c r="AS151" s="1612"/>
      <c r="AT151" s="1612"/>
      <c r="AU151" s="1616">
        <f t="shared" si="147"/>
        <v>1115000</v>
      </c>
      <c r="AV151" s="1617">
        <f t="shared" si="140"/>
        <v>0</v>
      </c>
      <c r="AW151" s="1627">
        <f>AN151/1000</f>
        <v>0</v>
      </c>
      <c r="AX151" s="1619">
        <f t="shared" si="141"/>
        <v>0</v>
      </c>
    </row>
    <row r="152" spans="1:50" ht="15.75" customHeight="1" x14ac:dyDescent="0.25">
      <c r="A152" s="1520" t="s">
        <v>225</v>
      </c>
      <c r="B152" s="2009" t="s">
        <v>226</v>
      </c>
      <c r="C152" s="2004"/>
      <c r="D152" s="1608">
        <f t="shared" si="142"/>
        <v>3173547.1</v>
      </c>
      <c r="E152" s="1552">
        <f t="shared" si="133"/>
        <v>3173547.1</v>
      </c>
      <c r="F152" s="1447">
        <f t="shared" si="134"/>
        <v>3260</v>
      </c>
      <c r="G152" s="1608">
        <f t="shared" si="135"/>
        <v>3173547.1</v>
      </c>
      <c r="H152" s="1103"/>
      <c r="I152" s="1103"/>
      <c r="J152" s="1103"/>
      <c r="K152" s="1103"/>
      <c r="L152" s="78"/>
      <c r="M152" s="1586"/>
      <c r="N152" s="1103"/>
      <c r="O152" s="1103"/>
      <c r="P152" s="78"/>
      <c r="Q152" s="1103"/>
      <c r="R152" s="1586">
        <v>25000</v>
      </c>
      <c r="S152" s="1586">
        <v>2848547.1</v>
      </c>
      <c r="T152" s="1586">
        <v>50000</v>
      </c>
      <c r="U152" s="1586"/>
      <c r="V152" s="1586">
        <v>50000</v>
      </c>
      <c r="W152" s="1586">
        <v>200000</v>
      </c>
      <c r="X152" s="1588">
        <f>3140000/1000</f>
        <v>3140</v>
      </c>
      <c r="Y152" s="1561">
        <f t="shared" si="143"/>
        <v>0</v>
      </c>
      <c r="Z152" s="1586">
        <v>0</v>
      </c>
      <c r="AA152" s="1586">
        <v>0</v>
      </c>
      <c r="AB152" s="1586">
        <v>0</v>
      </c>
      <c r="AC152" s="1586">
        <v>0</v>
      </c>
      <c r="AD152" s="1586">
        <v>0</v>
      </c>
      <c r="AE152" s="1609">
        <f t="shared" si="138"/>
        <v>7.3306337595924176E-4</v>
      </c>
      <c r="AF152" s="1561">
        <f>Y152/1000</f>
        <v>0</v>
      </c>
      <c r="AG152" s="1576">
        <f t="shared" si="144"/>
        <v>0</v>
      </c>
      <c r="AH152" s="1611">
        <v>0</v>
      </c>
      <c r="AI152" s="1612">
        <v>0</v>
      </c>
      <c r="AJ152" s="1612">
        <v>0</v>
      </c>
      <c r="AK152" s="1612">
        <v>0</v>
      </c>
      <c r="AL152" s="1613">
        <f>(AF152/AF7)</f>
        <v>0</v>
      </c>
      <c r="AM152" s="1614">
        <v>0</v>
      </c>
      <c r="AN152" s="1615">
        <f t="shared" si="145"/>
        <v>0</v>
      </c>
      <c r="AO152" s="1612"/>
      <c r="AP152" s="1738">
        <f t="shared" si="146"/>
        <v>0</v>
      </c>
      <c r="AQ152" s="1611"/>
      <c r="AR152" s="1612"/>
      <c r="AS152" s="1612"/>
      <c r="AT152" s="1612"/>
      <c r="AU152" s="1616">
        <f t="shared" si="147"/>
        <v>3173547.1</v>
      </c>
      <c r="AV152" s="1617">
        <f t="shared" si="140"/>
        <v>0</v>
      </c>
      <c r="AW152" s="1627">
        <f>120000/1000</f>
        <v>120</v>
      </c>
      <c r="AX152" s="1619">
        <f t="shared" si="141"/>
        <v>2.2601925929248496E-6</v>
      </c>
    </row>
    <row r="153" spans="1:50" ht="15.75" customHeight="1" x14ac:dyDescent="0.25">
      <c r="A153" s="1771" t="s">
        <v>227</v>
      </c>
      <c r="B153" s="2009" t="s">
        <v>228</v>
      </c>
      <c r="C153" s="2004"/>
      <c r="D153" s="1608">
        <f t="shared" si="142"/>
        <v>13442068.24</v>
      </c>
      <c r="E153" s="1552">
        <f t="shared" si="133"/>
        <v>13442068.24</v>
      </c>
      <c r="F153" s="1447">
        <f t="shared" si="134"/>
        <v>21425</v>
      </c>
      <c r="G153" s="1608">
        <f t="shared" si="135"/>
        <v>9042068.2400000002</v>
      </c>
      <c r="H153" s="1103">
        <v>25000</v>
      </c>
      <c r="I153" s="1103">
        <v>0</v>
      </c>
      <c r="J153" s="1103">
        <v>0</v>
      </c>
      <c r="K153" s="1103">
        <v>0</v>
      </c>
      <c r="L153" s="78" t="s">
        <v>0</v>
      </c>
      <c r="M153" s="1586">
        <v>2704000</v>
      </c>
      <c r="N153" s="1103"/>
      <c r="O153" s="1103"/>
      <c r="P153" s="78"/>
      <c r="Q153" s="1103">
        <v>50000</v>
      </c>
      <c r="R153" s="1586">
        <v>25000</v>
      </c>
      <c r="S153" s="1586">
        <v>4198068.24</v>
      </c>
      <c r="T153" s="1586">
        <v>400000</v>
      </c>
      <c r="U153" s="1586">
        <v>1040000</v>
      </c>
      <c r="V153" s="1586">
        <v>400000</v>
      </c>
      <c r="W153" s="1586">
        <v>200000</v>
      </c>
      <c r="X153" s="1588">
        <f>19640000/1000</f>
        <v>19640</v>
      </c>
      <c r="Y153" s="1561">
        <f t="shared" si="143"/>
        <v>100000</v>
      </c>
      <c r="Z153" s="1586">
        <v>100000</v>
      </c>
      <c r="AA153" s="1586"/>
      <c r="AB153" s="1586"/>
      <c r="AC153" s="1586"/>
      <c r="AD153" s="1586"/>
      <c r="AE153" s="1609">
        <f t="shared" si="138"/>
        <v>4.5851479948533468E-3</v>
      </c>
      <c r="AF153" s="1561">
        <f>1350000/1000</f>
        <v>1350</v>
      </c>
      <c r="AG153" s="1576">
        <f t="shared" si="144"/>
        <v>800000</v>
      </c>
      <c r="AH153" s="1611">
        <v>100000</v>
      </c>
      <c r="AI153" s="1612">
        <v>500000</v>
      </c>
      <c r="AJ153" s="1612"/>
      <c r="AK153" s="1612">
        <v>200000</v>
      </c>
      <c r="AL153" s="1613">
        <f>(AF153/AF7)</f>
        <v>8.9491938514472177E-4</v>
      </c>
      <c r="AM153" s="1614">
        <v>0</v>
      </c>
      <c r="AN153" s="1615">
        <f t="shared" si="145"/>
        <v>3500000</v>
      </c>
      <c r="AO153" s="1612">
        <v>3500000</v>
      </c>
      <c r="AP153" s="1738">
        <f t="shared" si="146"/>
        <v>0</v>
      </c>
      <c r="AQ153" s="1611"/>
      <c r="AR153" s="1612"/>
      <c r="AS153" s="1612"/>
      <c r="AT153" s="1612"/>
      <c r="AU153" s="1616">
        <f t="shared" si="147"/>
        <v>13442068.24</v>
      </c>
      <c r="AV153" s="1617">
        <f t="shared" si="140"/>
        <v>0</v>
      </c>
      <c r="AW153" s="1627">
        <f>435000/1000</f>
        <v>435</v>
      </c>
      <c r="AX153" s="1619">
        <f t="shared" si="141"/>
        <v>8.1931981493525789E-6</v>
      </c>
    </row>
    <row r="154" spans="1:50" ht="15.75" customHeight="1" x14ac:dyDescent="0.25">
      <c r="A154" s="1520" t="s">
        <v>229</v>
      </c>
      <c r="B154" s="2009" t="s">
        <v>230</v>
      </c>
      <c r="C154" s="2004"/>
      <c r="D154" s="1608">
        <f t="shared" si="142"/>
        <v>1799800</v>
      </c>
      <c r="E154" s="1552">
        <f t="shared" si="133"/>
        <v>1799800</v>
      </c>
      <c r="F154" s="1447">
        <f t="shared" si="134"/>
        <v>1000</v>
      </c>
      <c r="G154" s="1608">
        <f t="shared" si="135"/>
        <v>1799800</v>
      </c>
      <c r="H154" s="1103">
        <v>30000</v>
      </c>
      <c r="I154" s="1103"/>
      <c r="J154" s="1103"/>
      <c r="K154" s="1103"/>
      <c r="L154" s="78"/>
      <c r="M154" s="1586">
        <v>540800</v>
      </c>
      <c r="N154" s="1103"/>
      <c r="O154" s="1103"/>
      <c r="P154" s="78"/>
      <c r="Q154" s="1103"/>
      <c r="R154" s="1586">
        <v>25000</v>
      </c>
      <c r="S154" s="1586">
        <v>104000</v>
      </c>
      <c r="T154" s="1586">
        <v>50000</v>
      </c>
      <c r="U154" s="1586"/>
      <c r="V154" s="1586">
        <v>1000000</v>
      </c>
      <c r="W154" s="1586">
        <v>50000</v>
      </c>
      <c r="X154" s="1588">
        <f>1000000/1000</f>
        <v>1000</v>
      </c>
      <c r="Y154" s="1561">
        <f t="shared" si="143"/>
        <v>0</v>
      </c>
      <c r="Z154" s="1586">
        <v>0</v>
      </c>
      <c r="AA154" s="1586">
        <v>0</v>
      </c>
      <c r="AB154" s="1586">
        <v>0</v>
      </c>
      <c r="AC154" s="1586">
        <v>0</v>
      </c>
      <c r="AD154" s="1586">
        <v>0</v>
      </c>
      <c r="AE154" s="1609">
        <f t="shared" si="138"/>
        <v>2.3345967387237E-4</v>
      </c>
      <c r="AF154" s="1561">
        <f>Y154/1000</f>
        <v>0</v>
      </c>
      <c r="AG154" s="1576">
        <f t="shared" si="144"/>
        <v>0</v>
      </c>
      <c r="AH154" s="1611"/>
      <c r="AI154" s="1612"/>
      <c r="AJ154" s="1612"/>
      <c r="AK154" s="1612"/>
      <c r="AL154" s="1613">
        <f>(AF154/AF7)</f>
        <v>0</v>
      </c>
      <c r="AM154" s="1614">
        <v>0</v>
      </c>
      <c r="AN154" s="1615">
        <f t="shared" si="145"/>
        <v>0</v>
      </c>
      <c r="AO154" s="1612"/>
      <c r="AP154" s="1738">
        <f t="shared" si="146"/>
        <v>0</v>
      </c>
      <c r="AQ154" s="1611"/>
      <c r="AR154" s="1612"/>
      <c r="AS154" s="1612"/>
      <c r="AT154" s="1612"/>
      <c r="AU154" s="1616">
        <f t="shared" si="147"/>
        <v>1799800</v>
      </c>
      <c r="AV154" s="1617">
        <f t="shared" si="140"/>
        <v>0</v>
      </c>
      <c r="AW154" s="1627">
        <f>AN154/1000</f>
        <v>0</v>
      </c>
      <c r="AX154" s="1619">
        <f t="shared" si="141"/>
        <v>0</v>
      </c>
    </row>
    <row r="155" spans="1:50" ht="15.75" customHeight="1" x14ac:dyDescent="0.25">
      <c r="A155" s="1520" t="s">
        <v>231</v>
      </c>
      <c r="B155" s="2009" t="s">
        <v>232</v>
      </c>
      <c r="C155" s="2004"/>
      <c r="D155" s="1608">
        <f t="shared" si="142"/>
        <v>1045351.25</v>
      </c>
      <c r="E155" s="1552">
        <f t="shared" si="133"/>
        <v>1045351.25</v>
      </c>
      <c r="F155" s="1447">
        <f t="shared" si="134"/>
        <v>735</v>
      </c>
      <c r="G155" s="1608">
        <f t="shared" si="135"/>
        <v>1045351.25</v>
      </c>
      <c r="H155" s="1103"/>
      <c r="I155" s="1103"/>
      <c r="J155" s="1103"/>
      <c r="K155" s="1103"/>
      <c r="L155" s="78"/>
      <c r="M155" s="1586"/>
      <c r="N155" s="1103"/>
      <c r="O155" s="1103"/>
      <c r="P155" s="78"/>
      <c r="Q155" s="1103"/>
      <c r="R155" s="1586">
        <v>25000</v>
      </c>
      <c r="S155" s="1586">
        <v>895351.25</v>
      </c>
      <c r="T155" s="1586">
        <v>50000</v>
      </c>
      <c r="U155" s="1586"/>
      <c r="V155" s="1586">
        <v>25000</v>
      </c>
      <c r="W155" s="1586">
        <v>50000</v>
      </c>
      <c r="X155" s="1588">
        <f>700000/1000</f>
        <v>700</v>
      </c>
      <c r="Y155" s="1561">
        <f t="shared" si="143"/>
        <v>0</v>
      </c>
      <c r="Z155" s="1586">
        <v>0</v>
      </c>
      <c r="AA155" s="1586">
        <v>0</v>
      </c>
      <c r="AB155" s="1586">
        <v>0</v>
      </c>
      <c r="AC155" s="1586">
        <v>0</v>
      </c>
      <c r="AD155" s="1586">
        <v>0</v>
      </c>
      <c r="AE155" s="1609">
        <f t="shared" si="138"/>
        <v>1.6342177171065899E-4</v>
      </c>
      <c r="AF155" s="1561">
        <f>Y155/1000</f>
        <v>0</v>
      </c>
      <c r="AG155" s="1576">
        <f t="shared" si="144"/>
        <v>0</v>
      </c>
      <c r="AH155" s="1638">
        <v>0</v>
      </c>
      <c r="AI155" s="1639">
        <v>0</v>
      </c>
      <c r="AJ155" s="1639">
        <v>0</v>
      </c>
      <c r="AK155" s="1639">
        <v>0</v>
      </c>
      <c r="AL155" s="1613">
        <f>(AF155/AF7)</f>
        <v>0</v>
      </c>
      <c r="AM155" s="1614">
        <v>0</v>
      </c>
      <c r="AN155" s="1615">
        <f t="shared" si="145"/>
        <v>0</v>
      </c>
      <c r="AO155" s="1637"/>
      <c r="AP155" s="1738">
        <f t="shared" si="146"/>
        <v>0</v>
      </c>
      <c r="AQ155" s="1692"/>
      <c r="AR155" s="1637"/>
      <c r="AS155" s="1637"/>
      <c r="AT155" s="1637"/>
      <c r="AU155" s="1616">
        <f t="shared" si="147"/>
        <v>1045351.25</v>
      </c>
      <c r="AV155" s="1617">
        <f t="shared" si="140"/>
        <v>0</v>
      </c>
      <c r="AW155" s="1627">
        <f>35000/1000</f>
        <v>35</v>
      </c>
      <c r="AX155" s="1619">
        <f t="shared" si="141"/>
        <v>6.5922283960308113E-7</v>
      </c>
    </row>
    <row r="156" spans="1:50" ht="15.75" customHeight="1" x14ac:dyDescent="0.25">
      <c r="A156" s="1520" t="s">
        <v>233</v>
      </c>
      <c r="B156" s="2009" t="s">
        <v>234</v>
      </c>
      <c r="C156" s="2004"/>
      <c r="D156" s="1608">
        <f t="shared" si="142"/>
        <v>2530522.7599999998</v>
      </c>
      <c r="E156" s="1552">
        <f t="shared" si="133"/>
        <v>2530522.7599999998</v>
      </c>
      <c r="F156" s="1447">
        <f t="shared" si="134"/>
        <v>1450</v>
      </c>
      <c r="G156" s="1608">
        <f t="shared" si="135"/>
        <v>820522.76</v>
      </c>
      <c r="H156" s="1103">
        <v>20000</v>
      </c>
      <c r="I156" s="1103"/>
      <c r="J156" s="1103"/>
      <c r="K156" s="1103"/>
      <c r="L156" s="78"/>
      <c r="M156" s="1586"/>
      <c r="N156" s="1103"/>
      <c r="O156" s="1103"/>
      <c r="P156" s="78"/>
      <c r="Q156" s="1103"/>
      <c r="R156" s="1586"/>
      <c r="S156" s="1586">
        <v>750522.76</v>
      </c>
      <c r="T156" s="1586"/>
      <c r="U156" s="1586"/>
      <c r="V156" s="1586"/>
      <c r="W156" s="1586">
        <v>50000</v>
      </c>
      <c r="X156" s="1588">
        <f>1400000/1000</f>
        <v>1400</v>
      </c>
      <c r="Y156" s="1561">
        <f t="shared" si="143"/>
        <v>0</v>
      </c>
      <c r="Z156" s="1586">
        <v>0</v>
      </c>
      <c r="AA156" s="1586">
        <v>0</v>
      </c>
      <c r="AB156" s="1586">
        <v>0</v>
      </c>
      <c r="AC156" s="1586">
        <v>0</v>
      </c>
      <c r="AD156" s="1586">
        <v>0</v>
      </c>
      <c r="AE156" s="1609">
        <f t="shared" si="138"/>
        <v>3.2684354342131798E-4</v>
      </c>
      <c r="AF156" s="1561">
        <f>Y156/1000</f>
        <v>0</v>
      </c>
      <c r="AG156" s="1576">
        <f t="shared" si="144"/>
        <v>710000</v>
      </c>
      <c r="AH156" s="1728">
        <v>50000</v>
      </c>
      <c r="AI156" s="1729">
        <v>160000</v>
      </c>
      <c r="AJ156" s="1729"/>
      <c r="AK156" s="1729">
        <v>500000</v>
      </c>
      <c r="AL156" s="1613">
        <f>(AF156/AF7)</f>
        <v>0</v>
      </c>
      <c r="AM156" s="1614">
        <v>0</v>
      </c>
      <c r="AN156" s="1615">
        <f t="shared" si="145"/>
        <v>1000000</v>
      </c>
      <c r="AO156" s="1729">
        <v>1000000</v>
      </c>
      <c r="AP156" s="1738">
        <f t="shared" si="146"/>
        <v>0</v>
      </c>
      <c r="AQ156" s="1728"/>
      <c r="AR156" s="1729"/>
      <c r="AS156" s="1729"/>
      <c r="AT156" s="1729"/>
      <c r="AU156" s="1616">
        <f t="shared" si="147"/>
        <v>2530522.7599999998</v>
      </c>
      <c r="AV156" s="1617">
        <f t="shared" si="140"/>
        <v>0</v>
      </c>
      <c r="AW156" s="1627">
        <f>50000/1000</f>
        <v>50</v>
      </c>
      <c r="AX156" s="1619">
        <f t="shared" si="141"/>
        <v>9.4174691371868728E-7</v>
      </c>
    </row>
    <row r="157" spans="1:50" ht="15.75" customHeight="1" x14ac:dyDescent="0.25">
      <c r="A157" s="1520"/>
      <c r="B157" s="1624"/>
      <c r="C157" s="1513"/>
      <c r="D157" s="1608"/>
      <c r="E157" s="1552"/>
      <c r="F157" s="1447"/>
      <c r="G157" s="1608"/>
      <c r="H157" s="1103"/>
      <c r="I157" s="1103"/>
      <c r="J157" s="1103"/>
      <c r="K157" s="1103"/>
      <c r="L157" s="78"/>
      <c r="M157" s="1586"/>
      <c r="N157" s="1103"/>
      <c r="O157" s="1103"/>
      <c r="P157" s="78"/>
      <c r="Q157" s="1103"/>
      <c r="R157" s="1586"/>
      <c r="S157" s="1586"/>
      <c r="T157" s="1586"/>
      <c r="U157" s="1586"/>
      <c r="V157" s="1586"/>
      <c r="W157" s="1586"/>
      <c r="X157" s="1588"/>
      <c r="Y157" s="1586"/>
      <c r="Z157" s="1586"/>
      <c r="AA157" s="1586"/>
      <c r="AB157" s="1586"/>
      <c r="AC157" s="1586"/>
      <c r="AD157" s="1586"/>
      <c r="AE157" s="1609"/>
      <c r="AF157" s="1561"/>
      <c r="AG157" s="1576"/>
      <c r="AH157" s="730"/>
      <c r="AI157" s="783"/>
      <c r="AJ157" s="1729"/>
      <c r="AK157" s="1729"/>
      <c r="AL157" s="1613"/>
      <c r="AM157" s="1614"/>
      <c r="AN157" s="1599"/>
      <c r="AO157" s="1729"/>
      <c r="AP157" s="1730"/>
      <c r="AQ157" s="1728"/>
      <c r="AR157" s="1729"/>
      <c r="AS157" s="1729"/>
      <c r="AT157" s="1729"/>
      <c r="AU157" s="1616"/>
      <c r="AV157" s="1603"/>
      <c r="AW157" s="1627"/>
      <c r="AX157" s="1592"/>
    </row>
    <row r="158" spans="1:50" ht="15.75" customHeight="1" x14ac:dyDescent="0.25">
      <c r="A158" s="1517" t="s">
        <v>235</v>
      </c>
      <c r="B158" s="2013" t="s">
        <v>236</v>
      </c>
      <c r="C158" s="2002"/>
      <c r="D158" s="1573">
        <f>SUM(D159:D160)</f>
        <v>9523624.9900000002</v>
      </c>
      <c r="E158" s="1572">
        <f>SUM(G158+Y158+AG158+AN158)</f>
        <v>9523624.9900000002</v>
      </c>
      <c r="F158" s="1495">
        <f>+X158+AF158+AM158+AW158</f>
        <v>5895</v>
      </c>
      <c r="G158" s="1573">
        <f>SUM(H158:W158)</f>
        <v>7873624.9900000002</v>
      </c>
      <c r="H158" s="1099">
        <f t="shared" ref="H158:W158" si="148">SUM(H159:H160)</f>
        <v>0</v>
      </c>
      <c r="I158" s="1099">
        <f t="shared" si="148"/>
        <v>100000</v>
      </c>
      <c r="J158" s="1099">
        <f t="shared" si="148"/>
        <v>50000</v>
      </c>
      <c r="K158" s="1099">
        <f t="shared" si="148"/>
        <v>0</v>
      </c>
      <c r="L158" s="1647">
        <f t="shared" si="148"/>
        <v>0</v>
      </c>
      <c r="M158" s="1647">
        <f t="shared" si="148"/>
        <v>241280</v>
      </c>
      <c r="N158" s="1099">
        <f t="shared" si="148"/>
        <v>0</v>
      </c>
      <c r="O158" s="1099">
        <f t="shared" si="148"/>
        <v>0</v>
      </c>
      <c r="P158" s="1647">
        <f t="shared" si="148"/>
        <v>0</v>
      </c>
      <c r="Q158" s="1099">
        <f t="shared" si="148"/>
        <v>50000</v>
      </c>
      <c r="R158" s="1647">
        <f t="shared" si="148"/>
        <v>50000</v>
      </c>
      <c r="S158" s="1647">
        <f t="shared" si="148"/>
        <v>6232344.9900000002</v>
      </c>
      <c r="T158" s="1647">
        <f t="shared" si="148"/>
        <v>250000</v>
      </c>
      <c r="U158" s="1647">
        <f t="shared" si="148"/>
        <v>0</v>
      </c>
      <c r="V158" s="1647">
        <f t="shared" si="148"/>
        <v>300000</v>
      </c>
      <c r="W158" s="1647">
        <f t="shared" si="148"/>
        <v>600000</v>
      </c>
      <c r="X158" s="1628">
        <f>+X159+X160</f>
        <v>4195</v>
      </c>
      <c r="Y158" s="1647">
        <f t="shared" ref="Y158:AD158" si="149">SUM(Y159:Y160)</f>
        <v>300000</v>
      </c>
      <c r="Z158" s="1647">
        <f t="shared" si="149"/>
        <v>200000</v>
      </c>
      <c r="AA158" s="1647">
        <f t="shared" si="149"/>
        <v>100000</v>
      </c>
      <c r="AB158" s="1647">
        <f t="shared" si="149"/>
        <v>0</v>
      </c>
      <c r="AC158" s="1647">
        <f t="shared" si="149"/>
        <v>0</v>
      </c>
      <c r="AD158" s="1647">
        <f t="shared" si="149"/>
        <v>0</v>
      </c>
      <c r="AE158" s="1575">
        <f>X158/$X$7</f>
        <v>9.7936333189459213E-4</v>
      </c>
      <c r="AF158" s="1772">
        <f>+AF159+AF160</f>
        <v>1150</v>
      </c>
      <c r="AG158" s="1576">
        <f>SUM(AG159:AG160)</f>
        <v>200000</v>
      </c>
      <c r="AH158" s="1731">
        <f>SUM(AH159:AH160)</f>
        <v>0</v>
      </c>
      <c r="AI158" s="1732">
        <f>SUM(AI159:AI160)</f>
        <v>0</v>
      </c>
      <c r="AJ158" s="1597">
        <f>SUM(AJ159:AJ160)</f>
        <v>0</v>
      </c>
      <c r="AK158" s="1597">
        <f>SUM(AK159:AK160)</f>
        <v>200000</v>
      </c>
      <c r="AL158" s="1577">
        <f>(AF158/AF7)</f>
        <v>7.6233873549365187E-4</v>
      </c>
      <c r="AM158" s="1598">
        <f>AM159+AM160</f>
        <v>0</v>
      </c>
      <c r="AN158" s="1599">
        <f t="shared" ref="AN158:AU158" si="150">SUM(AN159:AN160)</f>
        <v>1150000</v>
      </c>
      <c r="AO158" s="1600">
        <f t="shared" si="150"/>
        <v>1150000</v>
      </c>
      <c r="AP158" s="1599">
        <f t="shared" si="150"/>
        <v>0</v>
      </c>
      <c r="AQ158" s="1601">
        <f t="shared" si="150"/>
        <v>0</v>
      </c>
      <c r="AR158" s="1600">
        <f t="shared" si="150"/>
        <v>0</v>
      </c>
      <c r="AS158" s="1600">
        <f t="shared" si="150"/>
        <v>0</v>
      </c>
      <c r="AT158" s="1600">
        <f t="shared" si="150"/>
        <v>0</v>
      </c>
      <c r="AU158" s="1602">
        <f t="shared" si="150"/>
        <v>9523624.9900000002</v>
      </c>
      <c r="AV158" s="1603">
        <f>AM158/$AM$7</f>
        <v>0</v>
      </c>
      <c r="AW158" s="1631">
        <f>AW159+AW160</f>
        <v>550</v>
      </c>
      <c r="AX158" s="1592">
        <f>AW158/$AW$7</f>
        <v>1.035921605090556E-5</v>
      </c>
    </row>
    <row r="159" spans="1:50" ht="15.75" customHeight="1" x14ac:dyDescent="0.25">
      <c r="A159" s="1520" t="s">
        <v>237</v>
      </c>
      <c r="B159" s="2009" t="s">
        <v>238</v>
      </c>
      <c r="C159" s="2004"/>
      <c r="D159" s="1608">
        <f>+G159+Y159+AG159+AN159</f>
        <v>1883917.45</v>
      </c>
      <c r="E159" s="1552">
        <f>SUM(G159+Y159+AG159+AN159)</f>
        <v>1883917.45</v>
      </c>
      <c r="F159" s="1447">
        <f>+X159+AF159+AM159+AW159</f>
        <v>1725</v>
      </c>
      <c r="G159" s="1608">
        <f>SUM(H159:W159)</f>
        <v>1433917.45</v>
      </c>
      <c r="H159" s="1103"/>
      <c r="I159" s="1103"/>
      <c r="J159" s="1103"/>
      <c r="K159" s="1103"/>
      <c r="L159" s="78"/>
      <c r="M159" s="1586">
        <v>116480</v>
      </c>
      <c r="N159" s="1103"/>
      <c r="O159" s="1103"/>
      <c r="P159" s="78"/>
      <c r="Q159" s="1103"/>
      <c r="R159" s="1586"/>
      <c r="S159" s="1586">
        <v>1067437.45</v>
      </c>
      <c r="T159" s="1586"/>
      <c r="U159" s="1586"/>
      <c r="V159" s="1586"/>
      <c r="W159" s="1586">
        <v>250000</v>
      </c>
      <c r="X159" s="1588">
        <f>825000/1000</f>
        <v>825</v>
      </c>
      <c r="Y159" s="1561">
        <f>SUM(Z159:AD159)</f>
        <v>200000</v>
      </c>
      <c r="Z159" s="1586">
        <v>100000</v>
      </c>
      <c r="AA159" s="1586">
        <v>100000</v>
      </c>
      <c r="AB159" s="1586"/>
      <c r="AC159" s="1586"/>
      <c r="AD159" s="1586"/>
      <c r="AE159" s="1609">
        <f>X159/$X$7</f>
        <v>1.9260423094470526E-4</v>
      </c>
      <c r="AF159" s="1561">
        <f>700000/1000</f>
        <v>700</v>
      </c>
      <c r="AG159" s="1580">
        <f>SUM(AH159:AK159)</f>
        <v>100000</v>
      </c>
      <c r="AH159" s="1728"/>
      <c r="AI159" s="1729"/>
      <c r="AJ159" s="1729"/>
      <c r="AK159" s="1729">
        <v>100000</v>
      </c>
      <c r="AL159" s="1613">
        <f>(AF159/AF7)</f>
        <v>4.6403227377874465E-4</v>
      </c>
      <c r="AM159" s="1614">
        <f>0/1000</f>
        <v>0</v>
      </c>
      <c r="AN159" s="1615">
        <f>SUM(AO159+AP159)</f>
        <v>150000</v>
      </c>
      <c r="AO159" s="1729">
        <v>150000</v>
      </c>
      <c r="AP159" s="1738">
        <f>SUM(AQ159:AT159)</f>
        <v>0</v>
      </c>
      <c r="AQ159" s="1728"/>
      <c r="AR159" s="1729"/>
      <c r="AS159" s="1729"/>
      <c r="AT159" s="1729"/>
      <c r="AU159" s="1616">
        <f>SUM(AN159+AG159+Y159+G159)</f>
        <v>1883917.45</v>
      </c>
      <c r="AV159" s="1617">
        <f>AM159/$AM$7</f>
        <v>0</v>
      </c>
      <c r="AW159" s="1627">
        <f>200000/1000</f>
        <v>200</v>
      </c>
      <c r="AX159" s="1619">
        <f>AW159/$AW$7</f>
        <v>3.7669876548747491E-6</v>
      </c>
    </row>
    <row r="160" spans="1:50" ht="15.75" customHeight="1" x14ac:dyDescent="0.25">
      <c r="A160" s="1520" t="s">
        <v>239</v>
      </c>
      <c r="B160" s="2009" t="s">
        <v>240</v>
      </c>
      <c r="C160" s="2004"/>
      <c r="D160" s="1608">
        <f>+G160+Y160+AG160+AN160</f>
        <v>7639707.54</v>
      </c>
      <c r="E160" s="1552">
        <f>SUM(G160+Y160+AG160+AN160)</f>
        <v>7639707.54</v>
      </c>
      <c r="F160" s="1447">
        <f>+X160+AF160+AM160+AW160</f>
        <v>4170</v>
      </c>
      <c r="G160" s="1608">
        <f>SUM(H160:W160)</f>
        <v>6439707.54</v>
      </c>
      <c r="H160" s="1103">
        <v>0</v>
      </c>
      <c r="I160" s="1103">
        <v>100000</v>
      </c>
      <c r="J160" s="1103">
        <v>50000</v>
      </c>
      <c r="K160" s="1103">
        <v>0</v>
      </c>
      <c r="L160" s="78" t="s">
        <v>0</v>
      </c>
      <c r="M160" s="1586">
        <v>124800</v>
      </c>
      <c r="N160" s="1103"/>
      <c r="O160" s="1103"/>
      <c r="P160" s="78"/>
      <c r="Q160" s="1103">
        <v>50000</v>
      </c>
      <c r="R160" s="1586">
        <v>50000</v>
      </c>
      <c r="S160" s="1586">
        <v>5164907.54</v>
      </c>
      <c r="T160" s="1586">
        <v>250000</v>
      </c>
      <c r="U160" s="1586"/>
      <c r="V160" s="1586">
        <v>300000</v>
      </c>
      <c r="W160" s="1586">
        <v>350000</v>
      </c>
      <c r="X160" s="1588">
        <f>3370000/1000</f>
        <v>3370</v>
      </c>
      <c r="Y160" s="1561">
        <f>SUM(Z160:AD160)</f>
        <v>100000</v>
      </c>
      <c r="Z160" s="1586">
        <v>100000</v>
      </c>
      <c r="AA160" s="1586">
        <v>0</v>
      </c>
      <c r="AB160" s="1586"/>
      <c r="AC160" s="1586"/>
      <c r="AD160" s="1586"/>
      <c r="AE160" s="1609">
        <f>X160/$X$7</f>
        <v>7.8675910094988684E-4</v>
      </c>
      <c r="AF160" s="1561">
        <f>450000/1000</f>
        <v>450</v>
      </c>
      <c r="AG160" s="1580">
        <f>SUM(AH160:AK160)</f>
        <v>100000</v>
      </c>
      <c r="AH160" s="1728"/>
      <c r="AI160" s="1729"/>
      <c r="AJ160" s="1729"/>
      <c r="AK160" s="1729">
        <v>100000</v>
      </c>
      <c r="AL160" s="1613">
        <f>(AF160/AF7)</f>
        <v>2.9830646171490727E-4</v>
      </c>
      <c r="AM160" s="1614">
        <v>0</v>
      </c>
      <c r="AN160" s="1615">
        <f>SUM(AO160+AP160)</f>
        <v>1000000</v>
      </c>
      <c r="AO160" s="1729">
        <v>1000000</v>
      </c>
      <c r="AP160" s="1738">
        <f>SUM(AQ160:AT160)</f>
        <v>0</v>
      </c>
      <c r="AQ160" s="1728"/>
      <c r="AR160" s="1729"/>
      <c r="AS160" s="1729"/>
      <c r="AT160" s="1729"/>
      <c r="AU160" s="1616">
        <f>SUM(AN160+AG160+Y160+G160)</f>
        <v>7639707.54</v>
      </c>
      <c r="AV160" s="1617">
        <f>AM160/$AM$7</f>
        <v>0</v>
      </c>
      <c r="AW160" s="1627">
        <f>350000/1000</f>
        <v>350</v>
      </c>
      <c r="AX160" s="1619">
        <f>AW160/$AW$7</f>
        <v>6.5922283960308111E-6</v>
      </c>
    </row>
    <row r="161" spans="1:50" ht="15.75" customHeight="1" x14ac:dyDescent="0.25">
      <c r="A161" s="1520"/>
      <c r="B161" s="1624"/>
      <c r="C161" s="1513"/>
      <c r="D161" s="1608"/>
      <c r="E161" s="1552"/>
      <c r="F161" s="1447"/>
      <c r="G161" s="1608"/>
      <c r="H161" s="1103"/>
      <c r="I161" s="1103"/>
      <c r="J161" s="1103"/>
      <c r="K161" s="1103"/>
      <c r="L161" s="78"/>
      <c r="M161" s="1586"/>
      <c r="N161" s="1103"/>
      <c r="O161" s="1103"/>
      <c r="P161" s="78"/>
      <c r="Q161" s="1103"/>
      <c r="R161" s="1586"/>
      <c r="S161" s="1586"/>
      <c r="T161" s="1586"/>
      <c r="U161" s="1586"/>
      <c r="V161" s="1586"/>
      <c r="W161" s="1586"/>
      <c r="X161" s="1588"/>
      <c r="Y161" s="1586"/>
      <c r="Z161" s="1586"/>
      <c r="AA161" s="1586"/>
      <c r="AB161" s="1586"/>
      <c r="AC161" s="1586"/>
      <c r="AD161" s="1586"/>
      <c r="AE161" s="1575"/>
      <c r="AF161" s="1561"/>
      <c r="AG161" s="1580"/>
      <c r="AH161" s="1728"/>
      <c r="AI161" s="1729"/>
      <c r="AJ161" s="1729"/>
      <c r="AK161" s="1729"/>
      <c r="AL161" s="1613"/>
      <c r="AM161" s="1614"/>
      <c r="AN161" s="1599"/>
      <c r="AO161" s="1729"/>
      <c r="AP161" s="1730"/>
      <c r="AQ161" s="1728"/>
      <c r="AR161" s="1729"/>
      <c r="AS161" s="1729"/>
      <c r="AT161" s="1729"/>
      <c r="AU161" s="1616"/>
      <c r="AV161" s="1603"/>
      <c r="AW161" s="1627"/>
      <c r="AX161" s="1592"/>
    </row>
    <row r="162" spans="1:50" ht="15.75" customHeight="1" x14ac:dyDescent="0.25">
      <c r="A162" s="1517" t="s">
        <v>241</v>
      </c>
      <c r="B162" s="2013" t="s">
        <v>242</v>
      </c>
      <c r="C162" s="2016"/>
      <c r="D162" s="1573">
        <f>SUM(D163:D170)</f>
        <v>91369233.460000008</v>
      </c>
      <c r="E162" s="1572">
        <f t="shared" ref="E162:E170" si="151">SUM(G162+Y162+AG162+AN162)</f>
        <v>91369233.459999993</v>
      </c>
      <c r="F162" s="1495">
        <f t="shared" ref="F162:F170" si="152">+X162+AF162+AM162+AW162</f>
        <v>48083.834000000003</v>
      </c>
      <c r="G162" s="1573">
        <f t="shared" ref="G162:G170" si="153">SUM(H162:W162)</f>
        <v>68254233.459999993</v>
      </c>
      <c r="H162" s="1099">
        <f t="shared" ref="H162:W162" si="154">SUM(H163:H170)</f>
        <v>333200</v>
      </c>
      <c r="I162" s="1099">
        <f t="shared" si="154"/>
        <v>350000</v>
      </c>
      <c r="J162" s="1099">
        <f t="shared" si="154"/>
        <v>2800000</v>
      </c>
      <c r="K162" s="1099">
        <f t="shared" si="154"/>
        <v>4400000</v>
      </c>
      <c r="L162" s="1647">
        <f t="shared" si="154"/>
        <v>17500000</v>
      </c>
      <c r="M162" s="1647">
        <f t="shared" si="154"/>
        <v>8886138.9799999986</v>
      </c>
      <c r="N162" s="1099">
        <f t="shared" si="154"/>
        <v>1350000</v>
      </c>
      <c r="O162" s="1099">
        <f t="shared" si="154"/>
        <v>185000</v>
      </c>
      <c r="P162" s="1647">
        <f t="shared" si="154"/>
        <v>2500000</v>
      </c>
      <c r="Q162" s="1099">
        <f t="shared" si="154"/>
        <v>800000</v>
      </c>
      <c r="R162" s="1647">
        <f t="shared" si="154"/>
        <v>2070000</v>
      </c>
      <c r="S162" s="1647">
        <f t="shared" si="154"/>
        <v>10404894.479999999</v>
      </c>
      <c r="T162" s="1647">
        <f t="shared" si="154"/>
        <v>1860000</v>
      </c>
      <c r="U162" s="1647">
        <f t="shared" si="154"/>
        <v>3120000</v>
      </c>
      <c r="V162" s="1647">
        <f t="shared" si="154"/>
        <v>7460000</v>
      </c>
      <c r="W162" s="1647">
        <f t="shared" si="154"/>
        <v>4235000</v>
      </c>
      <c r="X162" s="1628">
        <f>+X163+X164+X165+X166+X167+X168+X169+X170</f>
        <v>21648.082999999999</v>
      </c>
      <c r="Y162" s="1647">
        <f t="shared" ref="Y162:AD162" si="155">SUM(Y163:Y170)</f>
        <v>5130000</v>
      </c>
      <c r="Z162" s="1647">
        <f t="shared" si="155"/>
        <v>1150000</v>
      </c>
      <c r="AA162" s="1647">
        <f t="shared" si="155"/>
        <v>995000</v>
      </c>
      <c r="AB162" s="1647">
        <f t="shared" si="155"/>
        <v>995000</v>
      </c>
      <c r="AC162" s="1647">
        <f t="shared" si="155"/>
        <v>995000</v>
      </c>
      <c r="AD162" s="1647">
        <f t="shared" si="155"/>
        <v>995000</v>
      </c>
      <c r="AE162" s="1575">
        <f t="shared" ref="AE162:AE170" si="156">X162/$X$7</f>
        <v>5.0539543971419966E-3</v>
      </c>
      <c r="AF162" s="1772">
        <f>+AF163+AF164+AF165+AF166+AF167+AF168+AF169+AF170</f>
        <v>14264.974</v>
      </c>
      <c r="AG162" s="1576">
        <f>SUM(AG163:AG170)</f>
        <v>5785000</v>
      </c>
      <c r="AH162" s="1689">
        <f>SUM(AH163:AH170)</f>
        <v>1275000</v>
      </c>
      <c r="AI162" s="1597">
        <f>SUM(AI163:AI170)</f>
        <v>2600000</v>
      </c>
      <c r="AJ162" s="1597">
        <f>SUM(AJ163:AJ170)</f>
        <v>410000</v>
      </c>
      <c r="AK162" s="1597">
        <f>SUM(AK163:AK170)</f>
        <v>1500000</v>
      </c>
      <c r="AL162" s="1577">
        <f>(AF162/AF7)</f>
        <v>9.4562976008781049E-3</v>
      </c>
      <c r="AM162" s="1598">
        <f>+AM163+AM164+AM165+AM166+AM167+AM168+AM169+AM170</f>
        <v>1180.777</v>
      </c>
      <c r="AN162" s="1599">
        <f t="shared" ref="AN162:AU162" si="157">SUM(AN163:AN170)</f>
        <v>12200000</v>
      </c>
      <c r="AO162" s="1600">
        <f t="shared" si="157"/>
        <v>8050000</v>
      </c>
      <c r="AP162" s="1599">
        <f t="shared" si="157"/>
        <v>4150000</v>
      </c>
      <c r="AQ162" s="1601">
        <f t="shared" si="157"/>
        <v>4150000</v>
      </c>
      <c r="AR162" s="1600">
        <f t="shared" si="157"/>
        <v>0</v>
      </c>
      <c r="AS162" s="1600">
        <f t="shared" si="157"/>
        <v>0</v>
      </c>
      <c r="AT162" s="1600">
        <f t="shared" si="157"/>
        <v>0</v>
      </c>
      <c r="AU162" s="1602">
        <f t="shared" si="157"/>
        <v>91369233.460000008</v>
      </c>
      <c r="AV162" s="1603">
        <f t="shared" ref="AV162:AV170" si="158">AM162/$AM$7</f>
        <v>1.9104547767249345E-4</v>
      </c>
      <c r="AW162" s="1631">
        <f>+AW163+AW164+AW165+AW166+AW167+AW168+AW169+AW170</f>
        <v>10990</v>
      </c>
      <c r="AX162" s="1592">
        <f t="shared" ref="AX162:AX170" si="159">AW162/$AW$7</f>
        <v>2.0699597163536745E-4</v>
      </c>
    </row>
    <row r="163" spans="1:50" ht="15.75" customHeight="1" x14ac:dyDescent="0.25">
      <c r="A163" s="1520" t="s">
        <v>243</v>
      </c>
      <c r="B163" s="2009" t="s">
        <v>244</v>
      </c>
      <c r="C163" s="2004"/>
      <c r="D163" s="1608">
        <f t="shared" ref="D163:D170" si="160">+G163+Y163+AG163+AN163</f>
        <v>23297668.579999998</v>
      </c>
      <c r="E163" s="1552">
        <f t="shared" si="151"/>
        <v>23297668.579999998</v>
      </c>
      <c r="F163" s="1447">
        <f t="shared" si="152"/>
        <v>10097.687</v>
      </c>
      <c r="G163" s="1608">
        <f t="shared" si="153"/>
        <v>15347668.58</v>
      </c>
      <c r="H163" s="1103">
        <v>85000</v>
      </c>
      <c r="I163" s="1103">
        <v>150000</v>
      </c>
      <c r="J163" s="1103">
        <v>350000</v>
      </c>
      <c r="K163" s="1103">
        <v>200000</v>
      </c>
      <c r="L163" s="78">
        <v>4000000</v>
      </c>
      <c r="M163" s="1586">
        <v>3962695.78</v>
      </c>
      <c r="N163" s="1103">
        <f>250000</f>
        <v>250000</v>
      </c>
      <c r="O163" s="1103">
        <v>85000</v>
      </c>
      <c r="P163" s="78">
        <v>1500000</v>
      </c>
      <c r="Q163" s="1103">
        <v>300000</v>
      </c>
      <c r="R163" s="1586">
        <v>500000</v>
      </c>
      <c r="S163" s="1586">
        <v>224972.79999999999</v>
      </c>
      <c r="T163" s="1586">
        <v>500000</v>
      </c>
      <c r="U163" s="1586">
        <v>1040000</v>
      </c>
      <c r="V163" s="1586">
        <v>2100000</v>
      </c>
      <c r="W163" s="1586">
        <v>100000</v>
      </c>
      <c r="X163" s="1588">
        <f>4297160/1000</f>
        <v>4297.16</v>
      </c>
      <c r="Y163" s="1561">
        <f t="shared" ref="Y163:Y170" si="161">SUM(Z163:AD163)</f>
        <v>2330000</v>
      </c>
      <c r="Z163" s="1586">
        <v>250000</v>
      </c>
      <c r="AA163" s="1586">
        <v>520000</v>
      </c>
      <c r="AB163" s="1586">
        <v>520000</v>
      </c>
      <c r="AC163" s="1586">
        <v>520000</v>
      </c>
      <c r="AD163" s="1586">
        <v>520000</v>
      </c>
      <c r="AE163" s="1609">
        <f t="shared" si="156"/>
        <v>1.0032135721773933E-3</v>
      </c>
      <c r="AF163" s="1561">
        <f>1401802/1000</f>
        <v>1401.8019999999999</v>
      </c>
      <c r="AG163" s="1576">
        <f t="shared" ref="AG163:AG170" si="162">SUM(AH163:AK163)</f>
        <v>2120000</v>
      </c>
      <c r="AH163" s="1728">
        <v>500000</v>
      </c>
      <c r="AI163" s="1729">
        <v>1000000</v>
      </c>
      <c r="AJ163" s="1729">
        <v>120000</v>
      </c>
      <c r="AK163" s="1729">
        <v>500000</v>
      </c>
      <c r="AL163" s="1613">
        <f>(AF163/AF7)</f>
        <v>9.2925909921084536E-4</v>
      </c>
      <c r="AM163" s="1614">
        <f>453725/1000</f>
        <v>453.72500000000002</v>
      </c>
      <c r="AN163" s="1615">
        <f t="shared" ref="AN163:AN170" si="163">SUM(AO163+AP163)</f>
        <v>3500000</v>
      </c>
      <c r="AO163" s="1729">
        <v>2000000</v>
      </c>
      <c r="AP163" s="1738">
        <f t="shared" ref="AP163:AP170" si="164">SUM(AQ163:AT163)</f>
        <v>1500000</v>
      </c>
      <c r="AQ163" s="1728">
        <v>1500000</v>
      </c>
      <c r="AR163" s="1729"/>
      <c r="AS163" s="1729"/>
      <c r="AT163" s="1729"/>
      <c r="AU163" s="1616">
        <f t="shared" ref="AU163:AU170" si="165">SUM(AN163+AG163+Y163+G163)</f>
        <v>23297668.579999998</v>
      </c>
      <c r="AV163" s="1617">
        <f t="shared" si="158"/>
        <v>7.3411075382525314E-5</v>
      </c>
      <c r="AW163" s="1627">
        <f>3945000/1000</f>
        <v>3945</v>
      </c>
      <c r="AX163" s="1619">
        <f t="shared" si="159"/>
        <v>7.4303831492404426E-5</v>
      </c>
    </row>
    <row r="164" spans="1:50" ht="15.75" customHeight="1" x14ac:dyDescent="0.25">
      <c r="A164" s="1520" t="s">
        <v>469</v>
      </c>
      <c r="B164" s="1624" t="s">
        <v>470</v>
      </c>
      <c r="C164" s="1513"/>
      <c r="D164" s="1608">
        <f t="shared" si="160"/>
        <v>100000</v>
      </c>
      <c r="E164" s="1552">
        <f t="shared" si="151"/>
        <v>100000</v>
      </c>
      <c r="F164" s="1447">
        <f t="shared" si="152"/>
        <v>150</v>
      </c>
      <c r="G164" s="1608">
        <f t="shared" si="153"/>
        <v>100000</v>
      </c>
      <c r="H164" s="1103"/>
      <c r="I164" s="1103"/>
      <c r="J164" s="1103"/>
      <c r="K164" s="1103"/>
      <c r="L164" s="78"/>
      <c r="M164" s="1586"/>
      <c r="N164" s="1103"/>
      <c r="O164" s="1103"/>
      <c r="P164" s="78"/>
      <c r="Q164" s="1103"/>
      <c r="R164" s="1586"/>
      <c r="S164" s="1586"/>
      <c r="T164" s="1586">
        <v>100000</v>
      </c>
      <c r="U164" s="1586"/>
      <c r="V164" s="1586"/>
      <c r="W164" s="1586"/>
      <c r="X164" s="1588">
        <f>150000/1000</f>
        <v>150</v>
      </c>
      <c r="Y164" s="1561">
        <f t="shared" si="161"/>
        <v>0</v>
      </c>
      <c r="Z164" s="1586"/>
      <c r="AA164" s="1586"/>
      <c r="AB164" s="1586"/>
      <c r="AC164" s="1586"/>
      <c r="AD164" s="1586"/>
      <c r="AE164" s="1609">
        <f t="shared" si="156"/>
        <v>3.5018951080855499E-5</v>
      </c>
      <c r="AF164" s="1561">
        <v>0</v>
      </c>
      <c r="AG164" s="1576">
        <f t="shared" si="162"/>
        <v>0</v>
      </c>
      <c r="AH164" s="1611"/>
      <c r="AI164" s="1612"/>
      <c r="AJ164" s="1612"/>
      <c r="AK164" s="1612"/>
      <c r="AL164" s="1613">
        <f>(AF164/AF7)</f>
        <v>0</v>
      </c>
      <c r="AM164" s="1614">
        <v>0</v>
      </c>
      <c r="AN164" s="1615">
        <f t="shared" si="163"/>
        <v>0</v>
      </c>
      <c r="AO164" s="1612"/>
      <c r="AP164" s="1738">
        <f t="shared" si="164"/>
        <v>0</v>
      </c>
      <c r="AQ164" s="1611"/>
      <c r="AR164" s="1612"/>
      <c r="AS164" s="1612"/>
      <c r="AT164" s="1612"/>
      <c r="AU164" s="1616">
        <f t="shared" si="165"/>
        <v>100000</v>
      </c>
      <c r="AV164" s="1617">
        <f t="shared" si="158"/>
        <v>0</v>
      </c>
      <c r="AW164" s="1627">
        <v>0</v>
      </c>
      <c r="AX164" s="1619">
        <f t="shared" si="159"/>
        <v>0</v>
      </c>
    </row>
    <row r="165" spans="1:50" ht="15.75" customHeight="1" x14ac:dyDescent="0.25">
      <c r="A165" s="1520" t="s">
        <v>245</v>
      </c>
      <c r="B165" s="2009" t="s">
        <v>246</v>
      </c>
      <c r="C165" s="2004"/>
      <c r="D165" s="1608">
        <f t="shared" si="160"/>
        <v>37959456</v>
      </c>
      <c r="E165" s="1552">
        <f t="shared" si="151"/>
        <v>37959456</v>
      </c>
      <c r="F165" s="1447">
        <f t="shared" si="152"/>
        <v>17145.046999999999</v>
      </c>
      <c r="G165" s="1608">
        <f t="shared" si="153"/>
        <v>25659456</v>
      </c>
      <c r="H165" s="1103">
        <v>150000</v>
      </c>
      <c r="I165" s="1103">
        <v>200000</v>
      </c>
      <c r="J165" s="1103">
        <v>2450000</v>
      </c>
      <c r="K165" s="1103">
        <v>1500000</v>
      </c>
      <c r="L165" s="78"/>
      <c r="M165" s="1586">
        <v>4499456</v>
      </c>
      <c r="N165" s="1103">
        <f>1000000</f>
        <v>1000000</v>
      </c>
      <c r="O165" s="1103">
        <v>100000</v>
      </c>
      <c r="P165" s="78">
        <v>1000000</v>
      </c>
      <c r="Q165" s="1103">
        <v>500000</v>
      </c>
      <c r="R165" s="1586">
        <v>1000000</v>
      </c>
      <c r="S165" s="1586">
        <v>4000000</v>
      </c>
      <c r="T165" s="1586">
        <v>500000</v>
      </c>
      <c r="U165" s="1586">
        <v>260000</v>
      </c>
      <c r="V165" s="1586">
        <v>4500000</v>
      </c>
      <c r="W165" s="1586">
        <v>4000000</v>
      </c>
      <c r="X165" s="1588">
        <f>8599823/1000</f>
        <v>8599.8230000000003</v>
      </c>
      <c r="Y165" s="1561">
        <f t="shared" si="161"/>
        <v>2000000</v>
      </c>
      <c r="Z165" s="1586">
        <v>500000</v>
      </c>
      <c r="AA165" s="1586">
        <v>375000</v>
      </c>
      <c r="AB165" s="1586">
        <v>375000</v>
      </c>
      <c r="AC165" s="1586">
        <v>375000</v>
      </c>
      <c r="AD165" s="1586">
        <v>375000</v>
      </c>
      <c r="AE165" s="1609">
        <f t="shared" si="156"/>
        <v>2.0077118729401066E-3</v>
      </c>
      <c r="AF165" s="1561">
        <f>1538172/1000</f>
        <v>1538.172</v>
      </c>
      <c r="AG165" s="1576">
        <f t="shared" si="162"/>
        <v>2550000</v>
      </c>
      <c r="AH165" s="1642">
        <v>250000</v>
      </c>
      <c r="AI165" s="1590">
        <v>1500000</v>
      </c>
      <c r="AJ165" s="1590">
        <v>200000</v>
      </c>
      <c r="AK165" s="1590">
        <v>600000</v>
      </c>
      <c r="AL165" s="1613">
        <f>(AF165/AF7)</f>
        <v>1.0196592151754274E-3</v>
      </c>
      <c r="AM165" s="1614">
        <f>707052/1000</f>
        <v>707.05200000000002</v>
      </c>
      <c r="AN165" s="1615">
        <f t="shared" si="163"/>
        <v>7750000</v>
      </c>
      <c r="AO165" s="1590">
        <v>5500000</v>
      </c>
      <c r="AP165" s="1738">
        <f t="shared" si="164"/>
        <v>2250000</v>
      </c>
      <c r="AQ165" s="1642">
        <v>2250000</v>
      </c>
      <c r="AR165" s="1590"/>
      <c r="AS165" s="1590"/>
      <c r="AT165" s="1590"/>
      <c r="AU165" s="1616">
        <f t="shared" si="165"/>
        <v>37959456</v>
      </c>
      <c r="AV165" s="1617">
        <f t="shared" si="158"/>
        <v>1.1439847412279528E-4</v>
      </c>
      <c r="AW165" s="1627">
        <f>6300000/1000</f>
        <v>6300</v>
      </c>
      <c r="AX165" s="1619">
        <f t="shared" si="159"/>
        <v>1.1866011112855459E-4</v>
      </c>
    </row>
    <row r="166" spans="1:50" ht="15.75" customHeight="1" x14ac:dyDescent="0.25">
      <c r="A166" s="1773" t="s">
        <v>247</v>
      </c>
      <c r="B166" s="2009" t="s">
        <v>248</v>
      </c>
      <c r="C166" s="2017"/>
      <c r="D166" s="1608">
        <f t="shared" si="160"/>
        <v>6629944.5300000003</v>
      </c>
      <c r="E166" s="1552">
        <f t="shared" si="151"/>
        <v>6629944.5300000003</v>
      </c>
      <c r="F166" s="1447">
        <f t="shared" si="152"/>
        <v>10170</v>
      </c>
      <c r="G166" s="1608">
        <f t="shared" si="153"/>
        <v>6469944.5300000003</v>
      </c>
      <c r="H166" s="1103">
        <v>83200</v>
      </c>
      <c r="I166" s="1103"/>
      <c r="J166" s="1103"/>
      <c r="K166" s="1103">
        <v>1000000</v>
      </c>
      <c r="L166" s="78">
        <v>2000000</v>
      </c>
      <c r="M166" s="1586">
        <v>270400</v>
      </c>
      <c r="N166" s="1103"/>
      <c r="O166" s="1103"/>
      <c r="P166" s="78"/>
      <c r="Q166" s="1103"/>
      <c r="R166" s="1586">
        <v>500000</v>
      </c>
      <c r="S166" s="1586">
        <v>1451344.53</v>
      </c>
      <c r="T166" s="1586">
        <v>25000</v>
      </c>
      <c r="U166" s="1586">
        <v>1040000</v>
      </c>
      <c r="V166" s="1586">
        <v>50000</v>
      </c>
      <c r="W166" s="1586">
        <v>50000</v>
      </c>
      <c r="X166" s="1588">
        <f>850000/1000</f>
        <v>850</v>
      </c>
      <c r="Y166" s="1561">
        <f t="shared" si="161"/>
        <v>0</v>
      </c>
      <c r="Z166" s="1586"/>
      <c r="AA166" s="1586"/>
      <c r="AB166" s="1586"/>
      <c r="AC166" s="1586"/>
      <c r="AD166" s="1586"/>
      <c r="AE166" s="1609">
        <f t="shared" si="156"/>
        <v>1.984407227915145E-4</v>
      </c>
      <c r="AF166" s="1561">
        <f>9200000/1000</f>
        <v>9200</v>
      </c>
      <c r="AG166" s="1576">
        <f t="shared" si="162"/>
        <v>160000</v>
      </c>
      <c r="AH166" s="1611"/>
      <c r="AI166" s="1612"/>
      <c r="AJ166" s="1612">
        <v>60000</v>
      </c>
      <c r="AK166" s="1612">
        <v>100000</v>
      </c>
      <c r="AL166" s="1613">
        <f>(AF166/AF7)</f>
        <v>6.0987098839492149E-3</v>
      </c>
      <c r="AM166" s="1614">
        <v>0</v>
      </c>
      <c r="AN166" s="1615">
        <f t="shared" si="163"/>
        <v>0</v>
      </c>
      <c r="AO166" s="1612"/>
      <c r="AP166" s="1738">
        <f t="shared" si="164"/>
        <v>0</v>
      </c>
      <c r="AQ166" s="1611"/>
      <c r="AR166" s="1612"/>
      <c r="AS166" s="1612"/>
      <c r="AT166" s="1612"/>
      <c r="AU166" s="1616">
        <f t="shared" si="165"/>
        <v>6629944.5300000003</v>
      </c>
      <c r="AV166" s="1617">
        <f t="shared" si="158"/>
        <v>0</v>
      </c>
      <c r="AW166" s="1627">
        <f>120000/1000</f>
        <v>120</v>
      </c>
      <c r="AX166" s="1619">
        <f t="shared" si="159"/>
        <v>2.2601925929248496E-6</v>
      </c>
    </row>
    <row r="167" spans="1:50" ht="15.75" customHeight="1" x14ac:dyDescent="0.25">
      <c r="A167" s="1773" t="s">
        <v>249</v>
      </c>
      <c r="B167" s="2009" t="s">
        <v>250</v>
      </c>
      <c r="C167" s="2017"/>
      <c r="D167" s="1608">
        <f t="shared" si="160"/>
        <v>3658587.2</v>
      </c>
      <c r="E167" s="1552">
        <f t="shared" si="151"/>
        <v>3658587.2</v>
      </c>
      <c r="F167" s="1447">
        <f t="shared" si="152"/>
        <v>3582.6</v>
      </c>
      <c r="G167" s="1608">
        <f t="shared" si="153"/>
        <v>3553587.2000000002</v>
      </c>
      <c r="H167" s="1103">
        <v>15000</v>
      </c>
      <c r="I167" s="1103"/>
      <c r="J167" s="1103"/>
      <c r="K167" s="1103">
        <v>200000</v>
      </c>
      <c r="L167" s="78"/>
      <c r="M167" s="1586">
        <v>153587.20000000001</v>
      </c>
      <c r="N167" s="1103">
        <f>100000</f>
        <v>100000</v>
      </c>
      <c r="O167" s="1103"/>
      <c r="P167" s="78"/>
      <c r="Q167" s="1103"/>
      <c r="R167" s="1586">
        <v>50000</v>
      </c>
      <c r="S167" s="1586">
        <v>2600000</v>
      </c>
      <c r="T167" s="1586">
        <v>25000</v>
      </c>
      <c r="U167" s="1586">
        <v>260000</v>
      </c>
      <c r="V167" s="1586">
        <v>100000</v>
      </c>
      <c r="W167" s="1586">
        <v>50000</v>
      </c>
      <c r="X167" s="1588">
        <f>3562600/1000</f>
        <v>3562.6</v>
      </c>
      <c r="Y167" s="1561">
        <f t="shared" si="161"/>
        <v>50000</v>
      </c>
      <c r="Z167" s="1586">
        <v>50000</v>
      </c>
      <c r="AA167" s="1586"/>
      <c r="AB167" s="1586"/>
      <c r="AC167" s="1586"/>
      <c r="AD167" s="1586"/>
      <c r="AE167" s="1609">
        <f t="shared" si="156"/>
        <v>8.3172343413770531E-4</v>
      </c>
      <c r="AF167" s="1561">
        <v>0</v>
      </c>
      <c r="AG167" s="1576">
        <f t="shared" si="162"/>
        <v>55000</v>
      </c>
      <c r="AH167" s="1692">
        <v>25000</v>
      </c>
      <c r="AI167" s="1637"/>
      <c r="AJ167" s="1637">
        <v>30000</v>
      </c>
      <c r="AK167" s="1637"/>
      <c r="AL167" s="1613">
        <f>(AF167/AF7)</f>
        <v>0</v>
      </c>
      <c r="AM167" s="1614">
        <f>20000/1000</f>
        <v>20</v>
      </c>
      <c r="AN167" s="1615">
        <f t="shared" si="163"/>
        <v>0</v>
      </c>
      <c r="AO167" s="1637"/>
      <c r="AP167" s="1738">
        <f t="shared" si="164"/>
        <v>0</v>
      </c>
      <c r="AQ167" s="1692"/>
      <c r="AR167" s="1637"/>
      <c r="AS167" s="1637"/>
      <c r="AT167" s="1637"/>
      <c r="AU167" s="1616">
        <f t="shared" si="165"/>
        <v>3658587.2</v>
      </c>
      <c r="AV167" s="1617">
        <f t="shared" si="158"/>
        <v>3.2359281671728604E-6</v>
      </c>
      <c r="AW167" s="1627">
        <v>0</v>
      </c>
      <c r="AX167" s="1619">
        <f t="shared" si="159"/>
        <v>0</v>
      </c>
    </row>
    <row r="168" spans="1:50" ht="15.75" customHeight="1" x14ac:dyDescent="0.25">
      <c r="A168" s="1773" t="s">
        <v>251</v>
      </c>
      <c r="B168" s="2009" t="s">
        <v>252</v>
      </c>
      <c r="C168" s="2017"/>
      <c r="D168" s="1608">
        <f t="shared" si="160"/>
        <v>13833244.109999999</v>
      </c>
      <c r="E168" s="1552">
        <f t="shared" si="151"/>
        <v>13833244.109999999</v>
      </c>
      <c r="F168" s="1447">
        <f t="shared" si="152"/>
        <v>3500</v>
      </c>
      <c r="G168" s="1608">
        <f t="shared" si="153"/>
        <v>13833244.109999999</v>
      </c>
      <c r="H168" s="1103"/>
      <c r="I168" s="1103"/>
      <c r="J168" s="1103"/>
      <c r="K168" s="1103"/>
      <c r="L168" s="78">
        <v>11500000</v>
      </c>
      <c r="M168" s="1586"/>
      <c r="N168" s="1103"/>
      <c r="O168" s="1103"/>
      <c r="P168" s="78"/>
      <c r="Q168" s="1103"/>
      <c r="R168" s="1586"/>
      <c r="S168" s="1586">
        <v>1833244.11</v>
      </c>
      <c r="T168" s="1586"/>
      <c r="U168" s="1586"/>
      <c r="V168" s="1586">
        <v>500000</v>
      </c>
      <c r="W168" s="1586"/>
      <c r="X168" s="1588">
        <f>3500000/1000</f>
        <v>3500</v>
      </c>
      <c r="Y168" s="1561">
        <f t="shared" si="161"/>
        <v>0</v>
      </c>
      <c r="Z168" s="1586"/>
      <c r="AA168" s="1586"/>
      <c r="AB168" s="1586"/>
      <c r="AC168" s="1586"/>
      <c r="AD168" s="1586"/>
      <c r="AE168" s="1609">
        <f t="shared" si="156"/>
        <v>8.1710885855329496E-4</v>
      </c>
      <c r="AF168" s="1561">
        <v>0</v>
      </c>
      <c r="AG168" s="1576">
        <f t="shared" si="162"/>
        <v>0</v>
      </c>
      <c r="AH168" s="1611"/>
      <c r="AI168" s="1612"/>
      <c r="AJ168" s="1612"/>
      <c r="AK168" s="1612"/>
      <c r="AL168" s="1613">
        <f>(AF168/AF7)</f>
        <v>0</v>
      </c>
      <c r="AM168" s="1614">
        <v>0</v>
      </c>
      <c r="AN168" s="1615">
        <f t="shared" si="163"/>
        <v>0</v>
      </c>
      <c r="AO168" s="1612"/>
      <c r="AP168" s="1738">
        <f t="shared" si="164"/>
        <v>0</v>
      </c>
      <c r="AQ168" s="1611"/>
      <c r="AR168" s="1612"/>
      <c r="AS168" s="1612"/>
      <c r="AT168" s="1612"/>
      <c r="AU168" s="1616">
        <f t="shared" si="165"/>
        <v>13833244.109999999</v>
      </c>
      <c r="AV168" s="1617">
        <f t="shared" si="158"/>
        <v>0</v>
      </c>
      <c r="AW168" s="1627">
        <v>0</v>
      </c>
      <c r="AX168" s="1619">
        <f t="shared" si="159"/>
        <v>0</v>
      </c>
    </row>
    <row r="169" spans="1:50" ht="15.75" customHeight="1" x14ac:dyDescent="0.25">
      <c r="A169" s="1773" t="s">
        <v>253</v>
      </c>
      <c r="B169" s="2018" t="s">
        <v>254</v>
      </c>
      <c r="C169" s="2021"/>
      <c r="D169" s="1608">
        <f t="shared" si="160"/>
        <v>1662497.28</v>
      </c>
      <c r="E169" s="1552">
        <f t="shared" si="151"/>
        <v>1662497.28</v>
      </c>
      <c r="F169" s="1447">
        <f t="shared" si="152"/>
        <v>363.5</v>
      </c>
      <c r="G169" s="1608">
        <f t="shared" si="153"/>
        <v>1562497.28</v>
      </c>
      <c r="H169" s="1103">
        <v>0</v>
      </c>
      <c r="I169" s="1103"/>
      <c r="J169" s="1103"/>
      <c r="K169" s="1103">
        <v>1500000</v>
      </c>
      <c r="L169" s="78"/>
      <c r="M169" s="1586"/>
      <c r="N169" s="1103"/>
      <c r="O169" s="1103"/>
      <c r="P169" s="78"/>
      <c r="Q169" s="1103"/>
      <c r="R169" s="1586">
        <v>10000</v>
      </c>
      <c r="S169" s="1586">
        <v>22497.279999999999</v>
      </c>
      <c r="T169" s="1586">
        <v>10000</v>
      </c>
      <c r="U169" s="1586"/>
      <c r="V169" s="1586">
        <v>10000</v>
      </c>
      <c r="W169" s="1586">
        <v>10000</v>
      </c>
      <c r="X169" s="1588">
        <f>338500/1000</f>
        <v>338.5</v>
      </c>
      <c r="Y169" s="1561">
        <f t="shared" si="161"/>
        <v>100000</v>
      </c>
      <c r="Z169" s="1586">
        <v>100000</v>
      </c>
      <c r="AA169" s="1586"/>
      <c r="AB169" s="1586"/>
      <c r="AC169" s="1586"/>
      <c r="AD169" s="1586"/>
      <c r="AE169" s="1609">
        <f t="shared" si="156"/>
        <v>7.9026099605797242E-5</v>
      </c>
      <c r="AF169" s="1561">
        <f>25000/1000</f>
        <v>25</v>
      </c>
      <c r="AG169" s="1576">
        <f t="shared" si="162"/>
        <v>0</v>
      </c>
      <c r="AH169" s="1774"/>
      <c r="AI169" s="1774"/>
      <c r="AJ169" s="1774"/>
      <c r="AK169" s="1774"/>
      <c r="AL169" s="1613">
        <f>(AF169/AF7)</f>
        <v>1.6572581206383737E-5</v>
      </c>
      <c r="AM169" s="1614">
        <v>0</v>
      </c>
      <c r="AN169" s="1615">
        <f t="shared" si="163"/>
        <v>0</v>
      </c>
      <c r="AO169" s="1774"/>
      <c r="AP169" s="1738">
        <f t="shared" si="164"/>
        <v>0</v>
      </c>
      <c r="AQ169" s="1774"/>
      <c r="AR169" s="1774"/>
      <c r="AS169" s="1774"/>
      <c r="AT169" s="1774"/>
      <c r="AU169" s="1616">
        <f t="shared" si="165"/>
        <v>1662497.28</v>
      </c>
      <c r="AV169" s="1617">
        <f t="shared" si="158"/>
        <v>0</v>
      </c>
      <c r="AW169" s="1627">
        <f>0/1000</f>
        <v>0</v>
      </c>
      <c r="AX169" s="1619">
        <f t="shared" si="159"/>
        <v>0</v>
      </c>
    </row>
    <row r="170" spans="1:50" ht="15.75" customHeight="1" x14ac:dyDescent="0.25">
      <c r="A170" s="1773" t="s">
        <v>255</v>
      </c>
      <c r="B170" s="2009" t="s">
        <v>256</v>
      </c>
      <c r="C170" s="2017"/>
      <c r="D170" s="1608">
        <f t="shared" si="160"/>
        <v>4227835.76</v>
      </c>
      <c r="E170" s="1552">
        <f t="shared" si="151"/>
        <v>4227835.76</v>
      </c>
      <c r="F170" s="1447">
        <f t="shared" si="152"/>
        <v>3075</v>
      </c>
      <c r="G170" s="1608">
        <f t="shared" si="153"/>
        <v>1727835.76</v>
      </c>
      <c r="H170" s="1103"/>
      <c r="I170" s="1103">
        <v>0</v>
      </c>
      <c r="J170" s="1103">
        <v>0</v>
      </c>
      <c r="K170" s="1103">
        <v>0</v>
      </c>
      <c r="L170" s="78">
        <v>0</v>
      </c>
      <c r="M170" s="1586">
        <v>0</v>
      </c>
      <c r="N170" s="1103"/>
      <c r="O170" s="1103">
        <v>0</v>
      </c>
      <c r="P170" s="78">
        <v>0</v>
      </c>
      <c r="Q170" s="1103">
        <v>0</v>
      </c>
      <c r="R170" s="1586">
        <v>10000</v>
      </c>
      <c r="S170" s="1586">
        <v>272835.76</v>
      </c>
      <c r="T170" s="1586">
        <v>700000</v>
      </c>
      <c r="U170" s="1586">
        <v>520000</v>
      </c>
      <c r="V170" s="1586">
        <v>200000</v>
      </c>
      <c r="W170" s="1586">
        <v>25000</v>
      </c>
      <c r="X170" s="1588">
        <f>350000/1000</f>
        <v>350</v>
      </c>
      <c r="Y170" s="1561">
        <f t="shared" si="161"/>
        <v>650000</v>
      </c>
      <c r="Z170" s="1586">
        <v>250000</v>
      </c>
      <c r="AA170" s="1586">
        <v>100000</v>
      </c>
      <c r="AB170" s="1586">
        <v>100000</v>
      </c>
      <c r="AC170" s="1586">
        <v>100000</v>
      </c>
      <c r="AD170" s="1586">
        <v>100000</v>
      </c>
      <c r="AE170" s="1609">
        <f t="shared" si="156"/>
        <v>8.1710885855329496E-5</v>
      </c>
      <c r="AF170" s="1561">
        <f>2100000/1000</f>
        <v>2100</v>
      </c>
      <c r="AG170" s="1576">
        <f t="shared" si="162"/>
        <v>900000</v>
      </c>
      <c r="AH170" s="1611">
        <v>500000</v>
      </c>
      <c r="AI170" s="1612">
        <v>100000</v>
      </c>
      <c r="AJ170" s="1612"/>
      <c r="AK170" s="1612">
        <v>300000</v>
      </c>
      <c r="AL170" s="1613">
        <f>(AF170/AF7)</f>
        <v>1.3920968213362338E-3</v>
      </c>
      <c r="AM170" s="1614">
        <v>0</v>
      </c>
      <c r="AN170" s="1615">
        <f t="shared" si="163"/>
        <v>950000</v>
      </c>
      <c r="AO170" s="1612">
        <v>550000</v>
      </c>
      <c r="AP170" s="1738">
        <f t="shared" si="164"/>
        <v>400000</v>
      </c>
      <c r="AQ170" s="1611">
        <v>400000</v>
      </c>
      <c r="AR170" s="1612"/>
      <c r="AS170" s="1612"/>
      <c r="AT170" s="1612"/>
      <c r="AU170" s="1616">
        <f t="shared" si="165"/>
        <v>4227835.76</v>
      </c>
      <c r="AV170" s="1617">
        <f t="shared" si="158"/>
        <v>0</v>
      </c>
      <c r="AW170" s="1627">
        <f>625000/1000</f>
        <v>625</v>
      </c>
      <c r="AX170" s="1619">
        <f t="shared" si="159"/>
        <v>1.1771836421483591E-5</v>
      </c>
    </row>
    <row r="171" spans="1:50" ht="15.75" customHeight="1" x14ac:dyDescent="0.25">
      <c r="A171" s="1773"/>
      <c r="B171" s="1624"/>
      <c r="C171" s="1775"/>
      <c r="D171" s="1608"/>
      <c r="E171" s="1552"/>
      <c r="F171" s="1447"/>
      <c r="G171" s="1608"/>
      <c r="H171" s="1103"/>
      <c r="I171" s="1103"/>
      <c r="J171" s="1103"/>
      <c r="K171" s="1103"/>
      <c r="L171" s="78"/>
      <c r="M171" s="1586"/>
      <c r="N171" s="1103"/>
      <c r="O171" s="1103"/>
      <c r="P171" s="78"/>
      <c r="Q171" s="1103"/>
      <c r="R171" s="1586"/>
      <c r="S171" s="1586"/>
      <c r="T171" s="1586"/>
      <c r="U171" s="1586"/>
      <c r="V171" s="1586"/>
      <c r="W171" s="1586"/>
      <c r="X171" s="1588"/>
      <c r="Y171" s="1586"/>
      <c r="Z171" s="1586"/>
      <c r="AA171" s="1586"/>
      <c r="AB171" s="1586"/>
      <c r="AC171" s="1586"/>
      <c r="AD171" s="1586"/>
      <c r="AE171" s="1609"/>
      <c r="AF171" s="1561"/>
      <c r="AG171" s="1580"/>
      <c r="AH171" s="1611"/>
      <c r="AI171" s="1612"/>
      <c r="AJ171" s="1612"/>
      <c r="AK171" s="1612"/>
      <c r="AL171" s="1613"/>
      <c r="AM171" s="1614"/>
      <c r="AN171" s="1599"/>
      <c r="AO171" s="1651"/>
      <c r="AP171" s="1701"/>
      <c r="AQ171" s="1650"/>
      <c r="AR171" s="1651"/>
      <c r="AS171" s="1651"/>
      <c r="AT171" s="1651"/>
      <c r="AU171" s="1616"/>
      <c r="AV171" s="1603"/>
      <c r="AW171" s="1627"/>
      <c r="AX171" s="1592"/>
    </row>
    <row r="172" spans="1:50" ht="15.75" hidden="1" customHeight="1" x14ac:dyDescent="0.25">
      <c r="A172" s="1771"/>
      <c r="B172" s="1624"/>
      <c r="C172" s="1513"/>
      <c r="D172" s="1608"/>
      <c r="E172" s="1552"/>
      <c r="F172" s="1447"/>
      <c r="G172" s="1608"/>
      <c r="H172" s="1078"/>
      <c r="I172" s="1078"/>
      <c r="J172" s="1078"/>
      <c r="K172" s="1078"/>
      <c r="L172" s="1061"/>
      <c r="M172" s="1586"/>
      <c r="N172" s="1078"/>
      <c r="O172" s="1078"/>
      <c r="P172" s="1061"/>
      <c r="Q172" s="1078"/>
      <c r="R172" s="1586"/>
      <c r="S172" s="1586"/>
      <c r="T172" s="1586"/>
      <c r="U172" s="1586"/>
      <c r="V172" s="1586"/>
      <c r="W172" s="1586"/>
      <c r="X172" s="1588"/>
      <c r="Y172" s="1586"/>
      <c r="Z172" s="1586"/>
      <c r="AA172" s="1586"/>
      <c r="AB172" s="1586"/>
      <c r="AC172" s="1586"/>
      <c r="AD172" s="1586"/>
      <c r="AE172" s="1609">
        <f>X172/$X$7*100</f>
        <v>0</v>
      </c>
      <c r="AF172" s="1561"/>
      <c r="AG172" s="1576"/>
      <c r="AH172" s="1611"/>
      <c r="AI172" s="1612"/>
      <c r="AJ172" s="1612"/>
      <c r="AK172" s="1612"/>
      <c r="AL172" s="1613">
        <f>(AF172/AF9)*100</f>
        <v>0</v>
      </c>
      <c r="AM172" s="1614"/>
      <c r="AN172" s="1599"/>
      <c r="AO172" s="1612"/>
      <c r="AP172" s="1659"/>
      <c r="AQ172" s="1611"/>
      <c r="AR172" s="1612"/>
      <c r="AS172" s="1612"/>
      <c r="AT172" s="1612"/>
      <c r="AU172" s="1616"/>
      <c r="AV172" s="1603"/>
      <c r="AW172" s="1627"/>
      <c r="AX172" s="1592"/>
    </row>
    <row r="173" spans="1:50" ht="15.75" customHeight="1" x14ac:dyDescent="0.25">
      <c r="A173" s="1776">
        <v>3</v>
      </c>
      <c r="B173" s="2005" t="s">
        <v>257</v>
      </c>
      <c r="C173" s="2004"/>
      <c r="D173" s="1574">
        <f>D175</f>
        <v>631361000</v>
      </c>
      <c r="E173" s="1572">
        <f>SUM(G173+Y173+AG173+AN173)</f>
        <v>631361000</v>
      </c>
      <c r="F173" s="1495">
        <f>+X173+AF173+AM173+AW173</f>
        <v>719495.68000000005</v>
      </c>
      <c r="G173" s="1574">
        <f>+G175+G184</f>
        <v>0</v>
      </c>
      <c r="H173" s="1574">
        <f t="shared" ref="H173:U173" si="166">H175</f>
        <v>0</v>
      </c>
      <c r="I173" s="1574">
        <f t="shared" si="166"/>
        <v>0</v>
      </c>
      <c r="J173" s="1574">
        <f t="shared" si="166"/>
        <v>0</v>
      </c>
      <c r="K173" s="1574">
        <f t="shared" si="166"/>
        <v>0</v>
      </c>
      <c r="L173" s="1574">
        <f t="shared" si="166"/>
        <v>0</v>
      </c>
      <c r="M173" s="1574">
        <f t="shared" si="166"/>
        <v>0</v>
      </c>
      <c r="N173" s="1574">
        <f t="shared" si="166"/>
        <v>0</v>
      </c>
      <c r="O173" s="1574">
        <f t="shared" si="166"/>
        <v>0</v>
      </c>
      <c r="P173" s="1574">
        <f t="shared" si="166"/>
        <v>0</v>
      </c>
      <c r="Q173" s="1574">
        <f t="shared" si="166"/>
        <v>0</v>
      </c>
      <c r="R173" s="1574">
        <f t="shared" si="166"/>
        <v>0</v>
      </c>
      <c r="S173" s="1574">
        <f t="shared" si="166"/>
        <v>0</v>
      </c>
      <c r="T173" s="1574">
        <f t="shared" si="166"/>
        <v>0</v>
      </c>
      <c r="U173" s="1574">
        <f t="shared" si="166"/>
        <v>0</v>
      </c>
      <c r="V173" s="1574">
        <f>V175+V184</f>
        <v>0</v>
      </c>
      <c r="W173" s="1574">
        <f>W175</f>
        <v>0</v>
      </c>
      <c r="X173" s="1628">
        <f>G173/1000</f>
        <v>0</v>
      </c>
      <c r="Y173" s="1574">
        <f t="shared" ref="Y173:AD173" si="167">Y175</f>
        <v>0</v>
      </c>
      <c r="Z173" s="1574">
        <f t="shared" si="167"/>
        <v>0</v>
      </c>
      <c r="AA173" s="1574">
        <f t="shared" si="167"/>
        <v>0</v>
      </c>
      <c r="AB173" s="1574">
        <f t="shared" si="167"/>
        <v>0</v>
      </c>
      <c r="AC173" s="1574">
        <f t="shared" si="167"/>
        <v>0</v>
      </c>
      <c r="AD173" s="1574">
        <f t="shared" si="167"/>
        <v>0</v>
      </c>
      <c r="AE173" s="1575">
        <f>X173/$X$7</f>
        <v>0</v>
      </c>
      <c r="AF173" s="1557">
        <f>Y173/1000</f>
        <v>0</v>
      </c>
      <c r="AG173" s="1576">
        <f>SUM(AG175)</f>
        <v>0</v>
      </c>
      <c r="AH173" s="1689">
        <f>AH175+AH184</f>
        <v>0</v>
      </c>
      <c r="AI173" s="1597">
        <f>AI175+AI184</f>
        <v>0</v>
      </c>
      <c r="AJ173" s="1597">
        <f>AJ175+AJ184</f>
        <v>0</v>
      </c>
      <c r="AK173" s="1597">
        <f>AK175+AK184</f>
        <v>0</v>
      </c>
      <c r="AL173" s="1577">
        <f>(AF173/AF7)</f>
        <v>0</v>
      </c>
      <c r="AM173" s="1598">
        <f>AG173/1000</f>
        <v>0</v>
      </c>
      <c r="AN173" s="1599">
        <f>AN175+AN184</f>
        <v>631361000</v>
      </c>
      <c r="AO173" s="1597">
        <f>AO175+AO184</f>
        <v>631361000</v>
      </c>
      <c r="AP173" s="1599">
        <f>SUM(AP175)</f>
        <v>0</v>
      </c>
      <c r="AQ173" s="1689">
        <f>AQ175+AQ184</f>
        <v>0</v>
      </c>
      <c r="AR173" s="1597">
        <f>AR175+AR184</f>
        <v>0</v>
      </c>
      <c r="AS173" s="1597">
        <f>AS175+AS184</f>
        <v>0</v>
      </c>
      <c r="AT173" s="1597">
        <f>AT175+AT184</f>
        <v>0</v>
      </c>
      <c r="AU173" s="1602">
        <f>AU175+AU184</f>
        <v>631361000</v>
      </c>
      <c r="AV173" s="1603">
        <f>AM173/$AM$7</f>
        <v>0</v>
      </c>
      <c r="AW173" s="1631">
        <f>+AW175</f>
        <v>719495.68000000005</v>
      </c>
      <c r="AX173" s="1592">
        <f>AW173/$AW$7</f>
        <v>1.3551656721478565E-2</v>
      </c>
    </row>
    <row r="174" spans="1:50" ht="15.75" customHeight="1" x14ac:dyDescent="0.25">
      <c r="A174" s="1771"/>
      <c r="B174" s="1624"/>
      <c r="C174" s="1513"/>
      <c r="D174" s="1608"/>
      <c r="E174" s="1552"/>
      <c r="F174" s="1447"/>
      <c r="G174" s="1573"/>
      <c r="H174" s="1078"/>
      <c r="I174" s="1078"/>
      <c r="J174" s="1078"/>
      <c r="K174" s="1078"/>
      <c r="L174" s="1061"/>
      <c r="M174" s="1586"/>
      <c r="N174" s="1078"/>
      <c r="O174" s="1078"/>
      <c r="P174" s="1061"/>
      <c r="Q174" s="1078"/>
      <c r="R174" s="1586"/>
      <c r="S174" s="1586"/>
      <c r="T174" s="1586"/>
      <c r="U174" s="1586"/>
      <c r="V174" s="1586"/>
      <c r="W174" s="1586"/>
      <c r="X174" s="1588"/>
      <c r="Y174" s="1586"/>
      <c r="Z174" s="1586"/>
      <c r="AA174" s="1586"/>
      <c r="AB174" s="1586"/>
      <c r="AC174" s="1586"/>
      <c r="AD174" s="1586"/>
      <c r="AE174" s="1609"/>
      <c r="AF174" s="1561"/>
      <c r="AG174" s="1576"/>
      <c r="AH174" s="1611"/>
      <c r="AI174" s="1612"/>
      <c r="AJ174" s="1612"/>
      <c r="AK174" s="1612"/>
      <c r="AL174" s="1613"/>
      <c r="AM174" s="1614"/>
      <c r="AN174" s="1599"/>
      <c r="AO174" s="1612"/>
      <c r="AP174" s="1659"/>
      <c r="AQ174" s="1611"/>
      <c r="AR174" s="1612"/>
      <c r="AS174" s="1612"/>
      <c r="AT174" s="1612"/>
      <c r="AU174" s="1616"/>
      <c r="AV174" s="1603"/>
      <c r="AW174" s="1627"/>
      <c r="AX174" s="1592"/>
    </row>
    <row r="175" spans="1:50" ht="15.75" customHeight="1" x14ac:dyDescent="0.25">
      <c r="A175" s="1517" t="s">
        <v>258</v>
      </c>
      <c r="B175" s="2013" t="s">
        <v>259</v>
      </c>
      <c r="C175" s="2002"/>
      <c r="D175" s="1573">
        <f>SUM(D176:D182)</f>
        <v>631361000</v>
      </c>
      <c r="E175" s="1572">
        <f t="shared" ref="E175:E185" si="168">SUM(G175+Y175+AG175+AN175)</f>
        <v>631361000</v>
      </c>
      <c r="F175" s="1495">
        <f t="shared" ref="F175:F185" si="169">+X175+AF175+AM175+AW175</f>
        <v>719495.68000000005</v>
      </c>
      <c r="G175" s="1573">
        <f t="shared" ref="G175:G182" si="170">SUM(H175:W175)</f>
        <v>0</v>
      </c>
      <c r="H175" s="1099">
        <f t="shared" ref="H175:W175" si="171">SUM(H176:H182)</f>
        <v>0</v>
      </c>
      <c r="I175" s="1099">
        <f t="shared" si="171"/>
        <v>0</v>
      </c>
      <c r="J175" s="1099">
        <f t="shared" si="171"/>
        <v>0</v>
      </c>
      <c r="K175" s="1099">
        <f t="shared" si="171"/>
        <v>0</v>
      </c>
      <c r="L175" s="1647">
        <f t="shared" si="171"/>
        <v>0</v>
      </c>
      <c r="M175" s="1647">
        <f t="shared" si="171"/>
        <v>0</v>
      </c>
      <c r="N175" s="1099">
        <f t="shared" si="171"/>
        <v>0</v>
      </c>
      <c r="O175" s="1099">
        <f t="shared" si="171"/>
        <v>0</v>
      </c>
      <c r="P175" s="1647">
        <f t="shared" si="171"/>
        <v>0</v>
      </c>
      <c r="Q175" s="1099">
        <f t="shared" si="171"/>
        <v>0</v>
      </c>
      <c r="R175" s="1647">
        <f t="shared" si="171"/>
        <v>0</v>
      </c>
      <c r="S175" s="1647">
        <f t="shared" si="171"/>
        <v>0</v>
      </c>
      <c r="T175" s="1647">
        <f t="shared" si="171"/>
        <v>0</v>
      </c>
      <c r="U175" s="1647">
        <f t="shared" si="171"/>
        <v>0</v>
      </c>
      <c r="V175" s="1647">
        <f t="shared" si="171"/>
        <v>0</v>
      </c>
      <c r="W175" s="1647">
        <f t="shared" si="171"/>
        <v>0</v>
      </c>
      <c r="X175" s="1628">
        <f t="shared" ref="X175:X185" si="172">G175/1000</f>
        <v>0</v>
      </c>
      <c r="Y175" s="1647">
        <f t="shared" ref="Y175:AD175" si="173">SUM(Y176:Y182)</f>
        <v>0</v>
      </c>
      <c r="Z175" s="1647">
        <f t="shared" si="173"/>
        <v>0</v>
      </c>
      <c r="AA175" s="1647">
        <f t="shared" si="173"/>
        <v>0</v>
      </c>
      <c r="AB175" s="1647">
        <f t="shared" si="173"/>
        <v>0</v>
      </c>
      <c r="AC175" s="1647">
        <f t="shared" si="173"/>
        <v>0</v>
      </c>
      <c r="AD175" s="1647">
        <f t="shared" si="173"/>
        <v>0</v>
      </c>
      <c r="AE175" s="1575">
        <f>X175/$X$7</f>
        <v>0</v>
      </c>
      <c r="AF175" s="1557">
        <f t="shared" ref="AF175:AF185" si="174">Y175/1000</f>
        <v>0</v>
      </c>
      <c r="AG175" s="1576">
        <f>SUM(AG181)</f>
        <v>0</v>
      </c>
      <c r="AH175" s="1689">
        <f>SUM(AH176:AH182)</f>
        <v>0</v>
      </c>
      <c r="AI175" s="1597">
        <f>SUM(AI176:AI182)</f>
        <v>0</v>
      </c>
      <c r="AJ175" s="1597">
        <f>SUM(AJ176:AJ182)</f>
        <v>0</v>
      </c>
      <c r="AK175" s="1597">
        <f>SUM(AK176:AK182)</f>
        <v>0</v>
      </c>
      <c r="AL175" s="1577">
        <f>(AF175/AF7)</f>
        <v>0</v>
      </c>
      <c r="AM175" s="1598">
        <f t="shared" ref="AM175:AM185" si="175">AG175/1000</f>
        <v>0</v>
      </c>
      <c r="AN175" s="1599">
        <f>SUM(AN176:AN182)</f>
        <v>631361000</v>
      </c>
      <c r="AO175" s="1597">
        <f>SUM(AO181)</f>
        <v>631361000</v>
      </c>
      <c r="AP175" s="1599">
        <f>SUM(AP181)</f>
        <v>0</v>
      </c>
      <c r="AQ175" s="1689">
        <f>SUM(AQ176:AQ182)</f>
        <v>0</v>
      </c>
      <c r="AR175" s="1597">
        <f>SUM(AR176:AR182)</f>
        <v>0</v>
      </c>
      <c r="AS175" s="1597">
        <f>SUM(AS176:AS182)</f>
        <v>0</v>
      </c>
      <c r="AT175" s="1597">
        <f>SUM(AT181)</f>
        <v>0</v>
      </c>
      <c r="AU175" s="1602">
        <f>SUM(AU176:AU182)</f>
        <v>631361000</v>
      </c>
      <c r="AV175" s="1603">
        <f t="shared" ref="AV175:AV185" si="176">AM175/$AM$7</f>
        <v>0</v>
      </c>
      <c r="AW175" s="1631">
        <f>+AW181</f>
        <v>719495.68000000005</v>
      </c>
      <c r="AX175" s="1592">
        <f t="shared" ref="AX175:AX185" si="177">AW175/$AW$7</f>
        <v>1.3551656721478565E-2</v>
      </c>
    </row>
    <row r="176" spans="1:50" ht="15.75" hidden="1" customHeight="1" x14ac:dyDescent="0.25">
      <c r="A176" s="1520" t="s">
        <v>260</v>
      </c>
      <c r="B176" s="2009" t="s">
        <v>261</v>
      </c>
      <c r="C176" s="2004"/>
      <c r="D176" s="1608">
        <f t="shared" ref="D176:D182" si="178">+G176+Y176+AG176+AN176</f>
        <v>0</v>
      </c>
      <c r="E176" s="1552">
        <f t="shared" si="168"/>
        <v>0</v>
      </c>
      <c r="F176" s="1447">
        <f t="shared" si="169"/>
        <v>0</v>
      </c>
      <c r="G176" s="1573">
        <f t="shared" si="170"/>
        <v>0</v>
      </c>
      <c r="H176" s="1103"/>
      <c r="I176" s="1103"/>
      <c r="J176" s="1103"/>
      <c r="K176" s="1103"/>
      <c r="L176" s="78"/>
      <c r="M176" s="1586"/>
      <c r="N176" s="1103"/>
      <c r="O176" s="1103"/>
      <c r="P176" s="78"/>
      <c r="Q176" s="1103"/>
      <c r="R176" s="1586"/>
      <c r="S176" s="1586"/>
      <c r="T176" s="1586"/>
      <c r="U176" s="1586"/>
      <c r="V176" s="1586">
        <v>0</v>
      </c>
      <c r="W176" s="1586"/>
      <c r="X176" s="1588">
        <f t="shared" si="172"/>
        <v>0</v>
      </c>
      <c r="Y176" s="1586"/>
      <c r="Z176" s="1586"/>
      <c r="AA176" s="1586"/>
      <c r="AB176" s="1586"/>
      <c r="AC176" s="1586"/>
      <c r="AD176" s="1586"/>
      <c r="AE176" s="1609">
        <f>X176/$X$7*100</f>
        <v>0</v>
      </c>
      <c r="AF176" s="1561">
        <f t="shared" si="174"/>
        <v>0</v>
      </c>
      <c r="AG176" s="1576">
        <f>SUM(AH176:AJ176)</f>
        <v>0</v>
      </c>
      <c r="AH176" s="1611"/>
      <c r="AI176" s="1612"/>
      <c r="AJ176" s="1600">
        <v>0</v>
      </c>
      <c r="AK176" s="1600">
        <v>0</v>
      </c>
      <c r="AL176" s="1613" t="e">
        <f>(AF176/AF13)*100</f>
        <v>#DIV/0!</v>
      </c>
      <c r="AM176" s="1614">
        <f t="shared" si="175"/>
        <v>0</v>
      </c>
      <c r="AN176" s="1599">
        <v>0</v>
      </c>
      <c r="AO176" s="1600">
        <v>0</v>
      </c>
      <c r="AP176" s="1599">
        <v>0</v>
      </c>
      <c r="AQ176" s="1601">
        <v>0</v>
      </c>
      <c r="AR176" s="1600">
        <v>0</v>
      </c>
      <c r="AS176" s="1600">
        <v>0</v>
      </c>
      <c r="AT176" s="1600">
        <v>0</v>
      </c>
      <c r="AU176" s="1616">
        <v>0</v>
      </c>
      <c r="AV176" s="1603">
        <f t="shared" si="176"/>
        <v>0</v>
      </c>
      <c r="AW176" s="1627">
        <f>AN176/1000</f>
        <v>0</v>
      </c>
      <c r="AX176" s="1592">
        <f t="shared" si="177"/>
        <v>0</v>
      </c>
    </row>
    <row r="177" spans="1:50" ht="15.75" hidden="1" customHeight="1" x14ac:dyDescent="0.25">
      <c r="A177" s="1520" t="s">
        <v>262</v>
      </c>
      <c r="B177" s="2009" t="s">
        <v>263</v>
      </c>
      <c r="C177" s="2004"/>
      <c r="D177" s="1608">
        <f t="shared" si="178"/>
        <v>0</v>
      </c>
      <c r="E177" s="1552">
        <f t="shared" si="168"/>
        <v>0</v>
      </c>
      <c r="F177" s="1447">
        <f t="shared" si="169"/>
        <v>0</v>
      </c>
      <c r="G177" s="1573">
        <f t="shared" si="170"/>
        <v>0</v>
      </c>
      <c r="H177" s="1103"/>
      <c r="I177" s="1103"/>
      <c r="J177" s="1103"/>
      <c r="K177" s="1103"/>
      <c r="L177" s="78"/>
      <c r="M177" s="1586"/>
      <c r="N177" s="1103"/>
      <c r="O177" s="1103"/>
      <c r="P177" s="78"/>
      <c r="Q177" s="1103"/>
      <c r="R177" s="1586"/>
      <c r="S177" s="1586"/>
      <c r="T177" s="1586"/>
      <c r="U177" s="1586"/>
      <c r="V177" s="1586"/>
      <c r="W177" s="1586"/>
      <c r="X177" s="1588">
        <f t="shared" si="172"/>
        <v>0</v>
      </c>
      <c r="Y177" s="1586"/>
      <c r="Z177" s="1586"/>
      <c r="AA177" s="1586"/>
      <c r="AB177" s="1586"/>
      <c r="AC177" s="1586"/>
      <c r="AD177" s="1586"/>
      <c r="AE177" s="1609">
        <f>X177/$X$7*100</f>
        <v>0</v>
      </c>
      <c r="AF177" s="1561">
        <f t="shared" si="174"/>
        <v>0</v>
      </c>
      <c r="AG177" s="1576">
        <f>SUM(AH177:AJ177)</f>
        <v>0</v>
      </c>
      <c r="AH177" s="1645">
        <v>0</v>
      </c>
      <c r="AI177" s="1586">
        <v>0</v>
      </c>
      <c r="AJ177" s="1600">
        <v>0</v>
      </c>
      <c r="AK177" s="1600">
        <v>0</v>
      </c>
      <c r="AL177" s="1613" t="e">
        <f>(AF177/AF14)*100</f>
        <v>#DIV/0!</v>
      </c>
      <c r="AM177" s="1614">
        <f t="shared" si="175"/>
        <v>0</v>
      </c>
      <c r="AN177" s="1599">
        <v>0</v>
      </c>
      <c r="AO177" s="1600">
        <v>0</v>
      </c>
      <c r="AP177" s="1599">
        <v>0</v>
      </c>
      <c r="AQ177" s="1601">
        <v>0</v>
      </c>
      <c r="AR177" s="1600">
        <v>0</v>
      </c>
      <c r="AS177" s="1600">
        <v>0</v>
      </c>
      <c r="AT177" s="1600">
        <v>0</v>
      </c>
      <c r="AU177" s="1616">
        <v>0</v>
      </c>
      <c r="AV177" s="1603">
        <f t="shared" si="176"/>
        <v>0</v>
      </c>
      <c r="AW177" s="1627">
        <f>AN177/1000</f>
        <v>0</v>
      </c>
      <c r="AX177" s="1592">
        <f t="shared" si="177"/>
        <v>0</v>
      </c>
    </row>
    <row r="178" spans="1:50" ht="15.75" hidden="1" customHeight="1" x14ac:dyDescent="0.25">
      <c r="A178" s="1520" t="s">
        <v>264</v>
      </c>
      <c r="B178" s="2009" t="s">
        <v>265</v>
      </c>
      <c r="C178" s="2004"/>
      <c r="D178" s="1608">
        <f t="shared" si="178"/>
        <v>0</v>
      </c>
      <c r="E178" s="1552">
        <f t="shared" si="168"/>
        <v>0</v>
      </c>
      <c r="F178" s="1447">
        <f t="shared" si="169"/>
        <v>0</v>
      </c>
      <c r="G178" s="1573">
        <f t="shared" si="170"/>
        <v>0</v>
      </c>
      <c r="H178" s="1103"/>
      <c r="I178" s="1103"/>
      <c r="J178" s="1103"/>
      <c r="K178" s="1103"/>
      <c r="L178" s="78"/>
      <c r="M178" s="1586"/>
      <c r="N178" s="1103"/>
      <c r="O178" s="1103"/>
      <c r="P178" s="78"/>
      <c r="Q178" s="1103"/>
      <c r="R178" s="1586"/>
      <c r="S178" s="1586"/>
      <c r="T178" s="1586"/>
      <c r="U178" s="1586"/>
      <c r="V178" s="1586"/>
      <c r="W178" s="1586"/>
      <c r="X178" s="1588">
        <f t="shared" si="172"/>
        <v>0</v>
      </c>
      <c r="Y178" s="1586"/>
      <c r="Z178" s="1586"/>
      <c r="AA178" s="1586"/>
      <c r="AB178" s="1586"/>
      <c r="AC178" s="1586"/>
      <c r="AD178" s="1586"/>
      <c r="AE178" s="1609">
        <f>X178/$X$7*100</f>
        <v>0</v>
      </c>
      <c r="AF178" s="1561">
        <f t="shared" si="174"/>
        <v>0</v>
      </c>
      <c r="AG178" s="1576">
        <f>SUM(AH178:AJ178)</f>
        <v>0</v>
      </c>
      <c r="AH178" s="1611"/>
      <c r="AI178" s="1612"/>
      <c r="AJ178" s="1600">
        <v>0</v>
      </c>
      <c r="AK178" s="1600">
        <v>0</v>
      </c>
      <c r="AL178" s="1613" t="e">
        <f>(AF178/AF15)*100</f>
        <v>#DIV/0!</v>
      </c>
      <c r="AM178" s="1614">
        <f t="shared" si="175"/>
        <v>0</v>
      </c>
      <c r="AN178" s="1599">
        <v>0</v>
      </c>
      <c r="AO178" s="1600">
        <v>0</v>
      </c>
      <c r="AP178" s="1599">
        <v>0</v>
      </c>
      <c r="AQ178" s="1601">
        <v>0</v>
      </c>
      <c r="AR178" s="1600">
        <v>0</v>
      </c>
      <c r="AS178" s="1600">
        <v>0</v>
      </c>
      <c r="AT178" s="1600">
        <v>0</v>
      </c>
      <c r="AU178" s="1616">
        <v>0</v>
      </c>
      <c r="AV178" s="1603">
        <f t="shared" si="176"/>
        <v>0</v>
      </c>
      <c r="AW178" s="1627">
        <f>AN178/1000</f>
        <v>0</v>
      </c>
      <c r="AX178" s="1592">
        <f t="shared" si="177"/>
        <v>0</v>
      </c>
    </row>
    <row r="179" spans="1:50" ht="15.75" hidden="1" customHeight="1" x14ac:dyDescent="0.25">
      <c r="A179" s="1520" t="s">
        <v>266</v>
      </c>
      <c r="B179" s="2009" t="s">
        <v>267</v>
      </c>
      <c r="C179" s="2004"/>
      <c r="D179" s="1608">
        <f t="shared" si="178"/>
        <v>0</v>
      </c>
      <c r="E179" s="1552">
        <f t="shared" si="168"/>
        <v>0</v>
      </c>
      <c r="F179" s="1447">
        <f t="shared" si="169"/>
        <v>0</v>
      </c>
      <c r="G179" s="1573">
        <f t="shared" si="170"/>
        <v>0</v>
      </c>
      <c r="H179" s="1103"/>
      <c r="I179" s="1103"/>
      <c r="J179" s="1103"/>
      <c r="K179" s="1103"/>
      <c r="L179" s="78"/>
      <c r="M179" s="1586"/>
      <c r="N179" s="1103"/>
      <c r="O179" s="1103"/>
      <c r="P179" s="78"/>
      <c r="Q179" s="1103"/>
      <c r="R179" s="1586"/>
      <c r="S179" s="1586"/>
      <c r="T179" s="1586"/>
      <c r="U179" s="1586"/>
      <c r="V179" s="1586"/>
      <c r="W179" s="1586"/>
      <c r="X179" s="1588">
        <f t="shared" si="172"/>
        <v>0</v>
      </c>
      <c r="Y179" s="1586"/>
      <c r="Z179" s="1586"/>
      <c r="AA179" s="1586"/>
      <c r="AB179" s="1586"/>
      <c r="AC179" s="1586"/>
      <c r="AD179" s="1586"/>
      <c r="AE179" s="1609">
        <f>X179/$X$7*100</f>
        <v>0</v>
      </c>
      <c r="AF179" s="1561">
        <f t="shared" si="174"/>
        <v>0</v>
      </c>
      <c r="AG179" s="1576">
        <f>SUM(AH179:AJ179)</f>
        <v>0</v>
      </c>
      <c r="AH179" s="1611"/>
      <c r="AI179" s="1612"/>
      <c r="AJ179" s="1600">
        <v>0</v>
      </c>
      <c r="AK179" s="1600">
        <v>0</v>
      </c>
      <c r="AL179" s="1613" t="e">
        <f>(AF179/AF16)*100</f>
        <v>#DIV/0!</v>
      </c>
      <c r="AM179" s="1614">
        <f t="shared" si="175"/>
        <v>0</v>
      </c>
      <c r="AN179" s="1599">
        <v>0</v>
      </c>
      <c r="AO179" s="1600">
        <v>0</v>
      </c>
      <c r="AP179" s="1599">
        <v>0</v>
      </c>
      <c r="AQ179" s="1601">
        <v>0</v>
      </c>
      <c r="AR179" s="1600">
        <v>0</v>
      </c>
      <c r="AS179" s="1600">
        <v>0</v>
      </c>
      <c r="AT179" s="1600">
        <v>0</v>
      </c>
      <c r="AU179" s="1616">
        <v>0</v>
      </c>
      <c r="AV179" s="1603">
        <f t="shared" si="176"/>
        <v>0</v>
      </c>
      <c r="AW179" s="1627">
        <f>AN179/1000</f>
        <v>0</v>
      </c>
      <c r="AX179" s="1592">
        <f t="shared" si="177"/>
        <v>0</v>
      </c>
    </row>
    <row r="180" spans="1:50" ht="15.75" hidden="1" customHeight="1" x14ac:dyDescent="0.25">
      <c r="A180" s="1520" t="s">
        <v>268</v>
      </c>
      <c r="B180" s="2009" t="s">
        <v>269</v>
      </c>
      <c r="C180" s="2004"/>
      <c r="D180" s="1608">
        <f t="shared" si="178"/>
        <v>0</v>
      </c>
      <c r="E180" s="1552">
        <f t="shared" si="168"/>
        <v>0</v>
      </c>
      <c r="F180" s="1447">
        <f t="shared" si="169"/>
        <v>0</v>
      </c>
      <c r="G180" s="1573">
        <f t="shared" si="170"/>
        <v>0</v>
      </c>
      <c r="H180" s="1103"/>
      <c r="I180" s="1103"/>
      <c r="J180" s="1103"/>
      <c r="K180" s="1103"/>
      <c r="L180" s="78"/>
      <c r="M180" s="1586"/>
      <c r="N180" s="1103"/>
      <c r="O180" s="1103"/>
      <c r="P180" s="78"/>
      <c r="Q180" s="1103"/>
      <c r="R180" s="1586"/>
      <c r="S180" s="1586"/>
      <c r="T180" s="1586"/>
      <c r="U180" s="1586"/>
      <c r="V180" s="1586">
        <v>0</v>
      </c>
      <c r="W180" s="1586"/>
      <c r="X180" s="1588">
        <f t="shared" si="172"/>
        <v>0</v>
      </c>
      <c r="Y180" s="1586"/>
      <c r="Z180" s="1586"/>
      <c r="AA180" s="1586"/>
      <c r="AB180" s="1586"/>
      <c r="AC180" s="1586"/>
      <c r="AD180" s="1586"/>
      <c r="AE180" s="1609">
        <f>X180/$X$7*100</f>
        <v>0</v>
      </c>
      <c r="AF180" s="1561">
        <f t="shared" si="174"/>
        <v>0</v>
      </c>
      <c r="AG180" s="1576">
        <f>SUM(AH180:AJ180)</f>
        <v>0</v>
      </c>
      <c r="AH180" s="1645">
        <v>0</v>
      </c>
      <c r="AI180" s="1586">
        <v>0</v>
      </c>
      <c r="AJ180" s="1600">
        <v>0</v>
      </c>
      <c r="AK180" s="1600">
        <v>0</v>
      </c>
      <c r="AL180" s="1613">
        <f>(AF180/AF17)*100</f>
        <v>0</v>
      </c>
      <c r="AM180" s="1614">
        <f t="shared" si="175"/>
        <v>0</v>
      </c>
      <c r="AN180" s="1599">
        <v>0</v>
      </c>
      <c r="AO180" s="1600">
        <v>0</v>
      </c>
      <c r="AP180" s="1599">
        <v>0</v>
      </c>
      <c r="AQ180" s="1601">
        <v>0</v>
      </c>
      <c r="AR180" s="1600">
        <v>0</v>
      </c>
      <c r="AS180" s="1600">
        <v>0</v>
      </c>
      <c r="AT180" s="1600">
        <v>0</v>
      </c>
      <c r="AU180" s="1616">
        <v>0</v>
      </c>
      <c r="AV180" s="1603">
        <f t="shared" si="176"/>
        <v>0</v>
      </c>
      <c r="AW180" s="1627">
        <f>AN180/1000</f>
        <v>0</v>
      </c>
      <c r="AX180" s="1592">
        <f t="shared" si="177"/>
        <v>0</v>
      </c>
    </row>
    <row r="181" spans="1:50" ht="15.75" customHeight="1" x14ac:dyDescent="0.25">
      <c r="A181" s="1520" t="s">
        <v>270</v>
      </c>
      <c r="B181" s="2009" t="s">
        <v>271</v>
      </c>
      <c r="C181" s="2004"/>
      <c r="D181" s="1608">
        <f t="shared" si="178"/>
        <v>631361000</v>
      </c>
      <c r="E181" s="1552">
        <f t="shared" si="168"/>
        <v>631361000</v>
      </c>
      <c r="F181" s="1447">
        <f t="shared" si="169"/>
        <v>719495.68000000005</v>
      </c>
      <c r="G181" s="1608">
        <f t="shared" si="170"/>
        <v>0</v>
      </c>
      <c r="H181" s="1103"/>
      <c r="I181" s="1103"/>
      <c r="J181" s="1103"/>
      <c r="K181" s="1103"/>
      <c r="L181" s="78"/>
      <c r="M181" s="1586"/>
      <c r="N181" s="1103"/>
      <c r="O181" s="1103"/>
      <c r="P181" s="78"/>
      <c r="Q181" s="1103"/>
      <c r="R181" s="1586"/>
      <c r="S181" s="1586"/>
      <c r="T181" s="1586"/>
      <c r="U181" s="1586"/>
      <c r="V181" s="1586"/>
      <c r="W181" s="1586"/>
      <c r="X181" s="1588">
        <f t="shared" si="172"/>
        <v>0</v>
      </c>
      <c r="Y181" s="1561">
        <f>SUM(Z181:AD181)</f>
        <v>0</v>
      </c>
      <c r="Z181" s="1586"/>
      <c r="AA181" s="1586"/>
      <c r="AB181" s="1586"/>
      <c r="AC181" s="1586"/>
      <c r="AD181" s="1586"/>
      <c r="AE181" s="1609">
        <f>X181/$X$7</f>
        <v>0</v>
      </c>
      <c r="AF181" s="1561">
        <f t="shared" si="174"/>
        <v>0</v>
      </c>
      <c r="AG181" s="1580">
        <f>SUM(AH181:AK181)</f>
        <v>0</v>
      </c>
      <c r="AH181" s="1611"/>
      <c r="AI181" s="1612">
        <v>0</v>
      </c>
      <c r="AJ181" s="1612">
        <v>0</v>
      </c>
      <c r="AK181" s="1612">
        <v>0</v>
      </c>
      <c r="AL181" s="1613">
        <f>(AF181/AF7)</f>
        <v>0</v>
      </c>
      <c r="AM181" s="1614">
        <f t="shared" si="175"/>
        <v>0</v>
      </c>
      <c r="AN181" s="1615">
        <f>SUM(AO181+AP181)</f>
        <v>631361000</v>
      </c>
      <c r="AO181" s="1612">
        <v>631361000</v>
      </c>
      <c r="AP181" s="1738">
        <f>SUM(AQ181:AT181)</f>
        <v>0</v>
      </c>
      <c r="AQ181" s="1611">
        <v>0</v>
      </c>
      <c r="AR181" s="1612">
        <v>0</v>
      </c>
      <c r="AS181" s="1612">
        <v>0</v>
      </c>
      <c r="AT181" s="1612">
        <v>0</v>
      </c>
      <c r="AU181" s="1616">
        <f>SUM(AN181+AG181+Y181+G181)</f>
        <v>631361000</v>
      </c>
      <c r="AV181" s="1617">
        <f t="shared" si="176"/>
        <v>0</v>
      </c>
      <c r="AW181" s="1627">
        <f>719495680/1000</f>
        <v>719495.68000000005</v>
      </c>
      <c r="AX181" s="1619">
        <f t="shared" si="177"/>
        <v>1.3551656721478565E-2</v>
      </c>
    </row>
    <row r="182" spans="1:50" ht="16.5" hidden="1" customHeight="1" x14ac:dyDescent="0.25">
      <c r="A182" s="1520" t="s">
        <v>272</v>
      </c>
      <c r="B182" s="2009" t="s">
        <v>273</v>
      </c>
      <c r="C182" s="2004"/>
      <c r="D182" s="1608">
        <f t="shared" si="178"/>
        <v>0</v>
      </c>
      <c r="E182" s="1552">
        <f t="shared" si="168"/>
        <v>0</v>
      </c>
      <c r="F182" s="1447">
        <f t="shared" si="169"/>
        <v>0</v>
      </c>
      <c r="G182" s="1573">
        <f t="shared" si="170"/>
        <v>0</v>
      </c>
      <c r="H182" s="1103"/>
      <c r="I182" s="1103"/>
      <c r="J182" s="1103"/>
      <c r="K182" s="1103"/>
      <c r="L182" s="78"/>
      <c r="M182" s="1586"/>
      <c r="N182" s="1103"/>
      <c r="O182" s="1103"/>
      <c r="P182" s="78"/>
      <c r="Q182" s="1103"/>
      <c r="R182" s="1586"/>
      <c r="S182" s="1586"/>
      <c r="T182" s="1586"/>
      <c r="U182" s="1586"/>
      <c r="V182" s="1586"/>
      <c r="W182" s="1586"/>
      <c r="X182" s="1588">
        <f t="shared" si="172"/>
        <v>0</v>
      </c>
      <c r="Y182" s="1586"/>
      <c r="Z182" s="1586"/>
      <c r="AA182" s="1586"/>
      <c r="AB182" s="1586"/>
      <c r="AC182" s="1586"/>
      <c r="AD182" s="1586"/>
      <c r="AE182" s="1609">
        <f>X182/$X$7*100</f>
        <v>0</v>
      </c>
      <c r="AF182" s="1561">
        <f t="shared" si="174"/>
        <v>0</v>
      </c>
      <c r="AG182" s="1576">
        <f>SUM(AH182:AJ182)</f>
        <v>0</v>
      </c>
      <c r="AH182" s="1645">
        <v>0</v>
      </c>
      <c r="AI182" s="1586">
        <v>0</v>
      </c>
      <c r="AJ182" s="1586">
        <f>SUM(AJ183:AJ194)</f>
        <v>0</v>
      </c>
      <c r="AK182" s="1586">
        <f>SUM(AK183:AK194)</f>
        <v>0</v>
      </c>
      <c r="AL182" s="1613" t="e">
        <f>(AF182/AF19)*100</f>
        <v>#DIV/0!</v>
      </c>
      <c r="AM182" s="1614">
        <f t="shared" si="175"/>
        <v>0</v>
      </c>
      <c r="AN182" s="1599">
        <v>0</v>
      </c>
      <c r="AO182" s="1586">
        <f t="shared" ref="AO182:AT182" si="179">SUM(AO183:AO194)</f>
        <v>24180518718.5</v>
      </c>
      <c r="AP182" s="780">
        <f t="shared" si="179"/>
        <v>3416575834.21</v>
      </c>
      <c r="AQ182" s="1645">
        <f t="shared" si="179"/>
        <v>0</v>
      </c>
      <c r="AR182" s="1586">
        <f t="shared" si="179"/>
        <v>0</v>
      </c>
      <c r="AS182" s="1586">
        <f t="shared" si="179"/>
        <v>0</v>
      </c>
      <c r="AT182" s="1586">
        <f t="shared" si="179"/>
        <v>3416575834.21</v>
      </c>
      <c r="AU182" s="1616">
        <v>0</v>
      </c>
      <c r="AV182" s="1603">
        <f t="shared" si="176"/>
        <v>0</v>
      </c>
      <c r="AW182" s="1627">
        <f>AN182/1000</f>
        <v>0</v>
      </c>
      <c r="AX182" s="1592">
        <f t="shared" si="177"/>
        <v>0</v>
      </c>
    </row>
    <row r="183" spans="1:50" ht="16.5" hidden="1" customHeight="1" x14ac:dyDescent="0.25">
      <c r="A183" s="1520"/>
      <c r="B183" s="1624"/>
      <c r="C183" s="1513"/>
      <c r="D183" s="1608"/>
      <c r="E183" s="1552" t="e">
        <f t="shared" si="168"/>
        <v>#VALUE!</v>
      </c>
      <c r="F183" s="1447" t="e">
        <f t="shared" si="169"/>
        <v>#VALUE!</v>
      </c>
      <c r="G183" s="1608"/>
      <c r="H183" s="1103"/>
      <c r="I183" s="1103"/>
      <c r="J183" s="1103"/>
      <c r="K183" s="1103"/>
      <c r="L183" s="78"/>
      <c r="M183" s="1586"/>
      <c r="N183" s="1103"/>
      <c r="O183" s="1103"/>
      <c r="P183" s="78"/>
      <c r="Q183" s="1103"/>
      <c r="R183" s="1586"/>
      <c r="S183" s="1586"/>
      <c r="T183" s="1586"/>
      <c r="U183" s="1586"/>
      <c r="V183" s="1586"/>
      <c r="W183" s="1586"/>
      <c r="X183" s="1588">
        <f t="shared" si="172"/>
        <v>0</v>
      </c>
      <c r="Y183" s="1586"/>
      <c r="Z183" s="1586"/>
      <c r="AA183" s="1586"/>
      <c r="AB183" s="1586"/>
      <c r="AC183" s="1586"/>
      <c r="AD183" s="1586"/>
      <c r="AE183" s="1609">
        <f>X183/$X$7*100</f>
        <v>0</v>
      </c>
      <c r="AF183" s="1561">
        <f t="shared" si="174"/>
        <v>0</v>
      </c>
      <c r="AG183" s="1576" t="s">
        <v>0</v>
      </c>
      <c r="AH183" s="1611"/>
      <c r="AI183" s="1612" t="s">
        <v>0</v>
      </c>
      <c r="AJ183" s="1612"/>
      <c r="AK183" s="1612"/>
      <c r="AL183" s="1613" t="e">
        <f>(AF183/AF20)*100</f>
        <v>#DIV/0!</v>
      </c>
      <c r="AM183" s="1614" t="e">
        <f t="shared" si="175"/>
        <v>#VALUE!</v>
      </c>
      <c r="AN183" s="1599"/>
      <c r="AO183" s="1612"/>
      <c r="AP183" s="1659"/>
      <c r="AQ183" s="1611"/>
      <c r="AR183" s="1612"/>
      <c r="AS183" s="1612"/>
      <c r="AT183" s="1612"/>
      <c r="AU183" s="1616"/>
      <c r="AV183" s="1603" t="e">
        <f t="shared" si="176"/>
        <v>#VALUE!</v>
      </c>
      <c r="AW183" s="1627">
        <f>AN183/1000</f>
        <v>0</v>
      </c>
      <c r="AX183" s="1592">
        <f t="shared" si="177"/>
        <v>0</v>
      </c>
    </row>
    <row r="184" spans="1:50" ht="16.5" hidden="1" customHeight="1" x14ac:dyDescent="0.25">
      <c r="A184" s="1517" t="s">
        <v>274</v>
      </c>
      <c r="B184" s="2013" t="s">
        <v>275</v>
      </c>
      <c r="C184" s="2016"/>
      <c r="D184" s="1608">
        <f>SUM(D185)</f>
        <v>0</v>
      </c>
      <c r="E184" s="1552">
        <f t="shared" si="168"/>
        <v>0</v>
      </c>
      <c r="F184" s="1447">
        <f t="shared" si="169"/>
        <v>0</v>
      </c>
      <c r="G184" s="1573">
        <f>SUM(H184:W184)</f>
        <v>0</v>
      </c>
      <c r="H184" s="1103"/>
      <c r="I184" s="1103"/>
      <c r="J184" s="1103"/>
      <c r="K184" s="1103"/>
      <c r="L184" s="78"/>
      <c r="M184" s="1586"/>
      <c r="N184" s="1103"/>
      <c r="O184" s="1103"/>
      <c r="P184" s="78"/>
      <c r="Q184" s="1103"/>
      <c r="R184" s="1586"/>
      <c r="S184" s="1586"/>
      <c r="T184" s="1586"/>
      <c r="U184" s="1586"/>
      <c r="V184" s="1685">
        <f>+V185</f>
        <v>0</v>
      </c>
      <c r="W184" s="1586"/>
      <c r="X184" s="1588">
        <f t="shared" si="172"/>
        <v>0</v>
      </c>
      <c r="Y184" s="1586"/>
      <c r="Z184" s="1586"/>
      <c r="AA184" s="1586"/>
      <c r="AB184" s="1586"/>
      <c r="AC184" s="1586"/>
      <c r="AD184" s="1586"/>
      <c r="AE184" s="1609">
        <f>X184/$X$7*100</f>
        <v>0</v>
      </c>
      <c r="AF184" s="1561">
        <f t="shared" si="174"/>
        <v>0</v>
      </c>
      <c r="AG184" s="1576">
        <f>SUM(AH184:AJ184)</f>
        <v>0</v>
      </c>
      <c r="AH184" s="1689">
        <f>SUM(AH185)</f>
        <v>0</v>
      </c>
      <c r="AI184" s="1597">
        <f>SUM(AI185)</f>
        <v>0</v>
      </c>
      <c r="AJ184" s="1597">
        <f>SUM(AJ185)</f>
        <v>0</v>
      </c>
      <c r="AK184" s="1597">
        <f>SUM(AK185)</f>
        <v>0</v>
      </c>
      <c r="AL184" s="1613" t="e">
        <f>(AF184/AF21)*100</f>
        <v>#DIV/0!</v>
      </c>
      <c r="AM184" s="1614">
        <f t="shared" si="175"/>
        <v>0</v>
      </c>
      <c r="AN184" s="1599">
        <f t="shared" ref="AN184:AU184" si="180">SUM(AN185)</f>
        <v>0</v>
      </c>
      <c r="AO184" s="1600">
        <f t="shared" si="180"/>
        <v>0</v>
      </c>
      <c r="AP184" s="1599">
        <f t="shared" si="180"/>
        <v>0</v>
      </c>
      <c r="AQ184" s="1601">
        <f t="shared" si="180"/>
        <v>0</v>
      </c>
      <c r="AR184" s="1600">
        <f t="shared" si="180"/>
        <v>0</v>
      </c>
      <c r="AS184" s="1600">
        <f t="shared" si="180"/>
        <v>0</v>
      </c>
      <c r="AT184" s="1600">
        <f t="shared" si="180"/>
        <v>0</v>
      </c>
      <c r="AU184" s="1602">
        <f t="shared" si="180"/>
        <v>0</v>
      </c>
      <c r="AV184" s="1603">
        <f t="shared" si="176"/>
        <v>0</v>
      </c>
      <c r="AW184" s="1627">
        <f>AN184/1000</f>
        <v>0</v>
      </c>
      <c r="AX184" s="1592">
        <f t="shared" si="177"/>
        <v>0</v>
      </c>
    </row>
    <row r="185" spans="1:50" ht="16.5" hidden="1" customHeight="1" x14ac:dyDescent="0.25">
      <c r="A185" s="1520" t="s">
        <v>276</v>
      </c>
      <c r="B185" s="2009" t="s">
        <v>379</v>
      </c>
      <c r="C185" s="2018"/>
      <c r="D185" s="1608">
        <f>+G185+Y185+AG185+AN185</f>
        <v>0</v>
      </c>
      <c r="E185" s="1552">
        <f t="shared" si="168"/>
        <v>0</v>
      </c>
      <c r="F185" s="1447">
        <f t="shared" si="169"/>
        <v>0</v>
      </c>
      <c r="G185" s="1608">
        <f>SUM(H185:W185)</f>
        <v>0</v>
      </c>
      <c r="H185" s="1103"/>
      <c r="I185" s="1103"/>
      <c r="J185" s="1103"/>
      <c r="K185" s="1103"/>
      <c r="L185" s="78"/>
      <c r="M185" s="1586"/>
      <c r="N185" s="1103"/>
      <c r="O185" s="1103"/>
      <c r="P185" s="78"/>
      <c r="Q185" s="1103"/>
      <c r="R185" s="1586"/>
      <c r="S185" s="1586"/>
      <c r="T185" s="1586"/>
      <c r="U185" s="1586"/>
      <c r="V185" s="1586">
        <v>0</v>
      </c>
      <c r="W185" s="1586"/>
      <c r="X185" s="1588">
        <f t="shared" si="172"/>
        <v>0</v>
      </c>
      <c r="Y185" s="1586"/>
      <c r="Z185" s="1586"/>
      <c r="AA185" s="1586"/>
      <c r="AB185" s="1586"/>
      <c r="AC185" s="1586"/>
      <c r="AD185" s="1586"/>
      <c r="AE185" s="1609">
        <f>X185/$X$7*100</f>
        <v>0</v>
      </c>
      <c r="AF185" s="1561">
        <f t="shared" si="174"/>
        <v>0</v>
      </c>
      <c r="AG185" s="1580">
        <f>SUM(AH185:AJ185)</f>
        <v>0</v>
      </c>
      <c r="AH185" s="1611">
        <v>0</v>
      </c>
      <c r="AI185" s="1612">
        <v>0</v>
      </c>
      <c r="AJ185" s="1612">
        <v>0</v>
      </c>
      <c r="AK185" s="1612">
        <v>0</v>
      </c>
      <c r="AL185" s="1613" t="e">
        <f>(AF185/AF22)*100</f>
        <v>#DIV/0!</v>
      </c>
      <c r="AM185" s="1614">
        <f t="shared" si="175"/>
        <v>0</v>
      </c>
      <c r="AN185" s="1599"/>
      <c r="AO185" s="1612">
        <v>0</v>
      </c>
      <c r="AP185" s="1659">
        <v>0</v>
      </c>
      <c r="AQ185" s="1611">
        <v>0</v>
      </c>
      <c r="AR185" s="1612">
        <v>0</v>
      </c>
      <c r="AS185" s="1612">
        <v>0</v>
      </c>
      <c r="AT185" s="1612">
        <v>0</v>
      </c>
      <c r="AU185" s="1616"/>
      <c r="AV185" s="1603">
        <f t="shared" si="176"/>
        <v>0</v>
      </c>
      <c r="AW185" s="1627">
        <f>AN185/1000</f>
        <v>0</v>
      </c>
      <c r="AX185" s="1592">
        <f t="shared" si="177"/>
        <v>0</v>
      </c>
    </row>
    <row r="186" spans="1:50" ht="15.75" customHeight="1" x14ac:dyDescent="0.25">
      <c r="A186" s="1520"/>
      <c r="B186" s="1624"/>
      <c r="C186" s="1513"/>
      <c r="D186" s="1608"/>
      <c r="E186" s="1552"/>
      <c r="F186" s="1447"/>
      <c r="G186" s="1608"/>
      <c r="H186" s="1103"/>
      <c r="I186" s="1103"/>
      <c r="J186" s="1103"/>
      <c r="K186" s="1103"/>
      <c r="L186" s="78"/>
      <c r="M186" s="1586"/>
      <c r="N186" s="1103"/>
      <c r="O186" s="1103"/>
      <c r="P186" s="78"/>
      <c r="Q186" s="1103"/>
      <c r="R186" s="1586"/>
      <c r="S186" s="1586"/>
      <c r="T186" s="1586"/>
      <c r="U186" s="1586"/>
      <c r="V186" s="1586"/>
      <c r="W186" s="1586"/>
      <c r="X186" s="1588"/>
      <c r="Y186" s="1586"/>
      <c r="Z186" s="1586"/>
      <c r="AA186" s="1586"/>
      <c r="AB186" s="1586"/>
      <c r="AC186" s="1586"/>
      <c r="AD186" s="1586"/>
      <c r="AE186" s="1609"/>
      <c r="AF186" s="1561"/>
      <c r="AG186" s="1576"/>
      <c r="AH186" s="1611"/>
      <c r="AI186" s="1612"/>
      <c r="AJ186" s="1612"/>
      <c r="AK186" s="1612"/>
      <c r="AL186" s="1613"/>
      <c r="AM186" s="1614"/>
      <c r="AN186" s="1599"/>
      <c r="AO186" s="1612"/>
      <c r="AP186" s="1659"/>
      <c r="AQ186" s="1611"/>
      <c r="AR186" s="1612"/>
      <c r="AS186" s="1612"/>
      <c r="AT186" s="1612"/>
      <c r="AU186" s="1616"/>
      <c r="AV186" s="1603"/>
      <c r="AW186" s="1627"/>
      <c r="AX186" s="1592"/>
    </row>
    <row r="187" spans="1:50" ht="15.75" hidden="1" customHeight="1" x14ac:dyDescent="0.25">
      <c r="A187" s="1520"/>
      <c r="B187" s="1624"/>
      <c r="C187" s="1513"/>
      <c r="D187" s="1608"/>
      <c r="E187" s="1552"/>
      <c r="F187" s="1447"/>
      <c r="G187" s="1608"/>
      <c r="H187" s="1103"/>
      <c r="I187" s="1103"/>
      <c r="J187" s="1103"/>
      <c r="K187" s="1103"/>
      <c r="L187" s="78"/>
      <c r="M187" s="1586"/>
      <c r="N187" s="1103"/>
      <c r="O187" s="1103"/>
      <c r="P187" s="78"/>
      <c r="Q187" s="1103"/>
      <c r="R187" s="1586"/>
      <c r="S187" s="1586"/>
      <c r="T187" s="1586"/>
      <c r="U187" s="1586"/>
      <c r="V187" s="1586"/>
      <c r="W187" s="1586"/>
      <c r="X187" s="1588"/>
      <c r="Y187" s="1586"/>
      <c r="Z187" s="1586"/>
      <c r="AA187" s="1586"/>
      <c r="AB187" s="1586"/>
      <c r="AC187" s="1586"/>
      <c r="AD187" s="1586"/>
      <c r="AE187" s="1609">
        <f t="shared" ref="AE187:AE193" si="181">X187/$X$7*100</f>
        <v>0</v>
      </c>
      <c r="AF187" s="1561"/>
      <c r="AG187" s="1576"/>
      <c r="AH187" s="1611"/>
      <c r="AI187" s="1612"/>
      <c r="AJ187" s="1612"/>
      <c r="AK187" s="1612"/>
      <c r="AL187" s="1613">
        <f t="shared" ref="AL187:AL193" si="182">(AF187/AF24)*100</f>
        <v>0</v>
      </c>
      <c r="AM187" s="1614"/>
      <c r="AN187" s="1599"/>
      <c r="AO187" s="1612"/>
      <c r="AP187" s="1659"/>
      <c r="AQ187" s="1611"/>
      <c r="AR187" s="1612"/>
      <c r="AS187" s="1612"/>
      <c r="AT187" s="1612"/>
      <c r="AU187" s="1616"/>
      <c r="AV187" s="1603"/>
      <c r="AW187" s="1627"/>
      <c r="AX187" s="1592"/>
    </row>
    <row r="188" spans="1:50" ht="15.75" hidden="1" customHeight="1" x14ac:dyDescent="0.25">
      <c r="A188" s="1520"/>
      <c r="B188" s="1624"/>
      <c r="C188" s="1513"/>
      <c r="D188" s="1608"/>
      <c r="E188" s="1552"/>
      <c r="F188" s="1447"/>
      <c r="G188" s="1608"/>
      <c r="H188" s="1103"/>
      <c r="I188" s="1103"/>
      <c r="J188" s="1103"/>
      <c r="K188" s="1103"/>
      <c r="L188" s="78"/>
      <c r="M188" s="1586"/>
      <c r="N188" s="1103"/>
      <c r="O188" s="1103"/>
      <c r="P188" s="78"/>
      <c r="Q188" s="1103"/>
      <c r="R188" s="1586"/>
      <c r="S188" s="1586"/>
      <c r="T188" s="1586"/>
      <c r="U188" s="1586"/>
      <c r="V188" s="1586"/>
      <c r="W188" s="1586"/>
      <c r="X188" s="1588"/>
      <c r="Y188" s="1586"/>
      <c r="Z188" s="1586"/>
      <c r="AA188" s="1586"/>
      <c r="AB188" s="1586"/>
      <c r="AC188" s="1586"/>
      <c r="AD188" s="1586"/>
      <c r="AE188" s="1609">
        <f t="shared" si="181"/>
        <v>0</v>
      </c>
      <c r="AF188" s="1561"/>
      <c r="AG188" s="1576"/>
      <c r="AH188" s="1611"/>
      <c r="AI188" s="1612"/>
      <c r="AJ188" s="1612"/>
      <c r="AK188" s="1612"/>
      <c r="AL188" s="1613">
        <f t="shared" si="182"/>
        <v>0</v>
      </c>
      <c r="AM188" s="1614"/>
      <c r="AN188" s="1599"/>
      <c r="AO188" s="1612"/>
      <c r="AP188" s="1659"/>
      <c r="AQ188" s="1611"/>
      <c r="AR188" s="1612"/>
      <c r="AS188" s="1612"/>
      <c r="AT188" s="1612"/>
      <c r="AU188" s="1616"/>
      <c r="AV188" s="1603"/>
      <c r="AW188" s="1627"/>
      <c r="AX188" s="1592"/>
    </row>
    <row r="189" spans="1:50" ht="15.75" hidden="1" customHeight="1" x14ac:dyDescent="0.25">
      <c r="A189" s="1520"/>
      <c r="B189" s="1624"/>
      <c r="C189" s="1513"/>
      <c r="D189" s="1608"/>
      <c r="E189" s="1552"/>
      <c r="F189" s="1447"/>
      <c r="G189" s="1608"/>
      <c r="H189" s="1103"/>
      <c r="I189" s="1103"/>
      <c r="J189" s="1103"/>
      <c r="K189" s="1103"/>
      <c r="L189" s="78"/>
      <c r="M189" s="1586"/>
      <c r="N189" s="1103"/>
      <c r="O189" s="1103"/>
      <c r="P189" s="78"/>
      <c r="Q189" s="1103"/>
      <c r="R189" s="1586"/>
      <c r="S189" s="1586"/>
      <c r="T189" s="1586"/>
      <c r="U189" s="1586"/>
      <c r="V189" s="1586"/>
      <c r="W189" s="1586"/>
      <c r="X189" s="1588"/>
      <c r="Y189" s="1586"/>
      <c r="Z189" s="1586"/>
      <c r="AA189" s="1586"/>
      <c r="AB189" s="1586"/>
      <c r="AC189" s="1586"/>
      <c r="AD189" s="1586"/>
      <c r="AE189" s="1609">
        <f t="shared" si="181"/>
        <v>0</v>
      </c>
      <c r="AF189" s="1561"/>
      <c r="AG189" s="1576"/>
      <c r="AH189" s="1611"/>
      <c r="AI189" s="1612"/>
      <c r="AJ189" s="1612"/>
      <c r="AK189" s="1612"/>
      <c r="AL189" s="1613">
        <f t="shared" si="182"/>
        <v>0</v>
      </c>
      <c r="AM189" s="1614"/>
      <c r="AN189" s="1599"/>
      <c r="AO189" s="1612"/>
      <c r="AP189" s="1659"/>
      <c r="AQ189" s="1611"/>
      <c r="AR189" s="1612"/>
      <c r="AS189" s="1612"/>
      <c r="AT189" s="1612"/>
      <c r="AU189" s="1616"/>
      <c r="AV189" s="1603"/>
      <c r="AW189" s="1627"/>
      <c r="AX189" s="1592"/>
    </row>
    <row r="190" spans="1:50" ht="15.75" hidden="1" customHeight="1" x14ac:dyDescent="0.25">
      <c r="A190" s="1520"/>
      <c r="B190" s="1624"/>
      <c r="C190" s="1513"/>
      <c r="D190" s="1608"/>
      <c r="E190" s="1552"/>
      <c r="F190" s="1447"/>
      <c r="G190" s="1608"/>
      <c r="H190" s="1103"/>
      <c r="I190" s="1103"/>
      <c r="J190" s="1103"/>
      <c r="K190" s="1103"/>
      <c r="L190" s="78"/>
      <c r="M190" s="1586"/>
      <c r="N190" s="1103"/>
      <c r="O190" s="1103"/>
      <c r="P190" s="78"/>
      <c r="Q190" s="1103"/>
      <c r="R190" s="1586"/>
      <c r="S190" s="1586"/>
      <c r="T190" s="1586"/>
      <c r="U190" s="1586"/>
      <c r="V190" s="1586"/>
      <c r="W190" s="1586"/>
      <c r="X190" s="1588"/>
      <c r="Y190" s="1586"/>
      <c r="Z190" s="1586"/>
      <c r="AA190" s="1586"/>
      <c r="AB190" s="1586"/>
      <c r="AC190" s="1586"/>
      <c r="AD190" s="1586"/>
      <c r="AE190" s="1609">
        <f t="shared" si="181"/>
        <v>0</v>
      </c>
      <c r="AF190" s="1561"/>
      <c r="AG190" s="1576"/>
      <c r="AH190" s="1611"/>
      <c r="AI190" s="1612"/>
      <c r="AJ190" s="1612"/>
      <c r="AK190" s="1612"/>
      <c r="AL190" s="1613" t="e">
        <f t="shared" si="182"/>
        <v>#DIV/0!</v>
      </c>
      <c r="AM190" s="1614"/>
      <c r="AN190" s="1599"/>
      <c r="AO190" s="1612"/>
      <c r="AP190" s="1659"/>
      <c r="AQ190" s="1611"/>
      <c r="AR190" s="1612"/>
      <c r="AS190" s="1612"/>
      <c r="AT190" s="1612"/>
      <c r="AU190" s="1616"/>
      <c r="AV190" s="1603"/>
      <c r="AW190" s="1627"/>
      <c r="AX190" s="1592"/>
    </row>
    <row r="191" spans="1:50" ht="15.75" hidden="1" customHeight="1" x14ac:dyDescent="0.25">
      <c r="A191" s="1520"/>
      <c r="B191" s="1624"/>
      <c r="C191" s="1513"/>
      <c r="D191" s="1608"/>
      <c r="E191" s="1552"/>
      <c r="F191" s="1447"/>
      <c r="G191" s="1608"/>
      <c r="H191" s="1103"/>
      <c r="I191" s="1103"/>
      <c r="J191" s="1103"/>
      <c r="K191" s="1103"/>
      <c r="L191" s="78"/>
      <c r="M191" s="1586"/>
      <c r="N191" s="1103"/>
      <c r="O191" s="1103"/>
      <c r="P191" s="78"/>
      <c r="Q191" s="1103"/>
      <c r="R191" s="1586"/>
      <c r="S191" s="1586"/>
      <c r="T191" s="1586"/>
      <c r="U191" s="1586"/>
      <c r="V191" s="1586"/>
      <c r="W191" s="1586"/>
      <c r="X191" s="1588"/>
      <c r="Y191" s="1586"/>
      <c r="Z191" s="1586"/>
      <c r="AA191" s="1586"/>
      <c r="AB191" s="1586"/>
      <c r="AC191" s="1586"/>
      <c r="AD191" s="1586"/>
      <c r="AE191" s="1609">
        <f t="shared" si="181"/>
        <v>0</v>
      </c>
      <c r="AF191" s="1561"/>
      <c r="AG191" s="1576"/>
      <c r="AH191" s="1611"/>
      <c r="AI191" s="1612"/>
      <c r="AJ191" s="1612"/>
      <c r="AK191" s="1612"/>
      <c r="AL191" s="1613">
        <f t="shared" si="182"/>
        <v>0</v>
      </c>
      <c r="AM191" s="1614"/>
      <c r="AN191" s="1599"/>
      <c r="AO191" s="1612"/>
      <c r="AP191" s="1659"/>
      <c r="AQ191" s="1611"/>
      <c r="AR191" s="1612"/>
      <c r="AS191" s="1612"/>
      <c r="AT191" s="1612"/>
      <c r="AU191" s="1616"/>
      <c r="AV191" s="1603"/>
      <c r="AW191" s="1627"/>
      <c r="AX191" s="1592"/>
    </row>
    <row r="192" spans="1:50" ht="15.75" hidden="1" customHeight="1" x14ac:dyDescent="0.25">
      <c r="A192" s="1520"/>
      <c r="B192" s="1624"/>
      <c r="C192" s="1513"/>
      <c r="D192" s="1608"/>
      <c r="E192" s="1552"/>
      <c r="F192" s="1447"/>
      <c r="G192" s="1608"/>
      <c r="H192" s="1103"/>
      <c r="I192" s="1103"/>
      <c r="J192" s="1103"/>
      <c r="K192" s="1103"/>
      <c r="L192" s="78"/>
      <c r="M192" s="1586"/>
      <c r="N192" s="1103"/>
      <c r="O192" s="1103"/>
      <c r="P192" s="78"/>
      <c r="Q192" s="1103"/>
      <c r="R192" s="1586"/>
      <c r="S192" s="1586"/>
      <c r="T192" s="1586"/>
      <c r="U192" s="1586"/>
      <c r="V192" s="1586"/>
      <c r="W192" s="1586"/>
      <c r="X192" s="1588"/>
      <c r="Y192" s="1586"/>
      <c r="Z192" s="1586"/>
      <c r="AA192" s="1586"/>
      <c r="AB192" s="1586"/>
      <c r="AC192" s="1586"/>
      <c r="AD192" s="1586"/>
      <c r="AE192" s="1609">
        <f t="shared" si="181"/>
        <v>0</v>
      </c>
      <c r="AF192" s="1561"/>
      <c r="AG192" s="1576"/>
      <c r="AH192" s="1611"/>
      <c r="AI192" s="1612"/>
      <c r="AJ192" s="1612"/>
      <c r="AK192" s="1612"/>
      <c r="AL192" s="1613">
        <f t="shared" si="182"/>
        <v>0</v>
      </c>
      <c r="AM192" s="1614"/>
      <c r="AN192" s="1599"/>
      <c r="AO192" s="1612"/>
      <c r="AP192" s="1659"/>
      <c r="AQ192" s="1611"/>
      <c r="AR192" s="1612"/>
      <c r="AS192" s="1612"/>
      <c r="AT192" s="1612"/>
      <c r="AU192" s="1616"/>
      <c r="AV192" s="1603"/>
      <c r="AW192" s="1627"/>
      <c r="AX192" s="1592"/>
    </row>
    <row r="193" spans="1:50" ht="15.75" hidden="1" customHeight="1" x14ac:dyDescent="0.25">
      <c r="A193" s="1520"/>
      <c r="B193" s="1624"/>
      <c r="C193" s="1513"/>
      <c r="D193" s="1608"/>
      <c r="E193" s="1552"/>
      <c r="F193" s="1447"/>
      <c r="G193" s="1608"/>
      <c r="H193" s="1103"/>
      <c r="I193" s="1103"/>
      <c r="J193" s="1103"/>
      <c r="K193" s="1103"/>
      <c r="L193" s="78"/>
      <c r="M193" s="1586"/>
      <c r="N193" s="1103"/>
      <c r="O193" s="1103"/>
      <c r="P193" s="78"/>
      <c r="Q193" s="1103"/>
      <c r="R193" s="1586"/>
      <c r="S193" s="1586"/>
      <c r="T193" s="1586"/>
      <c r="U193" s="1586"/>
      <c r="V193" s="1586"/>
      <c r="W193" s="1586"/>
      <c r="X193" s="1588"/>
      <c r="Y193" s="1586"/>
      <c r="Z193" s="1586"/>
      <c r="AA193" s="1586"/>
      <c r="AB193" s="1586"/>
      <c r="AC193" s="1586"/>
      <c r="AD193" s="1586"/>
      <c r="AE193" s="1609">
        <f t="shared" si="181"/>
        <v>0</v>
      </c>
      <c r="AF193" s="1561"/>
      <c r="AG193" s="1576"/>
      <c r="AH193" s="1611"/>
      <c r="AI193" s="1612"/>
      <c r="AJ193" s="1612"/>
      <c r="AK193" s="1612"/>
      <c r="AL193" s="1613" t="e">
        <f t="shared" si="182"/>
        <v>#DIV/0!</v>
      </c>
      <c r="AM193" s="1614"/>
      <c r="AN193" s="1599"/>
      <c r="AO193" s="1612"/>
      <c r="AP193" s="1659"/>
      <c r="AQ193" s="1611"/>
      <c r="AR193" s="1612"/>
      <c r="AS193" s="1612"/>
      <c r="AT193" s="1612"/>
      <c r="AU193" s="1616"/>
      <c r="AV193" s="1603"/>
      <c r="AW193" s="1627"/>
      <c r="AX193" s="1592"/>
    </row>
    <row r="194" spans="1:50" ht="15.75" customHeight="1" x14ac:dyDescent="0.25">
      <c r="A194" s="1511">
        <v>4</v>
      </c>
      <c r="B194" s="2005" t="s">
        <v>277</v>
      </c>
      <c r="C194" s="2004"/>
      <c r="D194" s="1573">
        <f>+D196</f>
        <v>27622094552.709999</v>
      </c>
      <c r="E194" s="1572">
        <f>SUM(E196)</f>
        <v>27622094552.709999</v>
      </c>
      <c r="F194" s="1495">
        <f>+X194+AF194+AM194+AW194</f>
        <v>30752000</v>
      </c>
      <c r="G194" s="1573">
        <f>+G196</f>
        <v>0</v>
      </c>
      <c r="H194" s="1099">
        <f t="shared" ref="H194:W194" si="183">H196</f>
        <v>0</v>
      </c>
      <c r="I194" s="1099">
        <f t="shared" si="183"/>
        <v>0</v>
      </c>
      <c r="J194" s="1099">
        <f t="shared" si="183"/>
        <v>0</v>
      </c>
      <c r="K194" s="1099">
        <f t="shared" si="183"/>
        <v>0</v>
      </c>
      <c r="L194" s="1647">
        <f t="shared" si="183"/>
        <v>0</v>
      </c>
      <c r="M194" s="1647">
        <f t="shared" si="183"/>
        <v>0</v>
      </c>
      <c r="N194" s="1099">
        <f t="shared" si="183"/>
        <v>0</v>
      </c>
      <c r="O194" s="1099">
        <f t="shared" si="183"/>
        <v>0</v>
      </c>
      <c r="P194" s="1647">
        <f t="shared" si="183"/>
        <v>0</v>
      </c>
      <c r="Q194" s="1099">
        <f t="shared" si="183"/>
        <v>0</v>
      </c>
      <c r="R194" s="1647">
        <f t="shared" si="183"/>
        <v>0</v>
      </c>
      <c r="S194" s="1647">
        <f t="shared" si="183"/>
        <v>0</v>
      </c>
      <c r="T194" s="1647">
        <f t="shared" si="183"/>
        <v>0</v>
      </c>
      <c r="U194" s="1647">
        <f t="shared" si="183"/>
        <v>0</v>
      </c>
      <c r="V194" s="1647">
        <f t="shared" si="183"/>
        <v>0</v>
      </c>
      <c r="W194" s="1647">
        <f t="shared" si="183"/>
        <v>0</v>
      </c>
      <c r="X194" s="1628">
        <f>G194/1000</f>
        <v>0</v>
      </c>
      <c r="Y194" s="1647">
        <f t="shared" ref="Y194:AD194" si="184">Y196</f>
        <v>0</v>
      </c>
      <c r="Z194" s="1647">
        <f t="shared" si="184"/>
        <v>0</v>
      </c>
      <c r="AA194" s="1647">
        <f t="shared" si="184"/>
        <v>0</v>
      </c>
      <c r="AB194" s="1647">
        <f t="shared" si="184"/>
        <v>0</v>
      </c>
      <c r="AC194" s="1647">
        <f t="shared" si="184"/>
        <v>0</v>
      </c>
      <c r="AD194" s="1647">
        <f t="shared" si="184"/>
        <v>0</v>
      </c>
      <c r="AE194" s="1575">
        <f>X194/$X$7</f>
        <v>0</v>
      </c>
      <c r="AF194" s="1557">
        <f>Y194/1000</f>
        <v>0</v>
      </c>
      <c r="AG194" s="1576">
        <f>SUM(AG196)</f>
        <v>25000000</v>
      </c>
      <c r="AH194" s="1684">
        <f>+AH196</f>
        <v>0</v>
      </c>
      <c r="AI194" s="1658">
        <f>+AI196</f>
        <v>25000000</v>
      </c>
      <c r="AJ194" s="1658">
        <f>+AJ196</f>
        <v>0</v>
      </c>
      <c r="AK194" s="1658">
        <f>+AK196</f>
        <v>0</v>
      </c>
      <c r="AL194" s="1577">
        <f>(AF194/AF7)</f>
        <v>0</v>
      </c>
      <c r="AM194" s="1598">
        <v>0</v>
      </c>
      <c r="AN194" s="1599">
        <f>AN196</f>
        <v>27597094552.709999</v>
      </c>
      <c r="AO194" s="1658">
        <f t="shared" ref="AO194:AT194" si="185">+AO196</f>
        <v>24180518718.5</v>
      </c>
      <c r="AP194" s="1659">
        <f t="shared" si="185"/>
        <v>3416575834.21</v>
      </c>
      <c r="AQ194" s="1611">
        <f t="shared" si="185"/>
        <v>0</v>
      </c>
      <c r="AR194" s="1612">
        <f t="shared" si="185"/>
        <v>0</v>
      </c>
      <c r="AS194" s="1612">
        <f t="shared" si="185"/>
        <v>0</v>
      </c>
      <c r="AT194" s="1612">
        <f t="shared" si="185"/>
        <v>3416575834.21</v>
      </c>
      <c r="AU194" s="1602">
        <f>AU196</f>
        <v>27622094552.709999</v>
      </c>
      <c r="AV194" s="1603">
        <f>AM194/$AM$7</f>
        <v>0</v>
      </c>
      <c r="AW194" s="1631">
        <f>+AW196</f>
        <v>30752000</v>
      </c>
      <c r="AX194" s="1592">
        <f>AW194/$AW$7</f>
        <v>0.57921202181354137</v>
      </c>
    </row>
    <row r="195" spans="1:50" ht="15.75" hidden="1" customHeight="1" x14ac:dyDescent="0.25">
      <c r="A195" s="1511"/>
      <c r="B195" s="1512"/>
      <c r="C195" s="1513"/>
      <c r="D195" s="1573"/>
      <c r="E195" s="1552"/>
      <c r="F195" s="1447"/>
      <c r="G195" s="1608"/>
      <c r="H195" s="1099"/>
      <c r="I195" s="1099"/>
      <c r="J195" s="1099"/>
      <c r="K195" s="1099"/>
      <c r="L195" s="1647"/>
      <c r="M195" s="1685"/>
      <c r="N195" s="1099"/>
      <c r="O195" s="1099"/>
      <c r="P195" s="1647"/>
      <c r="Q195" s="1099"/>
      <c r="R195" s="1685"/>
      <c r="S195" s="1685"/>
      <c r="T195" s="1685"/>
      <c r="U195" s="1685"/>
      <c r="V195" s="1685"/>
      <c r="W195" s="1685"/>
      <c r="X195" s="1588"/>
      <c r="Y195" s="1685"/>
      <c r="Z195" s="1685"/>
      <c r="AA195" s="1685"/>
      <c r="AB195" s="1685"/>
      <c r="AC195" s="1685"/>
      <c r="AD195" s="1685"/>
      <c r="AE195" s="1609">
        <f>X195/$X$7*100</f>
        <v>0</v>
      </c>
      <c r="AF195" s="1561"/>
      <c r="AG195" s="1576"/>
      <c r="AH195" s="1611"/>
      <c r="AI195" s="1612"/>
      <c r="AJ195" s="1612"/>
      <c r="AK195" s="1612"/>
      <c r="AL195" s="1613">
        <f>(AF195/AF32)*100</f>
        <v>0</v>
      </c>
      <c r="AM195" s="1614"/>
      <c r="AN195" s="1599"/>
      <c r="AO195" s="1612"/>
      <c r="AP195" s="1659"/>
      <c r="AQ195" s="1611"/>
      <c r="AR195" s="1612"/>
      <c r="AS195" s="1612"/>
      <c r="AT195" s="1612"/>
      <c r="AU195" s="1602"/>
      <c r="AV195" s="1603"/>
      <c r="AW195" s="1627"/>
      <c r="AX195" s="1592"/>
    </row>
    <row r="196" spans="1:50" ht="15.75" customHeight="1" x14ac:dyDescent="0.25">
      <c r="A196" s="1517" t="s">
        <v>278</v>
      </c>
      <c r="B196" s="2013" t="s">
        <v>279</v>
      </c>
      <c r="C196" s="2002"/>
      <c r="D196" s="1657">
        <f>+D197</f>
        <v>27622094552.709999</v>
      </c>
      <c r="E196" s="1572">
        <f>SUM(G196+Y196+AG196+AN196)</f>
        <v>27622094552.709999</v>
      </c>
      <c r="F196" s="1495">
        <f t="shared" ref="F196:F202" si="186">+X196+AF196+AM196+AW196</f>
        <v>30752000</v>
      </c>
      <c r="G196" s="1573">
        <f t="shared" ref="G196:G201" si="187">SUM(H196:W196)</f>
        <v>0</v>
      </c>
      <c r="H196" s="1657">
        <f t="shared" ref="H196:W196" si="188">+H197+H201</f>
        <v>0</v>
      </c>
      <c r="I196" s="1657">
        <f t="shared" si="188"/>
        <v>0</v>
      </c>
      <c r="J196" s="1657">
        <f t="shared" si="188"/>
        <v>0</v>
      </c>
      <c r="K196" s="1657">
        <f t="shared" si="188"/>
        <v>0</v>
      </c>
      <c r="L196" s="1685">
        <f t="shared" si="188"/>
        <v>0</v>
      </c>
      <c r="M196" s="1685">
        <f t="shared" si="188"/>
        <v>0</v>
      </c>
      <c r="N196" s="1657">
        <f t="shared" si="188"/>
        <v>0</v>
      </c>
      <c r="O196" s="1657">
        <f t="shared" si="188"/>
        <v>0</v>
      </c>
      <c r="P196" s="1685">
        <f t="shared" si="188"/>
        <v>0</v>
      </c>
      <c r="Q196" s="1657">
        <f t="shared" si="188"/>
        <v>0</v>
      </c>
      <c r="R196" s="1685">
        <f t="shared" si="188"/>
        <v>0</v>
      </c>
      <c r="S196" s="1685">
        <f t="shared" si="188"/>
        <v>0</v>
      </c>
      <c r="T196" s="1685">
        <f t="shared" si="188"/>
        <v>0</v>
      </c>
      <c r="U196" s="1685">
        <f t="shared" si="188"/>
        <v>0</v>
      </c>
      <c r="V196" s="1685">
        <f t="shared" si="188"/>
        <v>0</v>
      </c>
      <c r="W196" s="1685">
        <f t="shared" si="188"/>
        <v>0</v>
      </c>
      <c r="X196" s="1628">
        <f t="shared" ref="X196:X205" si="189">G196/1000</f>
        <v>0</v>
      </c>
      <c r="Y196" s="1685">
        <f t="shared" ref="Y196:AD196" si="190">+Y197+Y201</f>
        <v>0</v>
      </c>
      <c r="Z196" s="1685">
        <f t="shared" si="190"/>
        <v>0</v>
      </c>
      <c r="AA196" s="1685">
        <f t="shared" si="190"/>
        <v>0</v>
      </c>
      <c r="AB196" s="1685">
        <f t="shared" si="190"/>
        <v>0</v>
      </c>
      <c r="AC196" s="1685">
        <f t="shared" si="190"/>
        <v>0</v>
      </c>
      <c r="AD196" s="1685">
        <f t="shared" si="190"/>
        <v>0</v>
      </c>
      <c r="AE196" s="1575">
        <f>X196/$X$7</f>
        <v>0</v>
      </c>
      <c r="AF196" s="1557">
        <f t="shared" ref="AF196:AF202" si="191">Y196/1000</f>
        <v>0</v>
      </c>
      <c r="AG196" s="1576">
        <f>SUM(AG197)</f>
        <v>25000000</v>
      </c>
      <c r="AH196" s="1684">
        <f>+AH197</f>
        <v>0</v>
      </c>
      <c r="AI196" s="1658">
        <f>+AI197</f>
        <v>25000000</v>
      </c>
      <c r="AJ196" s="1658">
        <f>+AJ197</f>
        <v>0</v>
      </c>
      <c r="AK196" s="1658">
        <f>+AK197</f>
        <v>0</v>
      </c>
      <c r="AL196" s="1577">
        <f>(AF196/AF7)</f>
        <v>0</v>
      </c>
      <c r="AM196" s="1598">
        <v>0</v>
      </c>
      <c r="AN196" s="780">
        <f>SUM(AN197)</f>
        <v>27597094552.709999</v>
      </c>
      <c r="AO196" s="1658">
        <f>SUM(AO197:AO202)</f>
        <v>24180518718.5</v>
      </c>
      <c r="AP196" s="1659">
        <f>SUM(AP197:AP202)</f>
        <v>3416575834.21</v>
      </c>
      <c r="AQ196" s="1611">
        <f>+AQ197</f>
        <v>0</v>
      </c>
      <c r="AR196" s="1612">
        <f>+AR197</f>
        <v>0</v>
      </c>
      <c r="AS196" s="1612">
        <f>+AS197</f>
        <v>0</v>
      </c>
      <c r="AT196" s="1612">
        <f>+AT197</f>
        <v>3416575834.21</v>
      </c>
      <c r="AU196" s="1777">
        <f>SUM(AU197)</f>
        <v>27622094552.709999</v>
      </c>
      <c r="AV196" s="1603">
        <f t="shared" ref="AV196:AV205" si="192">AM196/$AM$7</f>
        <v>0</v>
      </c>
      <c r="AW196" s="1631">
        <f>+AW197</f>
        <v>30752000</v>
      </c>
      <c r="AX196" s="1592">
        <f t="shared" ref="AX196:AX205" si="193">AW196/$AW$7</f>
        <v>0.57921202181354137</v>
      </c>
    </row>
    <row r="197" spans="1:50" ht="15.75" customHeight="1" x14ac:dyDescent="0.25">
      <c r="A197" s="1520" t="s">
        <v>280</v>
      </c>
      <c r="B197" s="2009" t="s">
        <v>281</v>
      </c>
      <c r="C197" s="2004"/>
      <c r="D197" s="1608">
        <f>SUM(D198:D202)</f>
        <v>27622094552.709999</v>
      </c>
      <c r="E197" s="1552">
        <f>SUM(E198:E202)</f>
        <v>27622094552.709999</v>
      </c>
      <c r="F197" s="1447">
        <f t="shared" si="186"/>
        <v>30752000</v>
      </c>
      <c r="G197" s="1608">
        <f t="shared" si="187"/>
        <v>0</v>
      </c>
      <c r="H197" s="1103"/>
      <c r="I197" s="1103"/>
      <c r="J197" s="1103"/>
      <c r="K197" s="1103"/>
      <c r="L197" s="78"/>
      <c r="M197" s="1586"/>
      <c r="N197" s="1103"/>
      <c r="O197" s="1103"/>
      <c r="P197" s="78"/>
      <c r="Q197" s="1103"/>
      <c r="R197" s="1586"/>
      <c r="S197" s="1586"/>
      <c r="T197" s="1586"/>
      <c r="U197" s="1586"/>
      <c r="V197" s="1586"/>
      <c r="W197" s="1586"/>
      <c r="X197" s="1588">
        <f t="shared" si="189"/>
        <v>0</v>
      </c>
      <c r="Y197" s="1586"/>
      <c r="Z197" s="1586"/>
      <c r="AA197" s="1586"/>
      <c r="AB197" s="1586"/>
      <c r="AC197" s="1586"/>
      <c r="AD197" s="1586"/>
      <c r="AE197" s="1609">
        <f>X197/$X$7</f>
        <v>0</v>
      </c>
      <c r="AF197" s="1561">
        <f t="shared" si="191"/>
        <v>0</v>
      </c>
      <c r="AG197" s="1576">
        <f>SUM(AG198:AG202)</f>
        <v>25000000</v>
      </c>
      <c r="AH197" s="1778">
        <f>SUM(AH198:AH201)</f>
        <v>0</v>
      </c>
      <c r="AI197" s="1685">
        <f>SUM(AI198:AI202)</f>
        <v>25000000</v>
      </c>
      <c r="AJ197" s="1586">
        <v>0</v>
      </c>
      <c r="AK197" s="1586">
        <v>0</v>
      </c>
      <c r="AL197" s="1613">
        <f>(AF197/AF7)</f>
        <v>0</v>
      </c>
      <c r="AM197" s="1614">
        <v>0</v>
      </c>
      <c r="AN197" s="1599">
        <f>SUM(AN198:AN202)</f>
        <v>27597094552.709999</v>
      </c>
      <c r="AO197" s="1586">
        <v>0</v>
      </c>
      <c r="AP197" s="780">
        <v>0</v>
      </c>
      <c r="AQ197" s="1645">
        <v>0</v>
      </c>
      <c r="AR197" s="1586">
        <v>0</v>
      </c>
      <c r="AS197" s="1586">
        <v>0</v>
      </c>
      <c r="AT197" s="1586">
        <f>SUM(AT198:AT202)</f>
        <v>3416575834.21</v>
      </c>
      <c r="AU197" s="1616">
        <f>SUM(AU198:AU202)</f>
        <v>27622094552.709999</v>
      </c>
      <c r="AV197" s="1617">
        <f t="shared" si="192"/>
        <v>0</v>
      </c>
      <c r="AW197" s="1627">
        <f>+AW198+AW201+AW204+AW205</f>
        <v>30752000</v>
      </c>
      <c r="AX197" s="1619">
        <f t="shared" si="193"/>
        <v>0.57921202181354137</v>
      </c>
    </row>
    <row r="198" spans="1:50" ht="15.75" customHeight="1" x14ac:dyDescent="0.25">
      <c r="A198" s="1652" t="s">
        <v>480</v>
      </c>
      <c r="B198" s="1779" t="s">
        <v>408</v>
      </c>
      <c r="C198" s="1513"/>
      <c r="D198" s="1608">
        <f>+G198+Y198+AG198+AN198</f>
        <v>24180518718.5</v>
      </c>
      <c r="E198" s="1552">
        <f>SUM(G198+Y198+AG198+AN198)</f>
        <v>24180518718.5</v>
      </c>
      <c r="F198" s="1447">
        <f t="shared" si="186"/>
        <v>26850000</v>
      </c>
      <c r="G198" s="1608">
        <f t="shared" si="187"/>
        <v>0</v>
      </c>
      <c r="H198" s="1103"/>
      <c r="I198" s="1103"/>
      <c r="J198" s="1103"/>
      <c r="K198" s="1103"/>
      <c r="L198" s="78"/>
      <c r="M198" s="1586"/>
      <c r="N198" s="1103"/>
      <c r="O198" s="1103"/>
      <c r="P198" s="78"/>
      <c r="Q198" s="1103"/>
      <c r="R198" s="1586"/>
      <c r="S198" s="1586"/>
      <c r="T198" s="1586"/>
      <c r="U198" s="1586"/>
      <c r="V198" s="1586"/>
      <c r="W198" s="1586"/>
      <c r="X198" s="1588">
        <f t="shared" si="189"/>
        <v>0</v>
      </c>
      <c r="Y198" s="1561">
        <f>SUM(Z198:AD198)</f>
        <v>0</v>
      </c>
      <c r="Z198" s="1586"/>
      <c r="AA198" s="1586"/>
      <c r="AB198" s="1586"/>
      <c r="AC198" s="1586"/>
      <c r="AD198" s="1586"/>
      <c r="AE198" s="1609">
        <f>X198/$X$7</f>
        <v>0</v>
      </c>
      <c r="AF198" s="1561">
        <f t="shared" si="191"/>
        <v>0</v>
      </c>
      <c r="AG198" s="1576">
        <f>SUM(AH198:AK198)</f>
        <v>0</v>
      </c>
      <c r="AH198" s="1780"/>
      <c r="AI198" s="1781"/>
      <c r="AJ198" s="1586"/>
      <c r="AK198" s="1586"/>
      <c r="AL198" s="1613">
        <f>(AF198/AF7)</f>
        <v>0</v>
      </c>
      <c r="AM198" s="1614">
        <f>AG198/1000</f>
        <v>0</v>
      </c>
      <c r="AN198" s="1615">
        <f>SUM(AO198+AP198)</f>
        <v>24180518718.5</v>
      </c>
      <c r="AO198" s="1586">
        <v>24180518718.5</v>
      </c>
      <c r="AP198" s="1738">
        <f>SUM(AQ198:AT198)</f>
        <v>0</v>
      </c>
      <c r="AQ198" s="1645"/>
      <c r="AR198" s="1586"/>
      <c r="AS198" s="1586"/>
      <c r="AT198" s="1586"/>
      <c r="AU198" s="1616">
        <f>SUM(AN198+AG198+Y198+G198)</f>
        <v>24180518718.5</v>
      </c>
      <c r="AV198" s="1617">
        <f t="shared" si="192"/>
        <v>0</v>
      </c>
      <c r="AW198" s="1627">
        <f>26850000000/1000</f>
        <v>26850000</v>
      </c>
      <c r="AX198" s="1619">
        <f t="shared" si="193"/>
        <v>0.50571809266693502</v>
      </c>
    </row>
    <row r="199" spans="1:50" ht="15.75" hidden="1" customHeight="1" x14ac:dyDescent="0.25">
      <c r="A199" s="1652" t="s">
        <v>481</v>
      </c>
      <c r="B199" s="1779" t="s">
        <v>282</v>
      </c>
      <c r="C199" s="1513"/>
      <c r="D199" s="1608">
        <f>+G199+Y199+AG199+AN199</f>
        <v>25000000</v>
      </c>
      <c r="E199" s="1552">
        <f>SUM(G199+Y199+AG199+AN199)</f>
        <v>25000000</v>
      </c>
      <c r="F199" s="1447">
        <f t="shared" si="186"/>
        <v>0</v>
      </c>
      <c r="G199" s="1608">
        <f t="shared" si="187"/>
        <v>0</v>
      </c>
      <c r="H199" s="1103"/>
      <c r="I199" s="1103"/>
      <c r="J199" s="1103"/>
      <c r="K199" s="1103"/>
      <c r="L199" s="78"/>
      <c r="M199" s="1586"/>
      <c r="N199" s="1103"/>
      <c r="O199" s="1103"/>
      <c r="P199" s="78"/>
      <c r="Q199" s="1103"/>
      <c r="R199" s="1586"/>
      <c r="S199" s="1586"/>
      <c r="T199" s="1586"/>
      <c r="U199" s="1586"/>
      <c r="V199" s="1586"/>
      <c r="W199" s="1586"/>
      <c r="X199" s="1588">
        <f t="shared" si="189"/>
        <v>0</v>
      </c>
      <c r="Y199" s="1561">
        <f>SUM(Z199:AD199)</f>
        <v>0</v>
      </c>
      <c r="Z199" s="1586"/>
      <c r="AA199" s="1586"/>
      <c r="AB199" s="1586"/>
      <c r="AC199" s="1586"/>
      <c r="AD199" s="1586"/>
      <c r="AE199" s="1609">
        <f>X199/$X$7*100</f>
        <v>0</v>
      </c>
      <c r="AF199" s="1561">
        <f t="shared" si="191"/>
        <v>0</v>
      </c>
      <c r="AG199" s="1576">
        <f>SUM(AH199:AK199)</f>
        <v>25000000</v>
      </c>
      <c r="AH199" s="1780"/>
      <c r="AI199" s="1586">
        <v>25000000</v>
      </c>
      <c r="AJ199" s="1586"/>
      <c r="AK199" s="1586"/>
      <c r="AL199" s="1613" t="e">
        <f>(AF199/AF36)*100</f>
        <v>#DIV/0!</v>
      </c>
      <c r="AM199" s="1614">
        <v>0</v>
      </c>
      <c r="AN199" s="1615">
        <f>SUM(AO199+AP199)</f>
        <v>0</v>
      </c>
      <c r="AO199" s="1586"/>
      <c r="AP199" s="1738">
        <f>SUM(AQ199:AT199)</f>
        <v>0</v>
      </c>
      <c r="AQ199" s="1645"/>
      <c r="AR199" s="1586"/>
      <c r="AS199" s="1586"/>
      <c r="AT199" s="1586"/>
      <c r="AU199" s="1616">
        <f>SUM(AN199+AG199+Y199+G199)</f>
        <v>25000000</v>
      </c>
      <c r="AV199" s="1617">
        <f t="shared" si="192"/>
        <v>0</v>
      </c>
      <c r="AW199" s="1627">
        <v>0</v>
      </c>
      <c r="AX199" s="1619">
        <f t="shared" si="193"/>
        <v>0</v>
      </c>
    </row>
    <row r="200" spans="1:50" ht="15.75" hidden="1" customHeight="1" x14ac:dyDescent="0.25">
      <c r="A200" s="1652" t="s">
        <v>482</v>
      </c>
      <c r="B200" s="1779" t="s">
        <v>483</v>
      </c>
      <c r="C200" s="1513"/>
      <c r="D200" s="1608">
        <f>+G200+Y200+AG200+AN200</f>
        <v>0</v>
      </c>
      <c r="E200" s="1552">
        <f>SUM(G200+Y200+AG200+AN200)</f>
        <v>0</v>
      </c>
      <c r="F200" s="1447">
        <f t="shared" si="186"/>
        <v>0</v>
      </c>
      <c r="G200" s="1608">
        <f t="shared" si="187"/>
        <v>0</v>
      </c>
      <c r="H200" s="1103"/>
      <c r="I200" s="1103"/>
      <c r="J200" s="1103"/>
      <c r="K200" s="1103"/>
      <c r="L200" s="78"/>
      <c r="M200" s="1586"/>
      <c r="N200" s="1103"/>
      <c r="O200" s="1103"/>
      <c r="P200" s="78"/>
      <c r="Q200" s="1103"/>
      <c r="R200" s="1586"/>
      <c r="S200" s="1586"/>
      <c r="T200" s="1586"/>
      <c r="U200" s="1586"/>
      <c r="V200" s="1586"/>
      <c r="W200" s="1586"/>
      <c r="X200" s="1588">
        <f t="shared" si="189"/>
        <v>0</v>
      </c>
      <c r="Y200" s="1561">
        <f>SUM(Z200:AD200)</f>
        <v>0</v>
      </c>
      <c r="Z200" s="1586"/>
      <c r="AA200" s="1586"/>
      <c r="AB200" s="1586"/>
      <c r="AC200" s="1586"/>
      <c r="AD200" s="1586"/>
      <c r="AE200" s="1609">
        <f>X200/$X$7*100</f>
        <v>0</v>
      </c>
      <c r="AF200" s="1561">
        <f t="shared" si="191"/>
        <v>0</v>
      </c>
      <c r="AG200" s="1576">
        <f>SUM(AH200:AK200)</f>
        <v>0</v>
      </c>
      <c r="AH200" s="1780"/>
      <c r="AI200" s="1781"/>
      <c r="AJ200" s="1586"/>
      <c r="AK200" s="1586"/>
      <c r="AL200" s="1613">
        <f>(AF200/AF37)*100</f>
        <v>0</v>
      </c>
      <c r="AM200" s="1614">
        <f>AG200/1000</f>
        <v>0</v>
      </c>
      <c r="AN200" s="1615">
        <f>SUM(AO200+AP200)</f>
        <v>0</v>
      </c>
      <c r="AO200" s="1586"/>
      <c r="AP200" s="1738">
        <f>SUM(AQ200:AT200)</f>
        <v>0</v>
      </c>
      <c r="AQ200" s="1645"/>
      <c r="AR200" s="1586"/>
      <c r="AS200" s="1586"/>
      <c r="AT200" s="1586"/>
      <c r="AU200" s="1616">
        <f>SUM(AN200+AG200+Y200+G200)</f>
        <v>0</v>
      </c>
      <c r="AV200" s="1617">
        <f t="shared" si="192"/>
        <v>0</v>
      </c>
      <c r="AW200" s="1627">
        <f>AN200/1000</f>
        <v>0</v>
      </c>
      <c r="AX200" s="1619">
        <f t="shared" si="193"/>
        <v>0</v>
      </c>
    </row>
    <row r="201" spans="1:50" ht="15.75" customHeight="1" x14ac:dyDescent="0.25">
      <c r="A201" s="1652" t="s">
        <v>484</v>
      </c>
      <c r="B201" s="1779" t="s">
        <v>933</v>
      </c>
      <c r="C201" s="1513"/>
      <c r="D201" s="1608">
        <f>+G201+Y201+AG201+AN201</f>
        <v>2059089300</v>
      </c>
      <c r="E201" s="1552">
        <f>SUM(G201+Y201+AG201+AN201)</f>
        <v>2059089300</v>
      </c>
      <c r="F201" s="1447">
        <f t="shared" si="186"/>
        <v>0</v>
      </c>
      <c r="G201" s="1608">
        <f t="shared" si="187"/>
        <v>0</v>
      </c>
      <c r="H201" s="1103"/>
      <c r="I201" s="1103"/>
      <c r="J201" s="1103"/>
      <c r="K201" s="1103"/>
      <c r="L201" s="78"/>
      <c r="M201" s="1586"/>
      <c r="N201" s="1103"/>
      <c r="O201" s="1103"/>
      <c r="P201" s="78"/>
      <c r="Q201" s="1103"/>
      <c r="R201" s="1586"/>
      <c r="S201" s="1586"/>
      <c r="T201" s="1586"/>
      <c r="U201" s="1586"/>
      <c r="V201" s="1586"/>
      <c r="W201" s="1586"/>
      <c r="X201" s="1588">
        <f t="shared" si="189"/>
        <v>0</v>
      </c>
      <c r="Y201" s="1561">
        <f>SUM(Z201:AD201)</f>
        <v>0</v>
      </c>
      <c r="Z201" s="1586"/>
      <c r="AA201" s="1586"/>
      <c r="AB201" s="1586"/>
      <c r="AC201" s="1586"/>
      <c r="AD201" s="1586"/>
      <c r="AE201" s="1609">
        <f>X201/$X$7</f>
        <v>0</v>
      </c>
      <c r="AF201" s="1561">
        <f t="shared" si="191"/>
        <v>0</v>
      </c>
      <c r="AG201" s="1576">
        <f>SUM(AH201:AK201)</f>
        <v>0</v>
      </c>
      <c r="AH201" s="1611"/>
      <c r="AI201" s="1782"/>
      <c r="AJ201" s="1612"/>
      <c r="AK201" s="1612"/>
      <c r="AL201" s="1613">
        <f>(AF201/AF7)</f>
        <v>0</v>
      </c>
      <c r="AM201" s="1614">
        <f>AG201/1000</f>
        <v>0</v>
      </c>
      <c r="AN201" s="1615">
        <f>SUM(AO201+AP201)</f>
        <v>2059089300</v>
      </c>
      <c r="AO201" s="1612"/>
      <c r="AP201" s="1738">
        <f>SUM(AQ201:AT201)</f>
        <v>2059089300</v>
      </c>
      <c r="AQ201" s="1611"/>
      <c r="AR201" s="1612"/>
      <c r="AS201" s="1612"/>
      <c r="AT201" s="1612">
        <f>338225550+1000000000+(1441727500/2)</f>
        <v>2059089300</v>
      </c>
      <c r="AU201" s="1616">
        <f>SUM(AN201+AG201+Y201+G201)</f>
        <v>2059089300</v>
      </c>
      <c r="AV201" s="1617">
        <f t="shared" si="192"/>
        <v>0</v>
      </c>
      <c r="AW201" s="1627">
        <f>0/1000</f>
        <v>0</v>
      </c>
      <c r="AX201" s="1619">
        <f t="shared" si="193"/>
        <v>0</v>
      </c>
    </row>
    <row r="202" spans="1:50" ht="15.75" hidden="1" customHeight="1" x14ac:dyDescent="0.25">
      <c r="A202" s="1652" t="s">
        <v>538</v>
      </c>
      <c r="B202" s="1624" t="s">
        <v>638</v>
      </c>
      <c r="C202" s="1513"/>
      <c r="D202" s="1608">
        <f>+G202+Y202+AG202+AN202</f>
        <v>1357486534.21</v>
      </c>
      <c r="E202" s="1552">
        <f>SUM(G202+Y202+AG202+AN202)</f>
        <v>1357486534.21</v>
      </c>
      <c r="F202" s="1447">
        <f t="shared" si="186"/>
        <v>0</v>
      </c>
      <c r="G202" s="1608"/>
      <c r="H202" s="1103"/>
      <c r="I202" s="1103"/>
      <c r="J202" s="1103"/>
      <c r="K202" s="1103"/>
      <c r="L202" s="78"/>
      <c r="M202" s="1586"/>
      <c r="N202" s="1103"/>
      <c r="O202" s="1103"/>
      <c r="P202" s="78"/>
      <c r="Q202" s="1103"/>
      <c r="R202" s="1586"/>
      <c r="S202" s="1586"/>
      <c r="T202" s="1586"/>
      <c r="U202" s="1586"/>
      <c r="V202" s="1586"/>
      <c r="W202" s="1586"/>
      <c r="X202" s="1588">
        <f t="shared" si="189"/>
        <v>0</v>
      </c>
      <c r="Y202" s="1561">
        <f>SUM(Z202:AD202)</f>
        <v>0</v>
      </c>
      <c r="Z202" s="1586"/>
      <c r="AA202" s="1586"/>
      <c r="AB202" s="1586"/>
      <c r="AC202" s="1586"/>
      <c r="AD202" s="1586"/>
      <c r="AE202" s="1609">
        <f>X202/$X$7*100</f>
        <v>0</v>
      </c>
      <c r="AF202" s="1561">
        <f t="shared" si="191"/>
        <v>0</v>
      </c>
      <c r="AG202" s="1576">
        <f>SUM(AH202:AK202)</f>
        <v>0</v>
      </c>
      <c r="AH202" s="1611"/>
      <c r="AI202" s="1782"/>
      <c r="AJ202" s="1612"/>
      <c r="AK202" s="1612"/>
      <c r="AL202" s="1613" t="e">
        <f>(AF202/AF39)*100</f>
        <v>#DIV/0!</v>
      </c>
      <c r="AM202" s="1614">
        <f>AG202/1000</f>
        <v>0</v>
      </c>
      <c r="AN202" s="1615">
        <f>SUM(AO202+AP202)</f>
        <v>1357486534.21</v>
      </c>
      <c r="AO202" s="1612"/>
      <c r="AP202" s="1738">
        <f>SUM(AQ202:AT202)</f>
        <v>1357486534.21</v>
      </c>
      <c r="AQ202" s="1611"/>
      <c r="AR202" s="1612"/>
      <c r="AS202" s="1612"/>
      <c r="AT202" s="1612">
        <v>1357486534.21</v>
      </c>
      <c r="AU202" s="1616">
        <f>SUM(AN202+AG202+Y202+G202)</f>
        <v>1357486534.21</v>
      </c>
      <c r="AV202" s="1617">
        <f t="shared" si="192"/>
        <v>0</v>
      </c>
      <c r="AW202" s="1627">
        <v>0</v>
      </c>
      <c r="AX202" s="1619">
        <f t="shared" si="193"/>
        <v>0</v>
      </c>
    </row>
    <row r="203" spans="1:50" ht="15.75" hidden="1" customHeight="1" x14ac:dyDescent="0.25">
      <c r="A203" s="1652"/>
      <c r="B203" s="1624"/>
      <c r="C203" s="1513"/>
      <c r="D203" s="1608"/>
      <c r="E203" s="1552"/>
      <c r="F203" s="1447"/>
      <c r="G203" s="1608"/>
      <c r="H203" s="1103"/>
      <c r="I203" s="1103"/>
      <c r="J203" s="1103"/>
      <c r="K203" s="1103"/>
      <c r="L203" s="78"/>
      <c r="M203" s="1586"/>
      <c r="N203" s="1103"/>
      <c r="O203" s="1103"/>
      <c r="P203" s="78"/>
      <c r="Q203" s="1103"/>
      <c r="R203" s="1586"/>
      <c r="S203" s="1586"/>
      <c r="T203" s="1586"/>
      <c r="U203" s="1586"/>
      <c r="V203" s="1586"/>
      <c r="W203" s="1586"/>
      <c r="X203" s="1588">
        <f t="shared" si="189"/>
        <v>0</v>
      </c>
      <c r="Y203" s="1586"/>
      <c r="Z203" s="1586"/>
      <c r="AA203" s="1586"/>
      <c r="AB203" s="1586"/>
      <c r="AC203" s="1586"/>
      <c r="AD203" s="1586"/>
      <c r="AE203" s="1609">
        <f>X203/$X$7*100</f>
        <v>0</v>
      </c>
      <c r="AF203" s="1561"/>
      <c r="AG203" s="1580"/>
      <c r="AH203" s="1638"/>
      <c r="AI203" s="1637"/>
      <c r="AJ203" s="1639"/>
      <c r="AK203" s="1639"/>
      <c r="AL203" s="1613" t="e">
        <f>(AF203/AF40)*100</f>
        <v>#DIV/0!</v>
      </c>
      <c r="AM203" s="1614"/>
      <c r="AN203" s="1599"/>
      <c r="AO203" s="1637"/>
      <c r="AP203" s="1783"/>
      <c r="AQ203" s="1692"/>
      <c r="AR203" s="1637"/>
      <c r="AS203" s="1637"/>
      <c r="AT203" s="1637"/>
      <c r="AU203" s="1616"/>
      <c r="AV203" s="1617">
        <f t="shared" si="192"/>
        <v>0</v>
      </c>
      <c r="AW203" s="1627"/>
      <c r="AX203" s="1619">
        <f t="shared" si="193"/>
        <v>0</v>
      </c>
    </row>
    <row r="204" spans="1:50" ht="15.75" customHeight="1" x14ac:dyDescent="0.25">
      <c r="A204" s="1652" t="s">
        <v>538</v>
      </c>
      <c r="B204" s="1624" t="s">
        <v>932</v>
      </c>
      <c r="C204" s="1513"/>
      <c r="D204" s="1608"/>
      <c r="E204" s="1552"/>
      <c r="F204" s="1447">
        <f>+X204+AF204+AM204+AW204</f>
        <v>1502000</v>
      </c>
      <c r="G204" s="1608"/>
      <c r="H204" s="1103"/>
      <c r="I204" s="1103"/>
      <c r="J204" s="1103"/>
      <c r="K204" s="1103"/>
      <c r="L204" s="78"/>
      <c r="M204" s="1586"/>
      <c r="N204" s="1103"/>
      <c r="O204" s="1103"/>
      <c r="P204" s="78"/>
      <c r="Q204" s="1103"/>
      <c r="R204" s="1586"/>
      <c r="S204" s="1586"/>
      <c r="T204" s="1586"/>
      <c r="U204" s="1586"/>
      <c r="V204" s="1586"/>
      <c r="W204" s="1586"/>
      <c r="X204" s="1588">
        <f t="shared" si="189"/>
        <v>0</v>
      </c>
      <c r="Y204" s="1586"/>
      <c r="Z204" s="1586"/>
      <c r="AA204" s="1586"/>
      <c r="AB204" s="1586"/>
      <c r="AC204" s="1586"/>
      <c r="AD204" s="1586"/>
      <c r="AE204" s="1609">
        <f>X204/$X$7</f>
        <v>0</v>
      </c>
      <c r="AF204" s="1561">
        <v>0</v>
      </c>
      <c r="AG204" s="1580"/>
      <c r="AH204" s="1638"/>
      <c r="AI204" s="1637"/>
      <c r="AJ204" s="1639"/>
      <c r="AK204" s="1639"/>
      <c r="AL204" s="1613">
        <f>(AF204/AF7)</f>
        <v>0</v>
      </c>
      <c r="AM204" s="1614">
        <v>0</v>
      </c>
      <c r="AN204" s="1599"/>
      <c r="AO204" s="1637"/>
      <c r="AP204" s="1783"/>
      <c r="AQ204" s="1692"/>
      <c r="AR204" s="1637"/>
      <c r="AS204" s="1637"/>
      <c r="AT204" s="1637"/>
      <c r="AU204" s="1616"/>
      <c r="AV204" s="1617">
        <f t="shared" si="192"/>
        <v>0</v>
      </c>
      <c r="AW204" s="1627">
        <f>1502000000/1000</f>
        <v>1502000</v>
      </c>
      <c r="AX204" s="1619">
        <f t="shared" si="193"/>
        <v>2.8290077288109367E-2</v>
      </c>
    </row>
    <row r="205" spans="1:50" ht="15.75" customHeight="1" thickBot="1" x14ac:dyDescent="0.3">
      <c r="A205" s="1784" t="s">
        <v>753</v>
      </c>
      <c r="B205" s="1755" t="s">
        <v>931</v>
      </c>
      <c r="C205" s="1785"/>
      <c r="D205" s="1709"/>
      <c r="E205" s="1710"/>
      <c r="F205" s="1507">
        <f>+X205+AF205+AM205+AW205</f>
        <v>2400000</v>
      </c>
      <c r="G205" s="1709"/>
      <c r="H205" s="1711"/>
      <c r="I205" s="1711"/>
      <c r="J205" s="1711"/>
      <c r="K205" s="1711"/>
      <c r="L205" s="1712"/>
      <c r="M205" s="1713"/>
      <c r="N205" s="1711"/>
      <c r="O205" s="1711"/>
      <c r="P205" s="1712"/>
      <c r="Q205" s="1711"/>
      <c r="R205" s="1713"/>
      <c r="S205" s="1713"/>
      <c r="T205" s="1713"/>
      <c r="U205" s="1713"/>
      <c r="V205" s="1713"/>
      <c r="W205" s="1713"/>
      <c r="X205" s="1714">
        <f t="shared" si="189"/>
        <v>0</v>
      </c>
      <c r="Y205" s="1713"/>
      <c r="Z205" s="1713"/>
      <c r="AA205" s="1713"/>
      <c r="AB205" s="1713"/>
      <c r="AC205" s="1713"/>
      <c r="AD205" s="1713"/>
      <c r="AE205" s="1716">
        <f>X205/$X$7</f>
        <v>0</v>
      </c>
      <c r="AF205" s="1715">
        <v>0</v>
      </c>
      <c r="AG205" s="1786"/>
      <c r="AH205" s="1759"/>
      <c r="AI205" s="1762"/>
      <c r="AJ205" s="1760"/>
      <c r="AK205" s="1760"/>
      <c r="AL205" s="1720">
        <f>(AF205/AF7)</f>
        <v>0</v>
      </c>
      <c r="AM205" s="1721">
        <v>0</v>
      </c>
      <c r="AN205" s="1761"/>
      <c r="AO205" s="1762"/>
      <c r="AP205" s="1763"/>
      <c r="AQ205" s="1764"/>
      <c r="AR205" s="1762"/>
      <c r="AS205" s="1762"/>
      <c r="AT205" s="1762"/>
      <c r="AU205" s="1723"/>
      <c r="AV205" s="1724">
        <f t="shared" si="192"/>
        <v>0</v>
      </c>
      <c r="AW205" s="1725">
        <f>2400000000/1000</f>
        <v>2400000</v>
      </c>
      <c r="AX205" s="1726">
        <f t="shared" si="193"/>
        <v>4.5203851858496992E-2</v>
      </c>
    </row>
    <row r="206" spans="1:50" ht="15.75" customHeight="1" x14ac:dyDescent="0.25">
      <c r="A206" s="1520"/>
      <c r="B206" s="1624"/>
      <c r="C206" s="1513"/>
      <c r="D206" s="1608"/>
      <c r="E206" s="1552"/>
      <c r="F206" s="1447"/>
      <c r="G206" s="1608"/>
      <c r="H206" s="1103"/>
      <c r="I206" s="1103"/>
      <c r="J206" s="1103"/>
      <c r="K206" s="1103"/>
      <c r="L206" s="78"/>
      <c r="M206" s="1586"/>
      <c r="N206" s="1103"/>
      <c r="O206" s="1103"/>
      <c r="P206" s="78"/>
      <c r="Q206" s="1103"/>
      <c r="R206" s="1586"/>
      <c r="S206" s="1586"/>
      <c r="T206" s="1586"/>
      <c r="U206" s="1586"/>
      <c r="V206" s="1586"/>
      <c r="W206" s="1586"/>
      <c r="X206" s="1588"/>
      <c r="Y206" s="1586"/>
      <c r="Z206" s="1586"/>
      <c r="AA206" s="1586"/>
      <c r="AB206" s="1586"/>
      <c r="AC206" s="1586"/>
      <c r="AD206" s="1586"/>
      <c r="AE206" s="1575"/>
      <c r="AF206" s="1561"/>
      <c r="AG206" s="1576"/>
      <c r="AH206" s="1638"/>
      <c r="AI206" s="1639"/>
      <c r="AJ206" s="1639"/>
      <c r="AK206" s="1639"/>
      <c r="AL206" s="1787"/>
      <c r="AM206" s="1614"/>
      <c r="AN206" s="1599"/>
      <c r="AO206" s="1637"/>
      <c r="AP206" s="1783"/>
      <c r="AQ206" s="1692"/>
      <c r="AR206" s="1637"/>
      <c r="AS206" s="1637"/>
      <c r="AT206" s="1637"/>
      <c r="AU206" s="1616"/>
      <c r="AV206" s="1603"/>
      <c r="AW206" s="1627"/>
      <c r="AX206" s="1592"/>
    </row>
    <row r="207" spans="1:50" ht="15.75" customHeight="1" x14ac:dyDescent="0.25">
      <c r="A207" s="1511">
        <v>5</v>
      </c>
      <c r="B207" s="2005" t="s">
        <v>283</v>
      </c>
      <c r="C207" s="2004"/>
      <c r="D207" s="1574">
        <f>+D209+D219+D245+D251</f>
        <v>8465740570.7600002</v>
      </c>
      <c r="E207" s="1572">
        <f>SUM(E209+E219+E245+E251)</f>
        <v>8465740570.7600002</v>
      </c>
      <c r="F207" s="1495">
        <f>+X207+AF207+AM207+AW207</f>
        <v>3529960</v>
      </c>
      <c r="G207" s="1574">
        <f t="shared" ref="G207:W207" si="194">G209+G219+G245+G251</f>
        <v>1777565259.04</v>
      </c>
      <c r="H207" s="1574">
        <f t="shared" si="194"/>
        <v>2750000</v>
      </c>
      <c r="I207" s="1574">
        <f t="shared" si="194"/>
        <v>3700000</v>
      </c>
      <c r="J207" s="1574">
        <f t="shared" si="194"/>
        <v>4740000</v>
      </c>
      <c r="K207" s="1574">
        <f t="shared" si="194"/>
        <v>22000000</v>
      </c>
      <c r="L207" s="1574">
        <f t="shared" si="194"/>
        <v>46000000</v>
      </c>
      <c r="M207" s="1574">
        <f t="shared" si="194"/>
        <v>181528439.03999999</v>
      </c>
      <c r="N207" s="1574">
        <f t="shared" si="194"/>
        <v>9000000</v>
      </c>
      <c r="O207" s="1574">
        <f t="shared" si="194"/>
        <v>3307500</v>
      </c>
      <c r="P207" s="1574">
        <f t="shared" si="194"/>
        <v>10500000</v>
      </c>
      <c r="Q207" s="1574">
        <f t="shared" si="194"/>
        <v>3700000</v>
      </c>
      <c r="R207" s="1574">
        <f t="shared" si="194"/>
        <v>7100000</v>
      </c>
      <c r="S207" s="1574">
        <f t="shared" si="194"/>
        <v>1112212320</v>
      </c>
      <c r="T207" s="1574">
        <f t="shared" si="194"/>
        <v>13150000</v>
      </c>
      <c r="U207" s="1574">
        <f t="shared" si="194"/>
        <v>15964000</v>
      </c>
      <c r="V207" s="1574">
        <f t="shared" si="194"/>
        <v>338513000</v>
      </c>
      <c r="W207" s="1574">
        <f t="shared" si="194"/>
        <v>3400000</v>
      </c>
      <c r="X207" s="1628">
        <f>+X209+X219+X251</f>
        <v>563785</v>
      </c>
      <c r="Y207" s="1574">
        <f t="shared" ref="Y207:AD207" si="195">Y209+Y219+Y245+Y251</f>
        <v>34900000</v>
      </c>
      <c r="Z207" s="1574">
        <f t="shared" si="195"/>
        <v>7500000</v>
      </c>
      <c r="AA207" s="1574">
        <f t="shared" si="195"/>
        <v>3500000</v>
      </c>
      <c r="AB207" s="1574">
        <f t="shared" si="195"/>
        <v>4500000</v>
      </c>
      <c r="AC207" s="1574">
        <f t="shared" si="195"/>
        <v>6900000</v>
      </c>
      <c r="AD207" s="1574">
        <f t="shared" si="195"/>
        <v>12500000</v>
      </c>
      <c r="AE207" s="1575">
        <f>X207/$X$7</f>
        <v>0.13162106223413411</v>
      </c>
      <c r="AF207" s="1557">
        <f>+AF209+AF219+AF245+AF251</f>
        <v>153000</v>
      </c>
      <c r="AG207" s="1576">
        <f>SUM(AG209+AG219+AG245+AG251)</f>
        <v>6613275311.7200003</v>
      </c>
      <c r="AH207" s="1689">
        <f>AH209+AH219+AH245+AH251</f>
        <v>11500000</v>
      </c>
      <c r="AI207" s="1597">
        <f>AI209+AI219+AI245+AI251</f>
        <v>4323595311.7200003</v>
      </c>
      <c r="AJ207" s="1597">
        <f>AJ209+AJ219+AJ245+AJ251</f>
        <v>430000</v>
      </c>
      <c r="AK207" s="1597">
        <f>AK209+AK219+AK245+AK251</f>
        <v>2277750000</v>
      </c>
      <c r="AL207" s="1577">
        <f>(AF207/AF7)</f>
        <v>0.10142419698306847</v>
      </c>
      <c r="AM207" s="1598">
        <f>+AM209+AM219+AM245+AM251</f>
        <v>2803075</v>
      </c>
      <c r="AN207" s="1599">
        <f t="shared" ref="AN207:AU207" si="196">AN209+AN219+AN245+AN251</f>
        <v>40000000</v>
      </c>
      <c r="AO207" s="1600">
        <f t="shared" si="196"/>
        <v>32600000</v>
      </c>
      <c r="AP207" s="1599">
        <f t="shared" si="196"/>
        <v>7400000</v>
      </c>
      <c r="AQ207" s="1601">
        <f t="shared" si="196"/>
        <v>1450000</v>
      </c>
      <c r="AR207" s="1600">
        <f t="shared" si="196"/>
        <v>1050000</v>
      </c>
      <c r="AS207" s="1600">
        <f t="shared" si="196"/>
        <v>2450000</v>
      </c>
      <c r="AT207" s="1600">
        <f t="shared" si="196"/>
        <v>2450000</v>
      </c>
      <c r="AU207" s="1602">
        <f t="shared" si="196"/>
        <v>7686802556.6700001</v>
      </c>
      <c r="AV207" s="1603">
        <f>AM207/$AM$7</f>
        <v>0.45352746735990329</v>
      </c>
      <c r="AW207" s="1631">
        <f>+AW209+AW251</f>
        <v>10100</v>
      </c>
      <c r="AX207" s="1592">
        <f>AW207/$AW$7</f>
        <v>1.9023287657117484E-4</v>
      </c>
    </row>
    <row r="208" spans="1:50" ht="15.75" customHeight="1" x14ac:dyDescent="0.25">
      <c r="A208" s="1520"/>
      <c r="B208" s="1624"/>
      <c r="C208" s="1513"/>
      <c r="D208" s="1608"/>
      <c r="E208" s="1552"/>
      <c r="F208" s="1447"/>
      <c r="G208" s="1608"/>
      <c r="H208" s="1103"/>
      <c r="I208" s="1103"/>
      <c r="J208" s="1103"/>
      <c r="K208" s="1103"/>
      <c r="L208" s="78"/>
      <c r="M208" s="1586"/>
      <c r="N208" s="1103"/>
      <c r="O208" s="1103"/>
      <c r="P208" s="78"/>
      <c r="Q208" s="1103"/>
      <c r="R208" s="1586"/>
      <c r="S208" s="1586"/>
      <c r="T208" s="1586"/>
      <c r="U208" s="1586"/>
      <c r="V208" s="1586"/>
      <c r="W208" s="1586"/>
      <c r="X208" s="1588"/>
      <c r="Y208" s="1586"/>
      <c r="Z208" s="1586"/>
      <c r="AA208" s="1586"/>
      <c r="AB208" s="1586"/>
      <c r="AC208" s="1586"/>
      <c r="AD208" s="1586"/>
      <c r="AE208" s="1575"/>
      <c r="AF208" s="1561"/>
      <c r="AG208" s="1576">
        <f>SUM(AH208:AJ208)</f>
        <v>0</v>
      </c>
      <c r="AH208" s="1731"/>
      <c r="AI208" s="1732"/>
      <c r="AJ208" s="1732"/>
      <c r="AK208" s="1732"/>
      <c r="AL208" s="1788"/>
      <c r="AM208" s="1614"/>
      <c r="AN208" s="1599"/>
      <c r="AO208" s="1729"/>
      <c r="AP208" s="1730"/>
      <c r="AQ208" s="1728"/>
      <c r="AR208" s="1729"/>
      <c r="AS208" s="1729"/>
      <c r="AT208" s="1729"/>
      <c r="AU208" s="1602"/>
      <c r="AV208" s="1603"/>
      <c r="AW208" s="1627"/>
      <c r="AX208" s="1592"/>
    </row>
    <row r="209" spans="1:50" ht="15.75" customHeight="1" x14ac:dyDescent="0.25">
      <c r="A209" s="1517" t="s">
        <v>284</v>
      </c>
      <c r="B209" s="2013" t="s">
        <v>285</v>
      </c>
      <c r="C209" s="2002"/>
      <c r="D209" s="1573">
        <f>SUM(D210:D217)</f>
        <v>265682688.80000001</v>
      </c>
      <c r="E209" s="1572">
        <f t="shared" ref="E209:E215" si="197">SUM(G209+Y209+AG209+AN209)</f>
        <v>265682688.80000001</v>
      </c>
      <c r="F209" s="1495">
        <f t="shared" ref="F209:F217" si="198">+X209+AF209+AM209+AW209</f>
        <v>390660</v>
      </c>
      <c r="G209" s="1573">
        <f t="shared" ref="G209:G215" si="199">SUM(H209:W209)</f>
        <v>198902688.80000001</v>
      </c>
      <c r="H209" s="1099">
        <f t="shared" ref="H209:W209" si="200">SUM(H210:H217)</f>
        <v>2750000</v>
      </c>
      <c r="I209" s="1099">
        <f t="shared" si="200"/>
        <v>2500000</v>
      </c>
      <c r="J209" s="1099">
        <f t="shared" si="200"/>
        <v>3700000</v>
      </c>
      <c r="K209" s="1099">
        <f t="shared" si="200"/>
        <v>18000000</v>
      </c>
      <c r="L209" s="1647">
        <f t="shared" si="200"/>
        <v>16000000</v>
      </c>
      <c r="M209" s="1647">
        <f t="shared" si="200"/>
        <v>84330188.799999997</v>
      </c>
      <c r="N209" s="1099">
        <f t="shared" si="200"/>
        <v>7000000</v>
      </c>
      <c r="O209" s="1099">
        <f t="shared" si="200"/>
        <v>2307500</v>
      </c>
      <c r="P209" s="1647">
        <f t="shared" si="200"/>
        <v>5500000</v>
      </c>
      <c r="Q209" s="1099">
        <f t="shared" si="200"/>
        <v>3700000</v>
      </c>
      <c r="R209" s="1647">
        <f t="shared" si="200"/>
        <v>5100000</v>
      </c>
      <c r="S209" s="1647">
        <f t="shared" si="200"/>
        <v>8588000</v>
      </c>
      <c r="T209" s="1647">
        <f t="shared" si="200"/>
        <v>8150000</v>
      </c>
      <c r="U209" s="1647">
        <f t="shared" si="200"/>
        <v>10764000</v>
      </c>
      <c r="V209" s="1647">
        <f t="shared" si="200"/>
        <v>17513000</v>
      </c>
      <c r="W209" s="1647">
        <f t="shared" si="200"/>
        <v>3000000</v>
      </c>
      <c r="X209" s="1628">
        <f>+X210+X212+X213+X214+X215+X217+X211</f>
        <v>236885</v>
      </c>
      <c r="Y209" s="1647">
        <f t="shared" ref="Y209:AD209" si="201">SUM(Y210:Y217)</f>
        <v>16000000</v>
      </c>
      <c r="Z209" s="1647">
        <f t="shared" si="201"/>
        <v>4000000</v>
      </c>
      <c r="AA209" s="1647">
        <f t="shared" si="201"/>
        <v>2000000</v>
      </c>
      <c r="AB209" s="1647">
        <f t="shared" si="201"/>
        <v>2500000</v>
      </c>
      <c r="AC209" s="1647">
        <f t="shared" si="201"/>
        <v>2000000</v>
      </c>
      <c r="AD209" s="1647">
        <f t="shared" si="201"/>
        <v>5500000</v>
      </c>
      <c r="AE209" s="1575">
        <f t="shared" ref="AE209:AE217" si="202">X209/$X$7</f>
        <v>5.5303094845256369E-2</v>
      </c>
      <c r="AF209" s="1557">
        <f>+AF210+AF211+AF212+AF213+AF214+AF215+AF216+AF217</f>
        <v>133000</v>
      </c>
      <c r="AG209" s="1576">
        <f>SUM(AG210:AG217)</f>
        <v>20780000</v>
      </c>
      <c r="AH209" s="1789">
        <f>SUM(AH210:AH217)</f>
        <v>8000000</v>
      </c>
      <c r="AI209" s="1657">
        <f>SUM(AI210:AI217)</f>
        <v>6100000</v>
      </c>
      <c r="AJ209" s="1657">
        <f>SUM(AJ210:AJ217)</f>
        <v>430000</v>
      </c>
      <c r="AK209" s="1657">
        <f>SUM(AK210:AK217)</f>
        <v>6250000</v>
      </c>
      <c r="AL209" s="1790">
        <f>(AF209/AF7)</f>
        <v>8.8166132017961474E-2</v>
      </c>
      <c r="AM209" s="1598">
        <f>+AM210+AM211+AM212+AM213+AM214+AM215+AM217</f>
        <v>11975</v>
      </c>
      <c r="AN209" s="780">
        <f t="shared" ref="AN209:AU209" si="203">SUM(AN210:AN217)</f>
        <v>30000000</v>
      </c>
      <c r="AO209" s="777">
        <f t="shared" si="203"/>
        <v>29600000</v>
      </c>
      <c r="AP209" s="779">
        <f t="shared" si="203"/>
        <v>400000</v>
      </c>
      <c r="AQ209" s="778">
        <f t="shared" si="203"/>
        <v>400000</v>
      </c>
      <c r="AR209" s="777">
        <f t="shared" si="203"/>
        <v>0</v>
      </c>
      <c r="AS209" s="777">
        <f t="shared" si="203"/>
        <v>0</v>
      </c>
      <c r="AT209" s="777">
        <f t="shared" si="203"/>
        <v>0</v>
      </c>
      <c r="AU209" s="1777">
        <f t="shared" si="203"/>
        <v>265682688.80000001</v>
      </c>
      <c r="AV209" s="1603">
        <f t="shared" ref="AV209:AV217" si="204">AM209/$AM$7</f>
        <v>1.9375119900947502E-3</v>
      </c>
      <c r="AW209" s="1631">
        <f>AW210+AW211+AW212+AW213+AW214+AW215+AW216+AW217</f>
        <v>8800</v>
      </c>
      <c r="AX209" s="1592">
        <f t="shared" ref="AX209:AX217" si="205">AW209/$AW$7</f>
        <v>1.6574745681448896E-4</v>
      </c>
    </row>
    <row r="210" spans="1:50" ht="15.75" customHeight="1" x14ac:dyDescent="0.25">
      <c r="A210" s="1652" t="s">
        <v>286</v>
      </c>
      <c r="B210" s="2009" t="s">
        <v>287</v>
      </c>
      <c r="C210" s="2004"/>
      <c r="D210" s="1608">
        <f t="shared" ref="D210:D215" si="206">+G210+Y210+AG210+AN210</f>
        <v>4407500</v>
      </c>
      <c r="E210" s="1552">
        <f t="shared" si="197"/>
        <v>4407500</v>
      </c>
      <c r="F210" s="1447">
        <f t="shared" si="198"/>
        <v>2500</v>
      </c>
      <c r="G210" s="1608">
        <f t="shared" si="199"/>
        <v>4407500</v>
      </c>
      <c r="H210" s="78"/>
      <c r="I210" s="78"/>
      <c r="J210" s="78"/>
      <c r="K210" s="78"/>
      <c r="L210" s="78"/>
      <c r="M210" s="1586">
        <v>0</v>
      </c>
      <c r="N210" s="78"/>
      <c r="O210" s="78">
        <v>807500</v>
      </c>
      <c r="P210" s="78"/>
      <c r="Q210" s="78"/>
      <c r="R210" s="1586"/>
      <c r="S210" s="1586">
        <v>2600000</v>
      </c>
      <c r="T210" s="1586"/>
      <c r="U210" s="1586"/>
      <c r="V210" s="1586"/>
      <c r="W210" s="1586">
        <v>1000000</v>
      </c>
      <c r="X210" s="1636">
        <f>2000000/1000</f>
        <v>2000</v>
      </c>
      <c r="Y210" s="1561">
        <f t="shared" ref="Y210:Y215" si="207">SUM(Z210:AD210)</f>
        <v>0</v>
      </c>
      <c r="Z210" s="1586"/>
      <c r="AA210" s="1586"/>
      <c r="AB210" s="1586"/>
      <c r="AC210" s="1586"/>
      <c r="AD210" s="1586"/>
      <c r="AE210" s="1609">
        <f t="shared" si="202"/>
        <v>4.6691934774474001E-4</v>
      </c>
      <c r="AF210" s="1561">
        <f>500000/1000</f>
        <v>500</v>
      </c>
      <c r="AG210" s="1576">
        <f t="shared" ref="AG210:AG215" si="208">SUM(AH210:AK210)</f>
        <v>0</v>
      </c>
      <c r="AH210" s="1728"/>
      <c r="AI210" s="1729"/>
      <c r="AJ210" s="777"/>
      <c r="AK210" s="777"/>
      <c r="AL210" s="1625">
        <f>(AF210/AF7)</f>
        <v>3.3145162412767475E-4</v>
      </c>
      <c r="AM210" s="1614">
        <v>0</v>
      </c>
      <c r="AN210" s="1615">
        <f t="shared" ref="AN210:AN215" si="209">SUM(AO210+AP210)</f>
        <v>0</v>
      </c>
      <c r="AO210" s="777"/>
      <c r="AP210" s="1738">
        <f t="shared" ref="AP210:AP215" si="210">SUM(AQ210:AT210)</f>
        <v>0</v>
      </c>
      <c r="AQ210" s="778"/>
      <c r="AR210" s="777"/>
      <c r="AS210" s="777"/>
      <c r="AT210" s="777"/>
      <c r="AU210" s="1616">
        <f t="shared" ref="AU210:AU215" si="211">SUM(AN210+AG210+Y210+G210)</f>
        <v>4407500</v>
      </c>
      <c r="AV210" s="1617">
        <f t="shared" si="204"/>
        <v>0</v>
      </c>
      <c r="AW210" s="1627">
        <v>0</v>
      </c>
      <c r="AX210" s="1619">
        <f t="shared" si="205"/>
        <v>0</v>
      </c>
    </row>
    <row r="211" spans="1:50" s="1434" customFormat="1" hidden="1" x14ac:dyDescent="0.25">
      <c r="A211" s="1520" t="s">
        <v>288</v>
      </c>
      <c r="B211" s="2018" t="s">
        <v>289</v>
      </c>
      <c r="C211" s="2020"/>
      <c r="D211" s="1608">
        <f t="shared" si="206"/>
        <v>0</v>
      </c>
      <c r="E211" s="1552">
        <f t="shared" si="197"/>
        <v>0</v>
      </c>
      <c r="F211" s="1447">
        <f t="shared" si="198"/>
        <v>0</v>
      </c>
      <c r="G211" s="1608">
        <f t="shared" si="199"/>
        <v>0</v>
      </c>
      <c r="H211" s="1103"/>
      <c r="I211" s="1103"/>
      <c r="J211" s="1103"/>
      <c r="K211" s="1103"/>
      <c r="L211" s="78"/>
      <c r="M211" s="1586">
        <v>0</v>
      </c>
      <c r="N211" s="1103">
        <v>0</v>
      </c>
      <c r="O211" s="1103"/>
      <c r="P211" s="78"/>
      <c r="Q211" s="1103"/>
      <c r="R211" s="1586"/>
      <c r="S211" s="1586"/>
      <c r="T211" s="1586"/>
      <c r="U211" s="1586"/>
      <c r="V211" s="1586"/>
      <c r="W211" s="1586"/>
      <c r="X211" s="1636">
        <v>0</v>
      </c>
      <c r="Y211" s="1561">
        <f t="shared" si="207"/>
        <v>0</v>
      </c>
      <c r="Z211" s="1586">
        <v>0</v>
      </c>
      <c r="AA211" s="1586">
        <v>0</v>
      </c>
      <c r="AB211" s="1586"/>
      <c r="AC211" s="1586"/>
      <c r="AD211" s="1586"/>
      <c r="AE211" s="1609">
        <f t="shared" si="202"/>
        <v>0</v>
      </c>
      <c r="AF211" s="1561">
        <v>0</v>
      </c>
      <c r="AG211" s="1576">
        <f t="shared" si="208"/>
        <v>0</v>
      </c>
      <c r="AH211" s="1728"/>
      <c r="AI211" s="1729"/>
      <c r="AJ211" s="1600"/>
      <c r="AK211" s="1600"/>
      <c r="AL211" s="1791">
        <f>(AF211/AF7)</f>
        <v>0</v>
      </c>
      <c r="AM211" s="1614">
        <v>0</v>
      </c>
      <c r="AN211" s="1615">
        <f t="shared" si="209"/>
        <v>0</v>
      </c>
      <c r="AO211" s="1600"/>
      <c r="AP211" s="1738">
        <f t="shared" si="210"/>
        <v>0</v>
      </c>
      <c r="AQ211" s="1601"/>
      <c r="AR211" s="1600"/>
      <c r="AS211" s="1600"/>
      <c r="AT211" s="1600"/>
      <c r="AU211" s="1616">
        <f t="shared" si="211"/>
        <v>0</v>
      </c>
      <c r="AV211" s="1617">
        <f t="shared" si="204"/>
        <v>0</v>
      </c>
      <c r="AW211" s="1627">
        <f>0/1000</f>
        <v>0</v>
      </c>
      <c r="AX211" s="1619">
        <f t="shared" si="205"/>
        <v>0</v>
      </c>
    </row>
    <row r="212" spans="1:50" ht="15.75" customHeight="1" x14ac:dyDescent="0.25">
      <c r="A212" s="1652" t="s">
        <v>290</v>
      </c>
      <c r="B212" s="2009" t="s">
        <v>291</v>
      </c>
      <c r="C212" s="2004"/>
      <c r="D212" s="1608">
        <f t="shared" si="206"/>
        <v>14159600</v>
      </c>
      <c r="E212" s="1552">
        <f t="shared" si="197"/>
        <v>14159600</v>
      </c>
      <c r="F212" s="1447">
        <f t="shared" si="198"/>
        <v>21855</v>
      </c>
      <c r="G212" s="1608">
        <f t="shared" si="199"/>
        <v>8559600</v>
      </c>
      <c r="H212" s="78">
        <v>200000</v>
      </c>
      <c r="I212" s="78"/>
      <c r="J212" s="78"/>
      <c r="K212" s="78"/>
      <c r="L212" s="78"/>
      <c r="M212" s="1586">
        <v>6489600</v>
      </c>
      <c r="N212" s="78"/>
      <c r="O212" s="78"/>
      <c r="P212" s="78"/>
      <c r="Q212" s="78">
        <v>200000</v>
      </c>
      <c r="R212" s="1586">
        <v>100000</v>
      </c>
      <c r="S212" s="1586">
        <v>1120000</v>
      </c>
      <c r="T212" s="1586">
        <v>150000</v>
      </c>
      <c r="U212" s="1586"/>
      <c r="V212" s="1586">
        <v>300000</v>
      </c>
      <c r="W212" s="1586"/>
      <c r="X212" s="1636">
        <f>15005000/1000</f>
        <v>15005</v>
      </c>
      <c r="Y212" s="1561">
        <f t="shared" si="207"/>
        <v>0</v>
      </c>
      <c r="Z212" s="1586"/>
      <c r="AA212" s="1586"/>
      <c r="AB212" s="1586"/>
      <c r="AC212" s="1586"/>
      <c r="AD212" s="1586"/>
      <c r="AE212" s="1609">
        <f t="shared" si="202"/>
        <v>3.5030624064549118E-3</v>
      </c>
      <c r="AF212" s="1561">
        <f>4350000/1000</f>
        <v>4350</v>
      </c>
      <c r="AG212" s="1576">
        <f t="shared" si="208"/>
        <v>3100000</v>
      </c>
      <c r="AH212" s="1728">
        <v>2500000</v>
      </c>
      <c r="AI212" s="1729">
        <v>100000</v>
      </c>
      <c r="AJ212" s="1600"/>
      <c r="AK212" s="1600">
        <v>500000</v>
      </c>
      <c r="AL212" s="1625">
        <f>(AF212/AF7)</f>
        <v>2.88362912991077E-3</v>
      </c>
      <c r="AM212" s="1614">
        <f>500000/1000</f>
        <v>500</v>
      </c>
      <c r="AN212" s="1615">
        <f t="shared" si="209"/>
        <v>2500000</v>
      </c>
      <c r="AO212" s="1600">
        <v>2500000</v>
      </c>
      <c r="AP212" s="1738">
        <f t="shared" si="210"/>
        <v>0</v>
      </c>
      <c r="AQ212" s="1601"/>
      <c r="AR212" s="1600"/>
      <c r="AS212" s="1600"/>
      <c r="AT212" s="1600"/>
      <c r="AU212" s="1616">
        <f t="shared" si="211"/>
        <v>14159600</v>
      </c>
      <c r="AV212" s="1617">
        <f t="shared" si="204"/>
        <v>8.0898204179321505E-5</v>
      </c>
      <c r="AW212" s="1627">
        <f>2000000/1000</f>
        <v>2000</v>
      </c>
      <c r="AX212" s="1619">
        <f t="shared" si="205"/>
        <v>3.7669876548747494E-5</v>
      </c>
    </row>
    <row r="213" spans="1:50" ht="15.75" customHeight="1" x14ac:dyDescent="0.25">
      <c r="A213" s="1520" t="s">
        <v>292</v>
      </c>
      <c r="B213" s="2009" t="s">
        <v>293</v>
      </c>
      <c r="C213" s="2004"/>
      <c r="D213" s="1608">
        <f t="shared" si="206"/>
        <v>61561120</v>
      </c>
      <c r="E213" s="1552">
        <f t="shared" si="197"/>
        <v>61561120</v>
      </c>
      <c r="F213" s="1447">
        <f t="shared" si="198"/>
        <v>66525</v>
      </c>
      <c r="G213" s="1608">
        <f t="shared" si="199"/>
        <v>47161120</v>
      </c>
      <c r="H213" s="1103">
        <v>2000000</v>
      </c>
      <c r="I213" s="1103"/>
      <c r="J213" s="1103">
        <v>1300000</v>
      </c>
      <c r="K213" s="1103">
        <v>10000000</v>
      </c>
      <c r="L213" s="78">
        <v>8000000</v>
      </c>
      <c r="M213" s="1586">
        <v>3461120</v>
      </c>
      <c r="N213" s="1103">
        <f>3000000</f>
        <v>3000000</v>
      </c>
      <c r="O213" s="1103">
        <v>500000</v>
      </c>
      <c r="P213" s="78">
        <v>500000</v>
      </c>
      <c r="Q213" s="1103">
        <v>1500000</v>
      </c>
      <c r="R213" s="1586">
        <v>2000000</v>
      </c>
      <c r="S213" s="1586">
        <v>500000</v>
      </c>
      <c r="T213" s="1586">
        <v>3000000</v>
      </c>
      <c r="U213" s="1586">
        <v>5200000</v>
      </c>
      <c r="V213" s="1586">
        <v>5700000</v>
      </c>
      <c r="W213" s="1586">
        <v>500000</v>
      </c>
      <c r="X213" s="1636">
        <f>24310000/1000</f>
        <v>24310</v>
      </c>
      <c r="Y213" s="1561">
        <f t="shared" si="207"/>
        <v>4500000</v>
      </c>
      <c r="Z213" s="1586">
        <v>1000000</v>
      </c>
      <c r="AA213" s="1586">
        <v>500000</v>
      </c>
      <c r="AB213" s="1586">
        <v>1000000</v>
      </c>
      <c r="AC213" s="1586">
        <v>1000000</v>
      </c>
      <c r="AD213" s="1586">
        <v>1000000</v>
      </c>
      <c r="AE213" s="1609">
        <f t="shared" si="202"/>
        <v>5.6754046718373143E-3</v>
      </c>
      <c r="AF213" s="1561">
        <f>26350000/1000</f>
        <v>26350</v>
      </c>
      <c r="AG213" s="1576">
        <f t="shared" si="208"/>
        <v>3800000</v>
      </c>
      <c r="AH213" s="1728">
        <v>2500000</v>
      </c>
      <c r="AI213" s="1729">
        <v>500000</v>
      </c>
      <c r="AJ213" s="1600">
        <v>300000</v>
      </c>
      <c r="AK213" s="1600">
        <v>500000</v>
      </c>
      <c r="AL213" s="1613">
        <f>(AF213/AF7)</f>
        <v>1.7467500591528459E-2</v>
      </c>
      <c r="AM213" s="1614">
        <f>11065000/1000</f>
        <v>11065</v>
      </c>
      <c r="AN213" s="1615">
        <f t="shared" si="209"/>
        <v>6100000</v>
      </c>
      <c r="AO213" s="1600">
        <v>6100000</v>
      </c>
      <c r="AP213" s="1738">
        <f t="shared" si="210"/>
        <v>0</v>
      </c>
      <c r="AQ213" s="1601"/>
      <c r="AR213" s="1600"/>
      <c r="AS213" s="1600"/>
      <c r="AT213" s="1600"/>
      <c r="AU213" s="1616">
        <f t="shared" si="211"/>
        <v>61561120</v>
      </c>
      <c r="AV213" s="1617">
        <f t="shared" si="204"/>
        <v>1.7902772584883851E-3</v>
      </c>
      <c r="AW213" s="1627">
        <f>4800000/1000</f>
        <v>4800</v>
      </c>
      <c r="AX213" s="1619">
        <f t="shared" si="205"/>
        <v>9.0407703716993983E-5</v>
      </c>
    </row>
    <row r="214" spans="1:50" ht="15.75" customHeight="1" x14ac:dyDescent="0.25">
      <c r="A214" s="1520" t="s">
        <v>294</v>
      </c>
      <c r="B214" s="2009" t="s">
        <v>295</v>
      </c>
      <c r="C214" s="2004"/>
      <c r="D214" s="1608">
        <f t="shared" si="206"/>
        <v>145866468.80000001</v>
      </c>
      <c r="E214" s="1552">
        <f t="shared" si="197"/>
        <v>145866468.80000001</v>
      </c>
      <c r="F214" s="1447">
        <f t="shared" si="198"/>
        <v>179370</v>
      </c>
      <c r="G214" s="1608">
        <f t="shared" si="199"/>
        <v>103736468.8</v>
      </c>
      <c r="H214" s="1103">
        <v>500000</v>
      </c>
      <c r="I214" s="1103">
        <v>2500000</v>
      </c>
      <c r="J214" s="1103">
        <v>2000000</v>
      </c>
      <c r="K214" s="1103">
        <v>4000000</v>
      </c>
      <c r="L214" s="78"/>
      <c r="M214" s="1586">
        <v>58155468.799999997</v>
      </c>
      <c r="N214" s="1514">
        <f>2000000</f>
        <v>2000000</v>
      </c>
      <c r="O214" s="1103">
        <v>1000000</v>
      </c>
      <c r="P214" s="78">
        <v>5000000</v>
      </c>
      <c r="Q214" s="1103">
        <v>2000000</v>
      </c>
      <c r="R214" s="1586">
        <v>2000000</v>
      </c>
      <c r="S214" s="1586">
        <v>4368000</v>
      </c>
      <c r="T214" s="1586">
        <v>5000000</v>
      </c>
      <c r="U214" s="1586">
        <v>5200000</v>
      </c>
      <c r="V214" s="1586">
        <v>8513000</v>
      </c>
      <c r="W214" s="1586">
        <v>1500000</v>
      </c>
      <c r="X214" s="1636">
        <f>137570000/1000</f>
        <v>137570</v>
      </c>
      <c r="Y214" s="1561">
        <f t="shared" si="207"/>
        <v>9500000</v>
      </c>
      <c r="Z214" s="1586">
        <v>2500000</v>
      </c>
      <c r="AA214" s="1586">
        <v>1500000</v>
      </c>
      <c r="AB214" s="1586">
        <v>1500000</v>
      </c>
      <c r="AC214" s="1586">
        <v>1000000</v>
      </c>
      <c r="AD214" s="1586">
        <v>3000000</v>
      </c>
      <c r="AE214" s="1609">
        <f t="shared" si="202"/>
        <v>3.2117047334621944E-2</v>
      </c>
      <c r="AF214" s="1561">
        <f>40300000/1000</f>
        <v>40300</v>
      </c>
      <c r="AG214" s="1576">
        <f t="shared" si="208"/>
        <v>12630000</v>
      </c>
      <c r="AH214" s="1611">
        <v>2500000</v>
      </c>
      <c r="AI214" s="1747">
        <v>5000000</v>
      </c>
      <c r="AJ214" s="1600">
        <v>130000</v>
      </c>
      <c r="AK214" s="1600">
        <v>5000000</v>
      </c>
      <c r="AL214" s="1613">
        <f>(AF214/AF7)</f>
        <v>2.6715000904690582E-2</v>
      </c>
      <c r="AM214" s="1614">
        <v>0</v>
      </c>
      <c r="AN214" s="1615">
        <f t="shared" si="209"/>
        <v>20000000</v>
      </c>
      <c r="AO214" s="1600">
        <v>20000000</v>
      </c>
      <c r="AP214" s="1738">
        <f t="shared" si="210"/>
        <v>0</v>
      </c>
      <c r="AQ214" s="1601"/>
      <c r="AR214" s="1600"/>
      <c r="AS214" s="1600"/>
      <c r="AT214" s="1600"/>
      <c r="AU214" s="1616">
        <f t="shared" si="211"/>
        <v>145866468.80000001</v>
      </c>
      <c r="AV214" s="1617">
        <f t="shared" si="204"/>
        <v>0</v>
      </c>
      <c r="AW214" s="1627">
        <f>1500000/1000</f>
        <v>1500</v>
      </c>
      <c r="AX214" s="1619">
        <f t="shared" si="205"/>
        <v>2.8252407411560617E-5</v>
      </c>
    </row>
    <row r="215" spans="1:50" ht="15.75" hidden="1" customHeight="1" x14ac:dyDescent="0.25">
      <c r="A215" s="1771" t="s">
        <v>296</v>
      </c>
      <c r="B215" s="2009" t="s">
        <v>297</v>
      </c>
      <c r="C215" s="2004"/>
      <c r="D215" s="1608">
        <f t="shared" si="206"/>
        <v>4050000</v>
      </c>
      <c r="E215" s="1552">
        <f t="shared" si="197"/>
        <v>4050000</v>
      </c>
      <c r="F215" s="1447">
        <f t="shared" si="198"/>
        <v>0</v>
      </c>
      <c r="G215" s="1608">
        <f t="shared" si="199"/>
        <v>4050000</v>
      </c>
      <c r="H215" s="1103">
        <v>50000</v>
      </c>
      <c r="I215" s="1103"/>
      <c r="J215" s="1103"/>
      <c r="K215" s="1103">
        <v>4000000</v>
      </c>
      <c r="L215" s="78"/>
      <c r="M215" s="1586"/>
      <c r="N215" s="1103"/>
      <c r="O215" s="1103"/>
      <c r="P215" s="78"/>
      <c r="Q215" s="1103"/>
      <c r="R215" s="1586"/>
      <c r="S215" s="1586"/>
      <c r="T215" s="1586"/>
      <c r="U215" s="1586"/>
      <c r="V215" s="1586"/>
      <c r="W215" s="1586"/>
      <c r="X215" s="1636">
        <v>0</v>
      </c>
      <c r="Y215" s="1561">
        <f t="shared" si="207"/>
        <v>0</v>
      </c>
      <c r="Z215" s="1586"/>
      <c r="AA215" s="1586"/>
      <c r="AB215" s="1586"/>
      <c r="AC215" s="1586"/>
      <c r="AD215" s="1586"/>
      <c r="AE215" s="1609">
        <f t="shared" si="202"/>
        <v>0</v>
      </c>
      <c r="AF215" s="1561">
        <v>0</v>
      </c>
      <c r="AG215" s="1576">
        <f t="shared" si="208"/>
        <v>0</v>
      </c>
      <c r="AH215" s="1638"/>
      <c r="AI215" s="1639"/>
      <c r="AJ215" s="1600"/>
      <c r="AK215" s="1600"/>
      <c r="AL215" s="1613">
        <f>(AF215/AF7)</f>
        <v>0</v>
      </c>
      <c r="AM215" s="1614">
        <v>0</v>
      </c>
      <c r="AN215" s="1615">
        <f t="shared" si="209"/>
        <v>0</v>
      </c>
      <c r="AO215" s="1600"/>
      <c r="AP215" s="1738">
        <f t="shared" si="210"/>
        <v>0</v>
      </c>
      <c r="AQ215" s="1601"/>
      <c r="AR215" s="1600"/>
      <c r="AS215" s="1600"/>
      <c r="AT215" s="1600"/>
      <c r="AU215" s="1616">
        <f t="shared" si="211"/>
        <v>4050000</v>
      </c>
      <c r="AV215" s="1617">
        <f t="shared" si="204"/>
        <v>0</v>
      </c>
      <c r="AW215" s="1627">
        <v>0</v>
      </c>
      <c r="AX215" s="1619">
        <f t="shared" si="205"/>
        <v>0</v>
      </c>
    </row>
    <row r="216" spans="1:50" ht="15.75" customHeight="1" x14ac:dyDescent="0.25">
      <c r="A216" s="1771" t="s">
        <v>746</v>
      </c>
      <c r="B216" s="2009" t="s">
        <v>930</v>
      </c>
      <c r="C216" s="2004"/>
      <c r="D216" s="1608"/>
      <c r="E216" s="1552"/>
      <c r="F216" s="1447">
        <f t="shared" si="198"/>
        <v>200</v>
      </c>
      <c r="G216" s="1608"/>
      <c r="H216" s="1103"/>
      <c r="I216" s="1103"/>
      <c r="J216" s="1103"/>
      <c r="K216" s="1103"/>
      <c r="L216" s="78"/>
      <c r="M216" s="1586"/>
      <c r="N216" s="1103"/>
      <c r="O216" s="1103"/>
      <c r="P216" s="78"/>
      <c r="Q216" s="1103"/>
      <c r="R216" s="1586"/>
      <c r="S216" s="1586"/>
      <c r="T216" s="1586"/>
      <c r="U216" s="1586"/>
      <c r="V216" s="1586"/>
      <c r="W216" s="1586"/>
      <c r="X216" s="1636">
        <v>0</v>
      </c>
      <c r="Y216" s="1561"/>
      <c r="Z216" s="1586"/>
      <c r="AA216" s="1586"/>
      <c r="AB216" s="1586"/>
      <c r="AC216" s="1586"/>
      <c r="AD216" s="1586"/>
      <c r="AE216" s="1609">
        <f t="shared" si="202"/>
        <v>0</v>
      </c>
      <c r="AF216" s="1561">
        <f>0/1000</f>
        <v>0</v>
      </c>
      <c r="AG216" s="1576"/>
      <c r="AH216" s="1638"/>
      <c r="AI216" s="1639"/>
      <c r="AJ216" s="1600"/>
      <c r="AK216" s="1600"/>
      <c r="AL216" s="1613">
        <f>(AF216/AF7)</f>
        <v>0</v>
      </c>
      <c r="AM216" s="1614">
        <v>0</v>
      </c>
      <c r="AN216" s="1615"/>
      <c r="AO216" s="1600"/>
      <c r="AP216" s="1738"/>
      <c r="AQ216" s="1601"/>
      <c r="AR216" s="1600"/>
      <c r="AS216" s="1600"/>
      <c r="AT216" s="1600"/>
      <c r="AU216" s="1616"/>
      <c r="AV216" s="1617">
        <f t="shared" si="204"/>
        <v>0</v>
      </c>
      <c r="AW216" s="1627">
        <f>200000/1000</f>
        <v>200</v>
      </c>
      <c r="AX216" s="1619">
        <f t="shared" si="205"/>
        <v>3.7669876548747491E-6</v>
      </c>
    </row>
    <row r="217" spans="1:50" ht="15.75" customHeight="1" x14ac:dyDescent="0.25">
      <c r="A217" s="1771" t="s">
        <v>298</v>
      </c>
      <c r="B217" s="2009" t="s">
        <v>299</v>
      </c>
      <c r="C217" s="2004"/>
      <c r="D217" s="1608">
        <f>+G217+Y217+AG217+AN217</f>
        <v>35638000</v>
      </c>
      <c r="E217" s="1552">
        <f>SUM(G217+Y217+AG217+AN217)</f>
        <v>35638000</v>
      </c>
      <c r="F217" s="1447">
        <f t="shared" si="198"/>
        <v>120210</v>
      </c>
      <c r="G217" s="1608">
        <f>SUM(H217:W217)</f>
        <v>30988000</v>
      </c>
      <c r="H217" s="78">
        <v>0</v>
      </c>
      <c r="I217" s="1103"/>
      <c r="J217" s="1103">
        <v>400000</v>
      </c>
      <c r="K217" s="78"/>
      <c r="L217" s="78">
        <v>8000000</v>
      </c>
      <c r="M217" s="1586">
        <v>16224000</v>
      </c>
      <c r="N217" s="1103">
        <f>2000000</f>
        <v>2000000</v>
      </c>
      <c r="O217" s="1103">
        <v>0</v>
      </c>
      <c r="P217" s="78"/>
      <c r="Q217" s="1103"/>
      <c r="R217" s="1586">
        <v>1000000</v>
      </c>
      <c r="S217" s="1586"/>
      <c r="T217" s="1586"/>
      <c r="U217" s="1586">
        <v>364000</v>
      </c>
      <c r="V217" s="1586">
        <v>3000000</v>
      </c>
      <c r="W217" s="1586"/>
      <c r="X217" s="1636">
        <f>58000000/1000</f>
        <v>58000</v>
      </c>
      <c r="Y217" s="1561">
        <f>SUM(Z217:AD217)</f>
        <v>2000000</v>
      </c>
      <c r="Z217" s="1586">
        <v>500000</v>
      </c>
      <c r="AA217" s="1586"/>
      <c r="AB217" s="1586"/>
      <c r="AC217" s="1586"/>
      <c r="AD217" s="1586">
        <v>1500000</v>
      </c>
      <c r="AE217" s="1609">
        <f t="shared" si="202"/>
        <v>1.354066108459746E-2</v>
      </c>
      <c r="AF217" s="1561">
        <f>61500000/1000</f>
        <v>61500</v>
      </c>
      <c r="AG217" s="1576">
        <f>SUM(AH217:AK217)</f>
        <v>1250000</v>
      </c>
      <c r="AH217" s="1611">
        <v>500000</v>
      </c>
      <c r="AI217" s="1612">
        <v>500000</v>
      </c>
      <c r="AJ217" s="1600"/>
      <c r="AK217" s="1600">
        <v>250000</v>
      </c>
      <c r="AL217" s="1613">
        <f>(AF217/AF7)</f>
        <v>4.0768549767703992E-2</v>
      </c>
      <c r="AM217" s="1614">
        <f>410000/1000</f>
        <v>410</v>
      </c>
      <c r="AN217" s="1615">
        <f>SUM(AO217+AP217)</f>
        <v>1400000</v>
      </c>
      <c r="AO217" s="1600">
        <v>1000000</v>
      </c>
      <c r="AP217" s="1738">
        <f>SUM(AQ217:AT217)</f>
        <v>400000</v>
      </c>
      <c r="AQ217" s="1601">
        <v>400000</v>
      </c>
      <c r="AR217" s="1600"/>
      <c r="AS217" s="1600"/>
      <c r="AT217" s="1600"/>
      <c r="AU217" s="1616">
        <f>SUM(AN217+AG217+Y217+G217)</f>
        <v>35638000</v>
      </c>
      <c r="AV217" s="1617">
        <f t="shared" si="204"/>
        <v>6.6336527427043646E-5</v>
      </c>
      <c r="AW217" s="1627">
        <f>300000/1000</f>
        <v>300</v>
      </c>
      <c r="AX217" s="1619">
        <f t="shared" si="205"/>
        <v>5.6504814823121239E-6</v>
      </c>
    </row>
    <row r="218" spans="1:50" ht="15.75" customHeight="1" x14ac:dyDescent="0.25">
      <c r="A218" s="1652"/>
      <c r="B218" s="1624"/>
      <c r="C218" s="1513"/>
      <c r="D218" s="1608"/>
      <c r="E218" s="1552"/>
      <c r="F218" s="1447"/>
      <c r="G218" s="1608"/>
      <c r="H218" s="78"/>
      <c r="I218" s="78"/>
      <c r="J218" s="78"/>
      <c r="K218" s="78"/>
      <c r="L218" s="78"/>
      <c r="M218" s="1586"/>
      <c r="N218" s="78"/>
      <c r="O218" s="78"/>
      <c r="P218" s="78"/>
      <c r="Q218" s="78"/>
      <c r="R218" s="1586"/>
      <c r="S218" s="1586"/>
      <c r="T218" s="1586"/>
      <c r="U218" s="1586"/>
      <c r="V218" s="1586"/>
      <c r="W218" s="1586"/>
      <c r="X218" s="1588"/>
      <c r="Y218" s="1561"/>
      <c r="Z218" s="1586"/>
      <c r="AA218" s="1586"/>
      <c r="AB218" s="1586"/>
      <c r="AC218" s="1586"/>
      <c r="AD218" s="1586"/>
      <c r="AE218" s="1575"/>
      <c r="AF218" s="1561"/>
      <c r="AG218" s="1580"/>
      <c r="AH218" s="1642"/>
      <c r="AI218" s="1590"/>
      <c r="AJ218" s="1590"/>
      <c r="AK218" s="1590"/>
      <c r="AL218" s="1613"/>
      <c r="AM218" s="1614"/>
      <c r="AN218" s="1599"/>
      <c r="AO218" s="1590"/>
      <c r="AP218" s="1792"/>
      <c r="AQ218" s="1642"/>
      <c r="AR218" s="1590"/>
      <c r="AS218" s="1590"/>
      <c r="AT218" s="1590"/>
      <c r="AU218" s="1616"/>
      <c r="AV218" s="1603"/>
      <c r="AW218" s="1627"/>
      <c r="AX218" s="1592"/>
    </row>
    <row r="219" spans="1:50" ht="15.75" customHeight="1" x14ac:dyDescent="0.25">
      <c r="A219" s="1517" t="s">
        <v>300</v>
      </c>
      <c r="B219" s="2013" t="s">
        <v>301</v>
      </c>
      <c r="C219" s="2002"/>
      <c r="D219" s="1573">
        <f>+D220+D222+D243</f>
        <v>5435119631.7200003</v>
      </c>
      <c r="E219" s="1572">
        <f>SUM(G219+Y219+AG219+AN219)</f>
        <v>5435119631.7200003</v>
      </c>
      <c r="F219" s="1495">
        <f t="shared" ref="F219:F241" si="212">+X219+AF219+AM219+AW219</f>
        <v>1010500</v>
      </c>
      <c r="G219" s="1573">
        <f>SUM(H219:W219)</f>
        <v>1113624320</v>
      </c>
      <c r="H219" s="1099">
        <f t="shared" ref="H219:W219" si="213">SUM(H220:H243)</f>
        <v>0</v>
      </c>
      <c r="I219" s="1099">
        <f t="shared" si="213"/>
        <v>0</v>
      </c>
      <c r="J219" s="1099">
        <f t="shared" si="213"/>
        <v>0</v>
      </c>
      <c r="K219" s="1099">
        <f t="shared" si="213"/>
        <v>0</v>
      </c>
      <c r="L219" s="1647">
        <f t="shared" si="213"/>
        <v>30000000</v>
      </c>
      <c r="M219" s="1647">
        <f t="shared" si="213"/>
        <v>0</v>
      </c>
      <c r="N219" s="1099">
        <f t="shared" si="213"/>
        <v>0</v>
      </c>
      <c r="O219" s="1099">
        <f t="shared" si="213"/>
        <v>0</v>
      </c>
      <c r="P219" s="1647">
        <f t="shared" si="213"/>
        <v>0</v>
      </c>
      <c r="Q219" s="1099">
        <f t="shared" si="213"/>
        <v>0</v>
      </c>
      <c r="R219" s="1647">
        <f t="shared" si="213"/>
        <v>0</v>
      </c>
      <c r="S219" s="1647">
        <f t="shared" si="213"/>
        <v>1083624320</v>
      </c>
      <c r="T219" s="1647">
        <f t="shared" si="213"/>
        <v>0</v>
      </c>
      <c r="U219" s="1647">
        <f t="shared" si="213"/>
        <v>0</v>
      </c>
      <c r="V219" s="1647">
        <f t="shared" si="213"/>
        <v>0</v>
      </c>
      <c r="W219" s="1647">
        <f t="shared" si="213"/>
        <v>0</v>
      </c>
      <c r="X219" s="1628">
        <v>0</v>
      </c>
      <c r="Y219" s="1647">
        <f t="shared" ref="Y219:AD219" si="214">SUM(Y220:Y243)</f>
        <v>9000000</v>
      </c>
      <c r="Z219" s="1647">
        <f t="shared" si="214"/>
        <v>0</v>
      </c>
      <c r="AA219" s="1647">
        <f t="shared" si="214"/>
        <v>0</v>
      </c>
      <c r="AB219" s="1647">
        <f t="shared" si="214"/>
        <v>1000000</v>
      </c>
      <c r="AC219" s="1647">
        <f t="shared" si="214"/>
        <v>4000000</v>
      </c>
      <c r="AD219" s="1647">
        <f t="shared" si="214"/>
        <v>4000000</v>
      </c>
      <c r="AE219" s="1575">
        <f>X219/$X$7</f>
        <v>0</v>
      </c>
      <c r="AF219" s="1557">
        <v>0</v>
      </c>
      <c r="AG219" s="1576">
        <f>SUM(AG220+AG222+AG243)</f>
        <v>4312495311.7200003</v>
      </c>
      <c r="AH219" s="1689">
        <f>SUM(AH220:AH243)</f>
        <v>0</v>
      </c>
      <c r="AI219" s="1597">
        <f>+AI220+AI222+AI243</f>
        <v>4312495311.7200003</v>
      </c>
      <c r="AJ219" s="1597">
        <f>SUM(AJ220:AJ243)</f>
        <v>0</v>
      </c>
      <c r="AK219" s="1597">
        <f>SUM(AK220:AK243)</f>
        <v>0</v>
      </c>
      <c r="AL219" s="1577">
        <f>(AF219/AF7)</f>
        <v>0</v>
      </c>
      <c r="AM219" s="1769">
        <f>+AM220+AM221+AM2199+AM222+AM243</f>
        <v>1010500</v>
      </c>
      <c r="AN219" s="1599">
        <f t="shared" ref="AN219:AT219" si="215">SUM(AN220:AN243)</f>
        <v>0</v>
      </c>
      <c r="AO219" s="1600">
        <f t="shared" si="215"/>
        <v>0</v>
      </c>
      <c r="AP219" s="1599">
        <f t="shared" si="215"/>
        <v>0</v>
      </c>
      <c r="AQ219" s="1601">
        <f t="shared" si="215"/>
        <v>0</v>
      </c>
      <c r="AR219" s="1600">
        <f t="shared" si="215"/>
        <v>0</v>
      </c>
      <c r="AS219" s="1600">
        <f t="shared" si="215"/>
        <v>0</v>
      </c>
      <c r="AT219" s="1600">
        <f t="shared" si="215"/>
        <v>0</v>
      </c>
      <c r="AU219" s="1602">
        <f>SUM(AU220+AU222+AU243)</f>
        <v>4656181617.6300001</v>
      </c>
      <c r="AV219" s="1603">
        <f t="shared" ref="AV219:AV241" si="216">AM219/$AM$7</f>
        <v>0.16349527064640879</v>
      </c>
      <c r="AW219" s="1627">
        <f>AN219/1000</f>
        <v>0</v>
      </c>
      <c r="AX219" s="1592">
        <f t="shared" ref="AX219:AX241" si="217">AW219/$AW$7</f>
        <v>0</v>
      </c>
    </row>
    <row r="220" spans="1:50" ht="15.75" hidden="1" customHeight="1" x14ac:dyDescent="0.25">
      <c r="A220" s="1652" t="s">
        <v>302</v>
      </c>
      <c r="B220" s="1624" t="s">
        <v>303</v>
      </c>
      <c r="C220" s="1775"/>
      <c r="D220" s="1608">
        <f>+G220+Y220+AG220+AN220</f>
        <v>1087000000</v>
      </c>
      <c r="E220" s="1552">
        <f>SUM(G220+Y220+AG220+AN220)</f>
        <v>1087000000</v>
      </c>
      <c r="F220" s="1447">
        <f t="shared" si="212"/>
        <v>0</v>
      </c>
      <c r="G220" s="1608">
        <f>SUM(H220:W220)</f>
        <v>1078000000</v>
      </c>
      <c r="H220" s="78"/>
      <c r="I220" s="78"/>
      <c r="J220" s="78"/>
      <c r="K220" s="78"/>
      <c r="L220" s="78"/>
      <c r="M220" s="1586"/>
      <c r="N220" s="78"/>
      <c r="O220" s="78"/>
      <c r="P220" s="78"/>
      <c r="Q220" s="78"/>
      <c r="R220" s="1586"/>
      <c r="S220" s="1586">
        <v>1078000000</v>
      </c>
      <c r="T220" s="1586"/>
      <c r="U220" s="1586"/>
      <c r="V220" s="1586"/>
      <c r="W220" s="1586"/>
      <c r="X220" s="1588">
        <v>0</v>
      </c>
      <c r="Y220" s="1561">
        <f>SUM(Z220:AD220)</f>
        <v>9000000</v>
      </c>
      <c r="Z220" s="1586">
        <v>0</v>
      </c>
      <c r="AA220" s="1586">
        <v>0</v>
      </c>
      <c r="AB220" s="1586">
        <v>1000000</v>
      </c>
      <c r="AC220" s="1586">
        <v>4000000</v>
      </c>
      <c r="AD220" s="1586">
        <v>4000000</v>
      </c>
      <c r="AE220" s="1609">
        <f>X220/$X$7</f>
        <v>0</v>
      </c>
      <c r="AF220" s="1561">
        <v>0</v>
      </c>
      <c r="AG220" s="1576">
        <f>SUM(AH220:AK220)</f>
        <v>0</v>
      </c>
      <c r="AH220" s="1611"/>
      <c r="AI220" s="1612">
        <v>0</v>
      </c>
      <c r="AJ220" s="1600">
        <v>0</v>
      </c>
      <c r="AK220" s="1600">
        <v>0</v>
      </c>
      <c r="AL220" s="1613">
        <f>(AF220/AF7)</f>
        <v>0</v>
      </c>
      <c r="AM220" s="1614">
        <v>0</v>
      </c>
      <c r="AN220" s="1615">
        <f>SUM(AO220+AP220)</f>
        <v>0</v>
      </c>
      <c r="AO220" s="1600">
        <v>0</v>
      </c>
      <c r="AP220" s="1738">
        <f>SUM(AQ220:AT220)</f>
        <v>0</v>
      </c>
      <c r="AQ220" s="1601">
        <v>0</v>
      </c>
      <c r="AR220" s="1600">
        <v>0</v>
      </c>
      <c r="AS220" s="1600">
        <v>0</v>
      </c>
      <c r="AT220" s="1600">
        <v>0</v>
      </c>
      <c r="AU220" s="1616">
        <f>SUM(AN220+AG220+Y220+G220)</f>
        <v>1087000000</v>
      </c>
      <c r="AV220" s="1617">
        <f t="shared" si="216"/>
        <v>0</v>
      </c>
      <c r="AW220" s="1627">
        <f>AN220/1000</f>
        <v>0</v>
      </c>
      <c r="AX220" s="1619">
        <f t="shared" si="217"/>
        <v>0</v>
      </c>
    </row>
    <row r="221" spans="1:50" ht="15.75" customHeight="1" x14ac:dyDescent="0.25">
      <c r="A221" s="1652" t="s">
        <v>750</v>
      </c>
      <c r="B221" s="1624" t="s">
        <v>751</v>
      </c>
      <c r="C221" s="1775"/>
      <c r="D221" s="1608"/>
      <c r="E221" s="1552"/>
      <c r="F221" s="1447">
        <f t="shared" si="212"/>
        <v>10000</v>
      </c>
      <c r="G221" s="1608"/>
      <c r="H221" s="78"/>
      <c r="I221" s="78"/>
      <c r="J221" s="78"/>
      <c r="K221" s="78"/>
      <c r="L221" s="78"/>
      <c r="M221" s="1586"/>
      <c r="N221" s="78"/>
      <c r="O221" s="78"/>
      <c r="P221" s="78"/>
      <c r="Q221" s="78"/>
      <c r="R221" s="1586"/>
      <c r="S221" s="1586"/>
      <c r="T221" s="1586"/>
      <c r="U221" s="1586"/>
      <c r="V221" s="1586"/>
      <c r="W221" s="1586"/>
      <c r="X221" s="1588">
        <v>0</v>
      </c>
      <c r="Y221" s="1561"/>
      <c r="Z221" s="1586"/>
      <c r="AA221" s="1586"/>
      <c r="AB221" s="1586"/>
      <c r="AC221" s="1586"/>
      <c r="AD221" s="1586"/>
      <c r="AE221" s="1609">
        <f>X221/$X$7</f>
        <v>0</v>
      </c>
      <c r="AF221" s="1561">
        <v>0</v>
      </c>
      <c r="AG221" s="1576"/>
      <c r="AH221" s="1611"/>
      <c r="AI221" s="1612"/>
      <c r="AJ221" s="1600"/>
      <c r="AK221" s="1600"/>
      <c r="AL221" s="1613">
        <f>(AF221/AF7)</f>
        <v>0</v>
      </c>
      <c r="AM221" s="1614">
        <f>10000000/1000</f>
        <v>10000</v>
      </c>
      <c r="AN221" s="1615"/>
      <c r="AO221" s="1600"/>
      <c r="AP221" s="1738"/>
      <c r="AQ221" s="1601"/>
      <c r="AR221" s="1600"/>
      <c r="AS221" s="1600"/>
      <c r="AT221" s="1600"/>
      <c r="AU221" s="1616"/>
      <c r="AV221" s="1617">
        <f t="shared" si="216"/>
        <v>1.6179640835864303E-3</v>
      </c>
      <c r="AW221" s="1627">
        <v>0</v>
      </c>
      <c r="AX221" s="1619">
        <f t="shared" si="217"/>
        <v>0</v>
      </c>
    </row>
    <row r="222" spans="1:50" ht="15.75" customHeight="1" x14ac:dyDescent="0.25">
      <c r="A222" s="1652" t="s">
        <v>304</v>
      </c>
      <c r="B222" s="1624" t="s">
        <v>305</v>
      </c>
      <c r="C222" s="1775"/>
      <c r="D222" s="1573">
        <f>SUM(D225:D238)</f>
        <v>4312495311.7200003</v>
      </c>
      <c r="E222" s="1552">
        <f>SUM(G222+Y222+AG222+AN222)</f>
        <v>4312495311.7200003</v>
      </c>
      <c r="F222" s="1447">
        <f t="shared" si="212"/>
        <v>990500</v>
      </c>
      <c r="G222" s="1573">
        <f>SUM(H222:W222)</f>
        <v>0</v>
      </c>
      <c r="H222" s="1647"/>
      <c r="I222" s="1647"/>
      <c r="J222" s="1647"/>
      <c r="K222" s="1647"/>
      <c r="L222" s="1647"/>
      <c r="M222" s="1685"/>
      <c r="N222" s="1647"/>
      <c r="O222" s="1647"/>
      <c r="P222" s="1647"/>
      <c r="Q222" s="1647"/>
      <c r="R222" s="1685"/>
      <c r="S222" s="1685"/>
      <c r="T222" s="1685"/>
      <c r="U222" s="1685"/>
      <c r="V222" s="1685"/>
      <c r="W222" s="1685"/>
      <c r="X222" s="1588">
        <v>0</v>
      </c>
      <c r="Y222" s="1561"/>
      <c r="Z222" s="1685">
        <v>0</v>
      </c>
      <c r="AA222" s="1685">
        <v>0</v>
      </c>
      <c r="AB222" s="1685">
        <v>0</v>
      </c>
      <c r="AC222" s="1685">
        <v>0</v>
      </c>
      <c r="AD222" s="1685">
        <v>0</v>
      </c>
      <c r="AE222" s="1609">
        <f>X222/$X$7</f>
        <v>0</v>
      </c>
      <c r="AF222" s="1561">
        <v>0</v>
      </c>
      <c r="AG222" s="1576">
        <f>SUM(AG225+AG226+AG227+AG231+AG235+AG236+AG237+AG238)</f>
        <v>4312495311.7200003</v>
      </c>
      <c r="AH222" s="1684"/>
      <c r="AI222" s="1658">
        <f>SUM(AI223:AI238)</f>
        <v>4312495311.7200003</v>
      </c>
      <c r="AJ222" s="1597">
        <v>0</v>
      </c>
      <c r="AK222" s="1597">
        <v>0</v>
      </c>
      <c r="AL222" s="1613">
        <f>(AF222/AF7)</f>
        <v>0</v>
      </c>
      <c r="AM222" s="1614">
        <f>+AM231+AM236+AM237+AM238+AM239+AM240+AM241</f>
        <v>990500</v>
      </c>
      <c r="AN222" s="1599">
        <f>SUM(AN226:AN238)</f>
        <v>0</v>
      </c>
      <c r="AO222" s="1600">
        <v>0</v>
      </c>
      <c r="AP222" s="1599">
        <f>SUM(AP225:AP238)</f>
        <v>0</v>
      </c>
      <c r="AQ222" s="1601">
        <v>0</v>
      </c>
      <c r="AR222" s="1600">
        <v>0</v>
      </c>
      <c r="AS222" s="1600">
        <v>0</v>
      </c>
      <c r="AT222" s="1600">
        <v>0</v>
      </c>
      <c r="AU222" s="1602">
        <f>SUM(AU224:AU238)</f>
        <v>3533557297.6300001</v>
      </c>
      <c r="AV222" s="1617">
        <f t="shared" si="216"/>
        <v>0.1602593424792359</v>
      </c>
      <c r="AW222" s="1627">
        <f t="shared" ref="AW222:AW238" si="218">AN222/1000</f>
        <v>0</v>
      </c>
      <c r="AX222" s="1619">
        <f t="shared" si="217"/>
        <v>0</v>
      </c>
    </row>
    <row r="223" spans="1:50" ht="15.75" hidden="1" customHeight="1" x14ac:dyDescent="0.25">
      <c r="A223" s="1652" t="s">
        <v>528</v>
      </c>
      <c r="B223" s="1624" t="s">
        <v>558</v>
      </c>
      <c r="C223" s="1513"/>
      <c r="D223" s="1608">
        <f t="shared" ref="D223:D238" si="219">+G223+Y223+AG223+AN223</f>
        <v>0</v>
      </c>
      <c r="E223" s="1552"/>
      <c r="F223" s="1447">
        <f t="shared" si="212"/>
        <v>0</v>
      </c>
      <c r="G223" s="1573"/>
      <c r="H223" s="1647"/>
      <c r="I223" s="1647"/>
      <c r="J223" s="1647"/>
      <c r="K223" s="1647"/>
      <c r="L223" s="1647"/>
      <c r="M223" s="1685"/>
      <c r="N223" s="1647"/>
      <c r="O223" s="1647"/>
      <c r="P223" s="1647"/>
      <c r="Q223" s="1647"/>
      <c r="R223" s="1685"/>
      <c r="S223" s="1685"/>
      <c r="T223" s="1685"/>
      <c r="U223" s="1685"/>
      <c r="V223" s="1685"/>
      <c r="W223" s="1685"/>
      <c r="X223" s="1588">
        <v>0</v>
      </c>
      <c r="Y223" s="1685"/>
      <c r="Z223" s="1685"/>
      <c r="AA223" s="1685"/>
      <c r="AB223" s="1685"/>
      <c r="AC223" s="1685"/>
      <c r="AD223" s="1685"/>
      <c r="AE223" s="1609">
        <f t="shared" ref="AE223:AE236" si="220">X223/$X$7*100</f>
        <v>0</v>
      </c>
      <c r="AF223" s="1561">
        <v>0</v>
      </c>
      <c r="AG223" s="1576"/>
      <c r="AH223" s="1684"/>
      <c r="AI223" s="1612"/>
      <c r="AJ223" s="1597"/>
      <c r="AK223" s="1597"/>
      <c r="AL223" s="1613" t="e">
        <f t="shared" ref="AL223:AL236" si="221">(AF223/AF10)*100</f>
        <v>#DIV/0!</v>
      </c>
      <c r="AM223" s="1614">
        <f t="shared" ref="AM223:AM230" si="222">AG223/1000</f>
        <v>0</v>
      </c>
      <c r="AN223" s="1599"/>
      <c r="AO223" s="1600"/>
      <c r="AP223" s="1599"/>
      <c r="AQ223" s="1601"/>
      <c r="AR223" s="1600"/>
      <c r="AS223" s="1600"/>
      <c r="AT223" s="1600"/>
      <c r="AU223" s="1602"/>
      <c r="AV223" s="1617">
        <f t="shared" si="216"/>
        <v>0</v>
      </c>
      <c r="AW223" s="1627">
        <f t="shared" si="218"/>
        <v>0</v>
      </c>
      <c r="AX223" s="1619">
        <f t="shared" si="217"/>
        <v>0</v>
      </c>
    </row>
    <row r="224" spans="1:50" ht="15.75" hidden="1" customHeight="1" x14ac:dyDescent="0.25">
      <c r="A224" s="1652" t="s">
        <v>520</v>
      </c>
      <c r="B224" s="1624" t="s">
        <v>521</v>
      </c>
      <c r="C224" s="1513"/>
      <c r="D224" s="1608">
        <f t="shared" si="219"/>
        <v>0</v>
      </c>
      <c r="E224" s="1552">
        <f>SUM(G224+Y224+AG224+AN224)</f>
        <v>0</v>
      </c>
      <c r="F224" s="1447">
        <f t="shared" si="212"/>
        <v>0</v>
      </c>
      <c r="G224" s="1573">
        <f>SUM(H224:W224)</f>
        <v>0</v>
      </c>
      <c r="H224" s="78"/>
      <c r="I224" s="78"/>
      <c r="J224" s="78"/>
      <c r="K224" s="78"/>
      <c r="L224" s="78"/>
      <c r="M224" s="1586"/>
      <c r="N224" s="78"/>
      <c r="O224" s="78"/>
      <c r="P224" s="78"/>
      <c r="Q224" s="78"/>
      <c r="R224" s="1586"/>
      <c r="S224" s="1586"/>
      <c r="T224" s="1586"/>
      <c r="U224" s="1586"/>
      <c r="V224" s="1586"/>
      <c r="W224" s="1586"/>
      <c r="X224" s="1588">
        <v>0</v>
      </c>
      <c r="Y224" s="1586"/>
      <c r="Z224" s="1586"/>
      <c r="AA224" s="1586"/>
      <c r="AB224" s="1586"/>
      <c r="AC224" s="1586"/>
      <c r="AD224" s="1586"/>
      <c r="AE224" s="1609">
        <f t="shared" si="220"/>
        <v>0</v>
      </c>
      <c r="AF224" s="1561">
        <v>0</v>
      </c>
      <c r="AG224" s="1580">
        <f>SUM(AH224:AJ224)</f>
        <v>0</v>
      </c>
      <c r="AH224" s="1611"/>
      <c r="AI224" s="1612"/>
      <c r="AJ224" s="1600"/>
      <c r="AK224" s="1600"/>
      <c r="AL224" s="1613">
        <f t="shared" si="221"/>
        <v>0</v>
      </c>
      <c r="AM224" s="1614">
        <f t="shared" si="222"/>
        <v>0</v>
      </c>
      <c r="AN224" s="1599"/>
      <c r="AO224" s="1600"/>
      <c r="AP224" s="1599"/>
      <c r="AQ224" s="1601"/>
      <c r="AR224" s="1600"/>
      <c r="AS224" s="1600"/>
      <c r="AT224" s="1600"/>
      <c r="AU224" s="1616">
        <f>SUM(AN224+AG224+Y224+G224)</f>
        <v>0</v>
      </c>
      <c r="AV224" s="1617">
        <f t="shared" si="216"/>
        <v>0</v>
      </c>
      <c r="AW224" s="1627">
        <f t="shared" si="218"/>
        <v>0</v>
      </c>
      <c r="AX224" s="1619">
        <f t="shared" si="217"/>
        <v>0</v>
      </c>
    </row>
    <row r="225" spans="1:50" ht="15.75" hidden="1" customHeight="1" x14ac:dyDescent="0.25">
      <c r="A225" s="1652" t="s">
        <v>529</v>
      </c>
      <c r="B225" s="1624" t="s">
        <v>530</v>
      </c>
      <c r="C225" s="1513"/>
      <c r="D225" s="1608">
        <f t="shared" si="219"/>
        <v>0</v>
      </c>
      <c r="E225" s="1552">
        <f>SUM(G225+Y225+AG225+AN225)</f>
        <v>0</v>
      </c>
      <c r="F225" s="1447">
        <f t="shared" si="212"/>
        <v>0</v>
      </c>
      <c r="G225" s="1573"/>
      <c r="H225" s="78"/>
      <c r="I225" s="78"/>
      <c r="J225" s="78"/>
      <c r="K225" s="78"/>
      <c r="L225" s="78"/>
      <c r="M225" s="1586"/>
      <c r="N225" s="78"/>
      <c r="O225" s="78"/>
      <c r="P225" s="78"/>
      <c r="Q225" s="78"/>
      <c r="R225" s="1586"/>
      <c r="S225" s="1586"/>
      <c r="T225" s="1586"/>
      <c r="U225" s="1586"/>
      <c r="V225" s="1586"/>
      <c r="W225" s="1586"/>
      <c r="X225" s="1588">
        <v>0</v>
      </c>
      <c r="Y225" s="1586"/>
      <c r="Z225" s="1586"/>
      <c r="AA225" s="1586"/>
      <c r="AB225" s="1586"/>
      <c r="AC225" s="1586"/>
      <c r="AD225" s="1586"/>
      <c r="AE225" s="1609">
        <f t="shared" si="220"/>
        <v>0</v>
      </c>
      <c r="AF225" s="1561">
        <v>0</v>
      </c>
      <c r="AG225" s="1576">
        <f t="shared" ref="AG225:AG238" si="223">SUM(AH225:AK225)</f>
        <v>0</v>
      </c>
      <c r="AH225" s="1611"/>
      <c r="AI225" s="1612"/>
      <c r="AJ225" s="1600"/>
      <c r="AK225" s="1600"/>
      <c r="AL225" s="1613">
        <f t="shared" si="221"/>
        <v>0</v>
      </c>
      <c r="AM225" s="1614">
        <f t="shared" si="222"/>
        <v>0</v>
      </c>
      <c r="AN225" s="1615">
        <f t="shared" ref="AN225:AN238" si="224">SUM(AO225+AP225)</f>
        <v>0</v>
      </c>
      <c r="AO225" s="1600"/>
      <c r="AP225" s="1738">
        <f t="shared" ref="AP225:AP238" si="225">SUM(AQ225:AT225)</f>
        <v>0</v>
      </c>
      <c r="AQ225" s="1601"/>
      <c r="AR225" s="1600"/>
      <c r="AS225" s="1600"/>
      <c r="AT225" s="1600"/>
      <c r="AU225" s="1616">
        <f>SUM(AN225+AG225+Y225+G225)</f>
        <v>0</v>
      </c>
      <c r="AV225" s="1617">
        <f t="shared" si="216"/>
        <v>0</v>
      </c>
      <c r="AW225" s="1627">
        <f t="shared" si="218"/>
        <v>0</v>
      </c>
      <c r="AX225" s="1619">
        <f t="shared" si="217"/>
        <v>0</v>
      </c>
    </row>
    <row r="226" spans="1:50" ht="15.75" hidden="1" customHeight="1" x14ac:dyDescent="0.25">
      <c r="A226" s="1652" t="s">
        <v>531</v>
      </c>
      <c r="B226" s="1624" t="s">
        <v>592</v>
      </c>
      <c r="C226" s="1513"/>
      <c r="D226" s="1608">
        <f t="shared" si="219"/>
        <v>0</v>
      </c>
      <c r="E226" s="1552"/>
      <c r="F226" s="1447">
        <f t="shared" si="212"/>
        <v>0</v>
      </c>
      <c r="G226" s="1573"/>
      <c r="H226" s="78"/>
      <c r="I226" s="78"/>
      <c r="J226" s="78"/>
      <c r="K226" s="78"/>
      <c r="L226" s="78"/>
      <c r="M226" s="1586"/>
      <c r="N226" s="78"/>
      <c r="O226" s="78"/>
      <c r="P226" s="78"/>
      <c r="Q226" s="78"/>
      <c r="R226" s="1586"/>
      <c r="S226" s="1586"/>
      <c r="T226" s="1586"/>
      <c r="U226" s="1586"/>
      <c r="V226" s="1586"/>
      <c r="W226" s="1586"/>
      <c r="X226" s="1588">
        <v>0</v>
      </c>
      <c r="Y226" s="1586"/>
      <c r="Z226" s="1586"/>
      <c r="AA226" s="1586"/>
      <c r="AB226" s="1586"/>
      <c r="AC226" s="1586"/>
      <c r="AD226" s="1586"/>
      <c r="AE226" s="1609">
        <f t="shared" si="220"/>
        <v>0</v>
      </c>
      <c r="AF226" s="1561">
        <v>0</v>
      </c>
      <c r="AG226" s="1576">
        <f t="shared" si="223"/>
        <v>0</v>
      </c>
      <c r="AH226" s="1611"/>
      <c r="AI226" s="1612"/>
      <c r="AJ226" s="1600"/>
      <c r="AK226" s="1600"/>
      <c r="AL226" s="1613" t="e">
        <f t="shared" si="221"/>
        <v>#DIV/0!</v>
      </c>
      <c r="AM226" s="1614">
        <f t="shared" si="222"/>
        <v>0</v>
      </c>
      <c r="AN226" s="1615">
        <f t="shared" si="224"/>
        <v>0</v>
      </c>
      <c r="AO226" s="1600"/>
      <c r="AP226" s="1738">
        <f t="shared" si="225"/>
        <v>0</v>
      </c>
      <c r="AQ226" s="1601"/>
      <c r="AR226" s="1600"/>
      <c r="AS226" s="1600"/>
      <c r="AT226" s="1600"/>
      <c r="AU226" s="1616"/>
      <c r="AV226" s="1617">
        <f t="shared" si="216"/>
        <v>0</v>
      </c>
      <c r="AW226" s="1627">
        <f t="shared" si="218"/>
        <v>0</v>
      </c>
      <c r="AX226" s="1619">
        <f t="shared" si="217"/>
        <v>0</v>
      </c>
    </row>
    <row r="227" spans="1:50" ht="15.75" hidden="1" customHeight="1" x14ac:dyDescent="0.25">
      <c r="A227" s="1652" t="s">
        <v>532</v>
      </c>
      <c r="B227" s="1624" t="s">
        <v>539</v>
      </c>
      <c r="C227" s="1513"/>
      <c r="D227" s="1608">
        <f t="shared" si="219"/>
        <v>0</v>
      </c>
      <c r="E227" s="1552">
        <f t="shared" ref="E227:E238" si="226">SUM(G227+Y227+AG227+AN227)</f>
        <v>0</v>
      </c>
      <c r="F227" s="1447">
        <f t="shared" si="212"/>
        <v>0</v>
      </c>
      <c r="G227" s="1573"/>
      <c r="H227" s="78"/>
      <c r="I227" s="78"/>
      <c r="J227" s="78"/>
      <c r="K227" s="78"/>
      <c r="L227" s="78"/>
      <c r="M227" s="1586"/>
      <c r="N227" s="78"/>
      <c r="O227" s="78"/>
      <c r="P227" s="78"/>
      <c r="Q227" s="78"/>
      <c r="R227" s="1586"/>
      <c r="S227" s="1586"/>
      <c r="T227" s="1586"/>
      <c r="U227" s="1586"/>
      <c r="V227" s="1586"/>
      <c r="W227" s="1586"/>
      <c r="X227" s="1588">
        <v>0</v>
      </c>
      <c r="Y227" s="1586"/>
      <c r="Z227" s="1586"/>
      <c r="AA227" s="1586"/>
      <c r="AB227" s="1586"/>
      <c r="AC227" s="1586"/>
      <c r="AD227" s="1586"/>
      <c r="AE227" s="1609">
        <f t="shared" si="220"/>
        <v>0</v>
      </c>
      <c r="AF227" s="1561">
        <v>0</v>
      </c>
      <c r="AG227" s="1576">
        <f t="shared" si="223"/>
        <v>0</v>
      </c>
      <c r="AH227" s="1611"/>
      <c r="AI227" s="1612"/>
      <c r="AJ227" s="1600"/>
      <c r="AK227" s="1600"/>
      <c r="AL227" s="1613" t="e">
        <f t="shared" si="221"/>
        <v>#DIV/0!</v>
      </c>
      <c r="AM227" s="1614">
        <f t="shared" si="222"/>
        <v>0</v>
      </c>
      <c r="AN227" s="1615">
        <f t="shared" si="224"/>
        <v>0</v>
      </c>
      <c r="AO227" s="1600"/>
      <c r="AP227" s="1738">
        <f t="shared" si="225"/>
        <v>0</v>
      </c>
      <c r="AQ227" s="1601"/>
      <c r="AR227" s="1600"/>
      <c r="AS227" s="1600"/>
      <c r="AT227" s="1600"/>
      <c r="AU227" s="1616">
        <f t="shared" ref="AU227:AU236" si="227">SUM(AN227+AG227+Y227+G227)</f>
        <v>0</v>
      </c>
      <c r="AV227" s="1617">
        <f t="shared" si="216"/>
        <v>0</v>
      </c>
      <c r="AW227" s="1627">
        <f t="shared" si="218"/>
        <v>0</v>
      </c>
      <c r="AX227" s="1619">
        <f t="shared" si="217"/>
        <v>0</v>
      </c>
    </row>
    <row r="228" spans="1:50" ht="15.75" hidden="1" customHeight="1" x14ac:dyDescent="0.25">
      <c r="A228" s="1652" t="s">
        <v>533</v>
      </c>
      <c r="B228" s="1624" t="s">
        <v>534</v>
      </c>
      <c r="C228" s="1513"/>
      <c r="D228" s="1608">
        <f t="shared" si="219"/>
        <v>0</v>
      </c>
      <c r="E228" s="1552">
        <f t="shared" si="226"/>
        <v>0</v>
      </c>
      <c r="F228" s="1447">
        <f t="shared" si="212"/>
        <v>0</v>
      </c>
      <c r="G228" s="1573"/>
      <c r="H228" s="78"/>
      <c r="I228" s="78"/>
      <c r="J228" s="78"/>
      <c r="K228" s="78"/>
      <c r="L228" s="78"/>
      <c r="M228" s="1586"/>
      <c r="N228" s="78"/>
      <c r="O228" s="78"/>
      <c r="P228" s="78"/>
      <c r="Q228" s="78"/>
      <c r="R228" s="1586"/>
      <c r="S228" s="1586"/>
      <c r="T228" s="1586"/>
      <c r="U228" s="1586"/>
      <c r="V228" s="1586"/>
      <c r="W228" s="1586"/>
      <c r="X228" s="1588">
        <v>0</v>
      </c>
      <c r="Y228" s="1586"/>
      <c r="Z228" s="1586"/>
      <c r="AA228" s="1586"/>
      <c r="AB228" s="1586"/>
      <c r="AC228" s="1586"/>
      <c r="AD228" s="1586"/>
      <c r="AE228" s="1609">
        <f t="shared" si="220"/>
        <v>0</v>
      </c>
      <c r="AF228" s="1561">
        <v>0</v>
      </c>
      <c r="AG228" s="1576">
        <f t="shared" si="223"/>
        <v>0</v>
      </c>
      <c r="AH228" s="1611"/>
      <c r="AI228" s="1612"/>
      <c r="AJ228" s="1600"/>
      <c r="AK228" s="1600"/>
      <c r="AL228" s="1613" t="e">
        <f t="shared" si="221"/>
        <v>#DIV/0!</v>
      </c>
      <c r="AM228" s="1614">
        <f t="shared" si="222"/>
        <v>0</v>
      </c>
      <c r="AN228" s="1615">
        <f t="shared" si="224"/>
        <v>0</v>
      </c>
      <c r="AO228" s="1600"/>
      <c r="AP228" s="1738">
        <f t="shared" si="225"/>
        <v>0</v>
      </c>
      <c r="AQ228" s="1601"/>
      <c r="AR228" s="1600"/>
      <c r="AS228" s="1600"/>
      <c r="AT228" s="1600"/>
      <c r="AU228" s="1616">
        <f t="shared" si="227"/>
        <v>0</v>
      </c>
      <c r="AV228" s="1617">
        <f t="shared" si="216"/>
        <v>0</v>
      </c>
      <c r="AW228" s="1627">
        <f t="shared" si="218"/>
        <v>0</v>
      </c>
      <c r="AX228" s="1619">
        <f t="shared" si="217"/>
        <v>0</v>
      </c>
    </row>
    <row r="229" spans="1:50" ht="15.75" hidden="1" customHeight="1" x14ac:dyDescent="0.25">
      <c r="A229" s="1652" t="s">
        <v>535</v>
      </c>
      <c r="B229" s="1624" t="s">
        <v>536</v>
      </c>
      <c r="C229" s="1513"/>
      <c r="D229" s="1608">
        <f t="shared" si="219"/>
        <v>0</v>
      </c>
      <c r="E229" s="1552">
        <f t="shared" si="226"/>
        <v>0</v>
      </c>
      <c r="F229" s="1447">
        <f t="shared" si="212"/>
        <v>0</v>
      </c>
      <c r="G229" s="1573"/>
      <c r="H229" s="78"/>
      <c r="I229" s="78"/>
      <c r="J229" s="78"/>
      <c r="K229" s="78"/>
      <c r="L229" s="78"/>
      <c r="M229" s="1586"/>
      <c r="N229" s="78"/>
      <c r="O229" s="78"/>
      <c r="P229" s="78"/>
      <c r="Q229" s="78"/>
      <c r="R229" s="1586"/>
      <c r="S229" s="1586"/>
      <c r="T229" s="1586"/>
      <c r="U229" s="1586"/>
      <c r="V229" s="1586"/>
      <c r="W229" s="1586"/>
      <c r="X229" s="1588">
        <v>0</v>
      </c>
      <c r="Y229" s="1586"/>
      <c r="Z229" s="1586"/>
      <c r="AA229" s="1586"/>
      <c r="AB229" s="1586"/>
      <c r="AC229" s="1586"/>
      <c r="AD229" s="1586"/>
      <c r="AE229" s="1609">
        <f t="shared" si="220"/>
        <v>0</v>
      </c>
      <c r="AF229" s="1561">
        <v>0</v>
      </c>
      <c r="AG229" s="1576">
        <f t="shared" si="223"/>
        <v>0</v>
      </c>
      <c r="AH229" s="1611"/>
      <c r="AI229" s="1612"/>
      <c r="AJ229" s="1600"/>
      <c r="AK229" s="1600"/>
      <c r="AL229" s="1613" t="e">
        <f t="shared" si="221"/>
        <v>#DIV/0!</v>
      </c>
      <c r="AM229" s="1614">
        <f t="shared" si="222"/>
        <v>0</v>
      </c>
      <c r="AN229" s="1615">
        <f t="shared" si="224"/>
        <v>0</v>
      </c>
      <c r="AO229" s="1600"/>
      <c r="AP229" s="1738">
        <f t="shared" si="225"/>
        <v>0</v>
      </c>
      <c r="AQ229" s="1601"/>
      <c r="AR229" s="1600"/>
      <c r="AS229" s="1600"/>
      <c r="AT229" s="1600"/>
      <c r="AU229" s="1616">
        <f t="shared" si="227"/>
        <v>0</v>
      </c>
      <c r="AV229" s="1617">
        <f t="shared" si="216"/>
        <v>0</v>
      </c>
      <c r="AW229" s="1627">
        <f t="shared" si="218"/>
        <v>0</v>
      </c>
      <c r="AX229" s="1619">
        <f t="shared" si="217"/>
        <v>0</v>
      </c>
    </row>
    <row r="230" spans="1:50" ht="15.75" hidden="1" customHeight="1" x14ac:dyDescent="0.25">
      <c r="A230" s="1652" t="s">
        <v>522</v>
      </c>
      <c r="B230" s="1624" t="s">
        <v>523</v>
      </c>
      <c r="C230" s="1513"/>
      <c r="D230" s="1608">
        <f t="shared" si="219"/>
        <v>0</v>
      </c>
      <c r="E230" s="1552">
        <f t="shared" si="226"/>
        <v>0</v>
      </c>
      <c r="F230" s="1447">
        <f t="shared" si="212"/>
        <v>0</v>
      </c>
      <c r="G230" s="1573"/>
      <c r="H230" s="78"/>
      <c r="I230" s="78"/>
      <c r="J230" s="78"/>
      <c r="K230" s="78"/>
      <c r="L230" s="78"/>
      <c r="M230" s="1586"/>
      <c r="N230" s="78"/>
      <c r="O230" s="78"/>
      <c r="P230" s="78"/>
      <c r="Q230" s="78"/>
      <c r="R230" s="1586"/>
      <c r="S230" s="1586"/>
      <c r="T230" s="1586"/>
      <c r="U230" s="1586"/>
      <c r="V230" s="1586"/>
      <c r="W230" s="1586"/>
      <c r="X230" s="1588">
        <v>0</v>
      </c>
      <c r="Y230" s="1586"/>
      <c r="Z230" s="1586"/>
      <c r="AA230" s="1586"/>
      <c r="AB230" s="1586"/>
      <c r="AC230" s="1586"/>
      <c r="AD230" s="1586"/>
      <c r="AE230" s="1609">
        <f t="shared" si="220"/>
        <v>0</v>
      </c>
      <c r="AF230" s="1561">
        <v>0</v>
      </c>
      <c r="AG230" s="1576">
        <f t="shared" si="223"/>
        <v>0</v>
      </c>
      <c r="AH230" s="1611"/>
      <c r="AI230" s="1612"/>
      <c r="AJ230" s="1600"/>
      <c r="AK230" s="1600"/>
      <c r="AL230" s="1613">
        <f t="shared" si="221"/>
        <v>0</v>
      </c>
      <c r="AM230" s="1614">
        <f t="shared" si="222"/>
        <v>0</v>
      </c>
      <c r="AN230" s="1615">
        <f t="shared" si="224"/>
        <v>0</v>
      </c>
      <c r="AO230" s="1600"/>
      <c r="AP230" s="1738">
        <f t="shared" si="225"/>
        <v>0</v>
      </c>
      <c r="AQ230" s="1601"/>
      <c r="AR230" s="1600"/>
      <c r="AS230" s="1600"/>
      <c r="AT230" s="1600"/>
      <c r="AU230" s="1616">
        <f t="shared" si="227"/>
        <v>0</v>
      </c>
      <c r="AV230" s="1617">
        <f t="shared" si="216"/>
        <v>0</v>
      </c>
      <c r="AW230" s="1627">
        <f t="shared" si="218"/>
        <v>0</v>
      </c>
      <c r="AX230" s="1619">
        <f t="shared" si="217"/>
        <v>0</v>
      </c>
    </row>
    <row r="231" spans="1:50" ht="15.75" hidden="1" customHeight="1" x14ac:dyDescent="0.25">
      <c r="A231" s="1652" t="s">
        <v>554</v>
      </c>
      <c r="B231" s="1624" t="str">
        <f>+'[2]Egresos -2015 '!$B$217</f>
        <v>El Nazareno (Hojancha)</v>
      </c>
      <c r="C231" s="1513"/>
      <c r="D231" s="1608">
        <f t="shared" si="219"/>
        <v>1450000000</v>
      </c>
      <c r="E231" s="1552">
        <f t="shared" si="226"/>
        <v>1450000000</v>
      </c>
      <c r="F231" s="1447">
        <f t="shared" si="212"/>
        <v>0</v>
      </c>
      <c r="G231" s="1573">
        <f>SUM(H231:W231)</f>
        <v>0</v>
      </c>
      <c r="H231" s="78"/>
      <c r="I231" s="78"/>
      <c r="J231" s="78"/>
      <c r="K231" s="78"/>
      <c r="L231" s="78"/>
      <c r="M231" s="1586"/>
      <c r="N231" s="78"/>
      <c r="O231" s="78"/>
      <c r="P231" s="78"/>
      <c r="Q231" s="78"/>
      <c r="R231" s="1586"/>
      <c r="S231" s="1586"/>
      <c r="T231" s="1586"/>
      <c r="U231" s="1586"/>
      <c r="V231" s="1586"/>
      <c r="W231" s="1586"/>
      <c r="X231" s="1588">
        <v>0</v>
      </c>
      <c r="Y231" s="1586"/>
      <c r="Z231" s="1586"/>
      <c r="AA231" s="1586"/>
      <c r="AB231" s="1586"/>
      <c r="AC231" s="1586"/>
      <c r="AD231" s="1586"/>
      <c r="AE231" s="1609">
        <f t="shared" si="220"/>
        <v>0</v>
      </c>
      <c r="AF231" s="1561">
        <v>0</v>
      </c>
      <c r="AG231" s="1576">
        <f t="shared" si="223"/>
        <v>1450000000</v>
      </c>
      <c r="AH231" s="1611"/>
      <c r="AI231" s="1612">
        <v>1450000000</v>
      </c>
      <c r="AJ231" s="1600"/>
      <c r="AK231" s="1600"/>
      <c r="AL231" s="1613">
        <f t="shared" si="221"/>
        <v>0</v>
      </c>
      <c r="AM231" s="1614">
        <v>0</v>
      </c>
      <c r="AN231" s="1615">
        <f t="shared" si="224"/>
        <v>0</v>
      </c>
      <c r="AO231" s="1600"/>
      <c r="AP231" s="1738">
        <f t="shared" si="225"/>
        <v>0</v>
      </c>
      <c r="AQ231" s="1601"/>
      <c r="AR231" s="1600"/>
      <c r="AS231" s="1600"/>
      <c r="AT231" s="1600"/>
      <c r="AU231" s="1616">
        <f t="shared" si="227"/>
        <v>1450000000</v>
      </c>
      <c r="AV231" s="1617">
        <f t="shared" si="216"/>
        <v>0</v>
      </c>
      <c r="AW231" s="1627">
        <f t="shared" si="218"/>
        <v>0</v>
      </c>
      <c r="AX231" s="1619">
        <f t="shared" si="217"/>
        <v>0</v>
      </c>
    </row>
    <row r="232" spans="1:50" ht="15.75" hidden="1" customHeight="1" x14ac:dyDescent="0.25">
      <c r="A232" s="1652" t="s">
        <v>540</v>
      </c>
      <c r="B232" s="1624" t="s">
        <v>541</v>
      </c>
      <c r="C232" s="1513"/>
      <c r="D232" s="1608">
        <f t="shared" si="219"/>
        <v>0</v>
      </c>
      <c r="E232" s="1552">
        <f t="shared" si="226"/>
        <v>0</v>
      </c>
      <c r="F232" s="1447">
        <f t="shared" si="212"/>
        <v>0</v>
      </c>
      <c r="G232" s="1573"/>
      <c r="H232" s="78"/>
      <c r="I232" s="78"/>
      <c r="J232" s="78"/>
      <c r="K232" s="78"/>
      <c r="L232" s="78"/>
      <c r="M232" s="1586"/>
      <c r="N232" s="78"/>
      <c r="O232" s="78"/>
      <c r="P232" s="78"/>
      <c r="Q232" s="78"/>
      <c r="R232" s="1586"/>
      <c r="S232" s="1586"/>
      <c r="T232" s="1586"/>
      <c r="U232" s="1586"/>
      <c r="V232" s="1586"/>
      <c r="W232" s="1586"/>
      <c r="X232" s="1588">
        <v>0</v>
      </c>
      <c r="Y232" s="1586"/>
      <c r="Z232" s="1586"/>
      <c r="AA232" s="1586"/>
      <c r="AB232" s="1586"/>
      <c r="AC232" s="1586"/>
      <c r="AD232" s="1586"/>
      <c r="AE232" s="1609">
        <f t="shared" si="220"/>
        <v>0</v>
      </c>
      <c r="AF232" s="1561">
        <v>0</v>
      </c>
      <c r="AG232" s="1576">
        <f t="shared" si="223"/>
        <v>0</v>
      </c>
      <c r="AH232" s="1611"/>
      <c r="AI232" s="1612"/>
      <c r="AJ232" s="1600"/>
      <c r="AK232" s="1600"/>
      <c r="AL232" s="1613" t="e">
        <f t="shared" si="221"/>
        <v>#DIV/0!</v>
      </c>
      <c r="AM232" s="1614">
        <f>AG232/1000</f>
        <v>0</v>
      </c>
      <c r="AN232" s="1615">
        <f t="shared" si="224"/>
        <v>0</v>
      </c>
      <c r="AO232" s="1600"/>
      <c r="AP232" s="1738">
        <f t="shared" si="225"/>
        <v>0</v>
      </c>
      <c r="AQ232" s="1601"/>
      <c r="AR232" s="1600"/>
      <c r="AS232" s="1600"/>
      <c r="AT232" s="1600"/>
      <c r="AU232" s="1616">
        <f t="shared" si="227"/>
        <v>0</v>
      </c>
      <c r="AV232" s="1617">
        <f t="shared" si="216"/>
        <v>0</v>
      </c>
      <c r="AW232" s="1627">
        <f t="shared" si="218"/>
        <v>0</v>
      </c>
      <c r="AX232" s="1619">
        <f t="shared" si="217"/>
        <v>0</v>
      </c>
    </row>
    <row r="233" spans="1:50" ht="15.75" hidden="1" customHeight="1" x14ac:dyDescent="0.25">
      <c r="A233" s="1652" t="s">
        <v>542</v>
      </c>
      <c r="B233" s="1624" t="s">
        <v>543</v>
      </c>
      <c r="C233" s="1513"/>
      <c r="D233" s="1608">
        <f t="shared" si="219"/>
        <v>0</v>
      </c>
      <c r="E233" s="1552">
        <f t="shared" si="226"/>
        <v>0</v>
      </c>
      <c r="F233" s="1447">
        <f t="shared" si="212"/>
        <v>0</v>
      </c>
      <c r="G233" s="1573"/>
      <c r="H233" s="78"/>
      <c r="I233" s="78"/>
      <c r="J233" s="78"/>
      <c r="K233" s="78"/>
      <c r="L233" s="78"/>
      <c r="M233" s="1586"/>
      <c r="N233" s="78"/>
      <c r="O233" s="78"/>
      <c r="P233" s="78"/>
      <c r="Q233" s="78"/>
      <c r="R233" s="1586"/>
      <c r="S233" s="1586"/>
      <c r="T233" s="1586"/>
      <c r="U233" s="1586"/>
      <c r="V233" s="1586"/>
      <c r="W233" s="1586"/>
      <c r="X233" s="1588">
        <v>0</v>
      </c>
      <c r="Y233" s="1586"/>
      <c r="Z233" s="1586"/>
      <c r="AA233" s="1586"/>
      <c r="AB233" s="1586"/>
      <c r="AC233" s="1586"/>
      <c r="AD233" s="1586"/>
      <c r="AE233" s="1609">
        <f t="shared" si="220"/>
        <v>0</v>
      </c>
      <c r="AF233" s="1561">
        <v>0</v>
      </c>
      <c r="AG233" s="1576">
        <f t="shared" si="223"/>
        <v>0</v>
      </c>
      <c r="AH233" s="1611"/>
      <c r="AI233" s="1612"/>
      <c r="AJ233" s="1600"/>
      <c r="AK233" s="1600"/>
      <c r="AL233" s="1613" t="e">
        <f t="shared" si="221"/>
        <v>#DIV/0!</v>
      </c>
      <c r="AM233" s="1614">
        <f>AG233/1000</f>
        <v>0</v>
      </c>
      <c r="AN233" s="1615">
        <f t="shared" si="224"/>
        <v>0</v>
      </c>
      <c r="AO233" s="1600"/>
      <c r="AP233" s="1738">
        <f t="shared" si="225"/>
        <v>0</v>
      </c>
      <c r="AQ233" s="1601"/>
      <c r="AR233" s="1600"/>
      <c r="AS233" s="1600"/>
      <c r="AT233" s="1600"/>
      <c r="AU233" s="1616">
        <f t="shared" si="227"/>
        <v>0</v>
      </c>
      <c r="AV233" s="1617">
        <f t="shared" si="216"/>
        <v>0</v>
      </c>
      <c r="AW233" s="1627">
        <f t="shared" si="218"/>
        <v>0</v>
      </c>
      <c r="AX233" s="1619">
        <f t="shared" si="217"/>
        <v>0</v>
      </c>
    </row>
    <row r="234" spans="1:50" ht="15.75" hidden="1" customHeight="1" x14ac:dyDescent="0.25">
      <c r="A234" s="1652" t="s">
        <v>544</v>
      </c>
      <c r="B234" s="1624" t="s">
        <v>545</v>
      </c>
      <c r="C234" s="1513"/>
      <c r="D234" s="1608">
        <f t="shared" si="219"/>
        <v>0</v>
      </c>
      <c r="E234" s="1552">
        <f t="shared" si="226"/>
        <v>0</v>
      </c>
      <c r="F234" s="1447">
        <f t="shared" si="212"/>
        <v>0</v>
      </c>
      <c r="G234" s="1573"/>
      <c r="H234" s="78"/>
      <c r="I234" s="78"/>
      <c r="J234" s="78"/>
      <c r="K234" s="78"/>
      <c r="L234" s="78"/>
      <c r="M234" s="1586"/>
      <c r="N234" s="78"/>
      <c r="O234" s="78"/>
      <c r="P234" s="78"/>
      <c r="Q234" s="78"/>
      <c r="R234" s="1586"/>
      <c r="S234" s="1586"/>
      <c r="T234" s="1586"/>
      <c r="U234" s="1586"/>
      <c r="V234" s="1586"/>
      <c r="W234" s="1586"/>
      <c r="X234" s="1588">
        <v>0</v>
      </c>
      <c r="Y234" s="1586"/>
      <c r="Z234" s="1586"/>
      <c r="AA234" s="1586"/>
      <c r="AB234" s="1586"/>
      <c r="AC234" s="1586"/>
      <c r="AD234" s="1586"/>
      <c r="AE234" s="1609">
        <f t="shared" si="220"/>
        <v>0</v>
      </c>
      <c r="AF234" s="1561">
        <v>0</v>
      </c>
      <c r="AG234" s="1576">
        <f t="shared" si="223"/>
        <v>0</v>
      </c>
      <c r="AH234" s="1611"/>
      <c r="AI234" s="1612"/>
      <c r="AJ234" s="1600"/>
      <c r="AK234" s="1600"/>
      <c r="AL234" s="1613" t="e">
        <f t="shared" si="221"/>
        <v>#DIV/0!</v>
      </c>
      <c r="AM234" s="1614">
        <f>AG234/1000</f>
        <v>0</v>
      </c>
      <c r="AN234" s="1615">
        <f t="shared" si="224"/>
        <v>0</v>
      </c>
      <c r="AO234" s="1600"/>
      <c r="AP234" s="1738">
        <f t="shared" si="225"/>
        <v>0</v>
      </c>
      <c r="AQ234" s="1601"/>
      <c r="AR234" s="1600"/>
      <c r="AS234" s="1600"/>
      <c r="AT234" s="1600"/>
      <c r="AU234" s="1616">
        <f t="shared" si="227"/>
        <v>0</v>
      </c>
      <c r="AV234" s="1617">
        <f t="shared" si="216"/>
        <v>0</v>
      </c>
      <c r="AW234" s="1627">
        <f t="shared" si="218"/>
        <v>0</v>
      </c>
      <c r="AX234" s="1619">
        <f t="shared" si="217"/>
        <v>0</v>
      </c>
    </row>
    <row r="235" spans="1:50" ht="15.75" hidden="1" customHeight="1" x14ac:dyDescent="0.25">
      <c r="A235" s="1652" t="s">
        <v>559</v>
      </c>
      <c r="B235" s="1624" t="s">
        <v>560</v>
      </c>
      <c r="C235" s="1513"/>
      <c r="D235" s="1608">
        <f t="shared" si="219"/>
        <v>0</v>
      </c>
      <c r="E235" s="1552">
        <f t="shared" si="226"/>
        <v>0</v>
      </c>
      <c r="F235" s="1447">
        <f t="shared" si="212"/>
        <v>0</v>
      </c>
      <c r="G235" s="1573"/>
      <c r="H235" s="78"/>
      <c r="I235" s="78"/>
      <c r="J235" s="78"/>
      <c r="K235" s="78"/>
      <c r="L235" s="78"/>
      <c r="M235" s="1586"/>
      <c r="N235" s="78"/>
      <c r="O235" s="78"/>
      <c r="P235" s="78"/>
      <c r="Q235" s="78"/>
      <c r="R235" s="1586"/>
      <c r="S235" s="1586"/>
      <c r="T235" s="1586"/>
      <c r="U235" s="1586"/>
      <c r="V235" s="1586"/>
      <c r="W235" s="1586"/>
      <c r="X235" s="1588">
        <v>0</v>
      </c>
      <c r="Y235" s="1586"/>
      <c r="Z235" s="1586"/>
      <c r="AA235" s="1586"/>
      <c r="AB235" s="1586"/>
      <c r="AC235" s="1586"/>
      <c r="AD235" s="1586"/>
      <c r="AE235" s="1609">
        <f t="shared" si="220"/>
        <v>0</v>
      </c>
      <c r="AF235" s="1561">
        <v>0</v>
      </c>
      <c r="AG235" s="1576">
        <f t="shared" si="223"/>
        <v>0</v>
      </c>
      <c r="AH235" s="1611"/>
      <c r="AI235" s="1612"/>
      <c r="AJ235" s="1600"/>
      <c r="AK235" s="1600"/>
      <c r="AL235" s="1613" t="e">
        <f t="shared" si="221"/>
        <v>#DIV/0!</v>
      </c>
      <c r="AM235" s="1614">
        <f>AG235/1000</f>
        <v>0</v>
      </c>
      <c r="AN235" s="1615">
        <f t="shared" si="224"/>
        <v>0</v>
      </c>
      <c r="AO235" s="1600"/>
      <c r="AP235" s="1738">
        <f t="shared" si="225"/>
        <v>0</v>
      </c>
      <c r="AQ235" s="1601"/>
      <c r="AR235" s="1600"/>
      <c r="AS235" s="1600"/>
      <c r="AT235" s="1600"/>
      <c r="AU235" s="1616">
        <f t="shared" si="227"/>
        <v>0</v>
      </c>
      <c r="AV235" s="1617">
        <f t="shared" si="216"/>
        <v>0</v>
      </c>
      <c r="AW235" s="1627">
        <f t="shared" si="218"/>
        <v>0</v>
      </c>
      <c r="AX235" s="1619">
        <f t="shared" si="217"/>
        <v>0</v>
      </c>
    </row>
    <row r="236" spans="1:50" ht="15.75" hidden="1" customHeight="1" x14ac:dyDescent="0.25">
      <c r="A236" s="1652" t="str">
        <f>+'[2]Egresos -2015 '!$A$224</f>
        <v>5.02.06.59</v>
      </c>
      <c r="B236" s="1624" t="str">
        <f>+'[2]Egresos -2015 '!$B$224</f>
        <v>Bono Colectivo Finca San Juan</v>
      </c>
      <c r="C236" s="1513"/>
      <c r="D236" s="1608">
        <f t="shared" si="219"/>
        <v>883557297.63</v>
      </c>
      <c r="E236" s="1552">
        <f t="shared" si="226"/>
        <v>883557297.63</v>
      </c>
      <c r="F236" s="1447">
        <f t="shared" si="212"/>
        <v>0</v>
      </c>
      <c r="G236" s="1573"/>
      <c r="H236" s="78"/>
      <c r="I236" s="78"/>
      <c r="J236" s="78"/>
      <c r="K236" s="78"/>
      <c r="L236" s="78"/>
      <c r="M236" s="1586"/>
      <c r="N236" s="78"/>
      <c r="O236" s="78"/>
      <c r="P236" s="78"/>
      <c r="Q236" s="78"/>
      <c r="R236" s="1586"/>
      <c r="S236" s="1586"/>
      <c r="T236" s="1586"/>
      <c r="U236" s="1586"/>
      <c r="V236" s="1586"/>
      <c r="W236" s="1586"/>
      <c r="X236" s="1588">
        <v>0</v>
      </c>
      <c r="Y236" s="1586"/>
      <c r="Z236" s="1586"/>
      <c r="AA236" s="1586"/>
      <c r="AB236" s="1586"/>
      <c r="AC236" s="1586"/>
      <c r="AD236" s="1586"/>
      <c r="AE236" s="1609">
        <f t="shared" si="220"/>
        <v>0</v>
      </c>
      <c r="AF236" s="1561">
        <v>0</v>
      </c>
      <c r="AG236" s="1576">
        <f t="shared" si="223"/>
        <v>883557297.63</v>
      </c>
      <c r="AH236" s="1611"/>
      <c r="AI236" s="1612">
        <f>883557297.54+0.09</f>
        <v>883557297.63</v>
      </c>
      <c r="AJ236" s="1600"/>
      <c r="AK236" s="1600"/>
      <c r="AL236" s="1613">
        <f t="shared" si="221"/>
        <v>0</v>
      </c>
      <c r="AM236" s="1614">
        <v>0</v>
      </c>
      <c r="AN236" s="1615">
        <f t="shared" si="224"/>
        <v>0</v>
      </c>
      <c r="AO236" s="1600"/>
      <c r="AP236" s="1738">
        <f t="shared" si="225"/>
        <v>0</v>
      </c>
      <c r="AQ236" s="1601"/>
      <c r="AR236" s="1600"/>
      <c r="AS236" s="1600"/>
      <c r="AT236" s="1600"/>
      <c r="AU236" s="1616">
        <f t="shared" si="227"/>
        <v>883557297.63</v>
      </c>
      <c r="AV236" s="1617">
        <f t="shared" si="216"/>
        <v>0</v>
      </c>
      <c r="AW236" s="1627">
        <f t="shared" si="218"/>
        <v>0</v>
      </c>
      <c r="AX236" s="1619">
        <f t="shared" si="217"/>
        <v>0</v>
      </c>
    </row>
    <row r="237" spans="1:50" ht="15.75" customHeight="1" x14ac:dyDescent="0.25">
      <c r="A237" s="1652" t="str">
        <f>+'[2]Egresos -2015 '!$A$225</f>
        <v>5.02.06.60</v>
      </c>
      <c r="B237" s="1624" t="str">
        <f>+'[2]Egresos -2015 '!$B$225</f>
        <v>Finca Boschini Obras de Estabilización</v>
      </c>
      <c r="C237" s="1513"/>
      <c r="D237" s="1608">
        <f t="shared" si="219"/>
        <v>778938014.09000003</v>
      </c>
      <c r="E237" s="1552">
        <f t="shared" si="226"/>
        <v>778938014.09000003</v>
      </c>
      <c r="F237" s="1447">
        <f t="shared" si="212"/>
        <v>390000</v>
      </c>
      <c r="G237" s="1573"/>
      <c r="H237" s="78"/>
      <c r="I237" s="78"/>
      <c r="J237" s="78"/>
      <c r="K237" s="78"/>
      <c r="L237" s="78"/>
      <c r="M237" s="1586"/>
      <c r="N237" s="78"/>
      <c r="O237" s="78"/>
      <c r="P237" s="78"/>
      <c r="Q237" s="78"/>
      <c r="R237" s="1586"/>
      <c r="S237" s="1586"/>
      <c r="T237" s="1586"/>
      <c r="U237" s="1586"/>
      <c r="V237" s="1586"/>
      <c r="W237" s="1586"/>
      <c r="X237" s="1588">
        <v>0</v>
      </c>
      <c r="Y237" s="1586"/>
      <c r="Z237" s="1586"/>
      <c r="AA237" s="1586"/>
      <c r="AB237" s="1586"/>
      <c r="AC237" s="1586"/>
      <c r="AD237" s="1586"/>
      <c r="AE237" s="1609">
        <f>X237/$X$7</f>
        <v>0</v>
      </c>
      <c r="AF237" s="1561">
        <v>0</v>
      </c>
      <c r="AG237" s="1576">
        <f t="shared" si="223"/>
        <v>778938014.09000003</v>
      </c>
      <c r="AH237" s="1611"/>
      <c r="AI237" s="1612">
        <v>778938014.09000003</v>
      </c>
      <c r="AJ237" s="1600"/>
      <c r="AK237" s="1600"/>
      <c r="AL237" s="1613">
        <f>(AF237/AF7)</f>
        <v>0</v>
      </c>
      <c r="AM237" s="1614">
        <f>390000000/1000</f>
        <v>390000</v>
      </c>
      <c r="AN237" s="1615">
        <f t="shared" si="224"/>
        <v>0</v>
      </c>
      <c r="AO237" s="1600"/>
      <c r="AP237" s="1738">
        <f t="shared" si="225"/>
        <v>0</v>
      </c>
      <c r="AQ237" s="1601"/>
      <c r="AR237" s="1600"/>
      <c r="AS237" s="1600"/>
      <c r="AT237" s="1600"/>
      <c r="AU237" s="1616"/>
      <c r="AV237" s="1617">
        <f t="shared" si="216"/>
        <v>6.3100599259870785E-2</v>
      </c>
      <c r="AW237" s="1627">
        <f t="shared" si="218"/>
        <v>0</v>
      </c>
      <c r="AX237" s="1619">
        <f t="shared" si="217"/>
        <v>0</v>
      </c>
    </row>
    <row r="238" spans="1:50" ht="15.75" hidden="1" customHeight="1" x14ac:dyDescent="0.25">
      <c r="A238" s="1652" t="str">
        <f>+'[2]Egresos -2015 '!$A$226</f>
        <v>5.02.06.61</v>
      </c>
      <c r="B238" s="1624" t="str">
        <f>+'[2]Egresos -2015 '!$B$226</f>
        <v>Finca Boschini Etapa 1-BANHVI</v>
      </c>
      <c r="C238" s="1513"/>
      <c r="D238" s="1608">
        <f t="shared" si="219"/>
        <v>1200000000</v>
      </c>
      <c r="E238" s="1552">
        <f t="shared" si="226"/>
        <v>1200000000</v>
      </c>
      <c r="F238" s="1447">
        <f t="shared" si="212"/>
        <v>0</v>
      </c>
      <c r="G238" s="1573">
        <f>SUM(H238:W238)</f>
        <v>0</v>
      </c>
      <c r="H238" s="78"/>
      <c r="I238" s="78"/>
      <c r="J238" s="78"/>
      <c r="K238" s="78"/>
      <c r="L238" s="78"/>
      <c r="M238" s="1586"/>
      <c r="N238" s="78"/>
      <c r="O238" s="78"/>
      <c r="P238" s="78"/>
      <c r="Q238" s="78"/>
      <c r="R238" s="1586"/>
      <c r="S238" s="1586"/>
      <c r="T238" s="1586"/>
      <c r="U238" s="1586"/>
      <c r="V238" s="1586"/>
      <c r="W238" s="1586"/>
      <c r="X238" s="1588">
        <v>0</v>
      </c>
      <c r="Y238" s="1586"/>
      <c r="Z238" s="1586"/>
      <c r="AA238" s="1586"/>
      <c r="AB238" s="1586"/>
      <c r="AC238" s="1586"/>
      <c r="AD238" s="1586"/>
      <c r="AE238" s="1609">
        <f>X238/$X$7*100</f>
        <v>0</v>
      </c>
      <c r="AF238" s="1561">
        <v>0</v>
      </c>
      <c r="AG238" s="1576">
        <f t="shared" si="223"/>
        <v>1200000000</v>
      </c>
      <c r="AH238" s="1611"/>
      <c r="AI238" s="1612">
        <v>1200000000</v>
      </c>
      <c r="AJ238" s="1600"/>
      <c r="AK238" s="1600"/>
      <c r="AL238" s="1613">
        <f>(AF238/AF25)*100</f>
        <v>0</v>
      </c>
      <c r="AM238" s="1614">
        <v>0</v>
      </c>
      <c r="AN238" s="1615">
        <f t="shared" si="224"/>
        <v>0</v>
      </c>
      <c r="AO238" s="1600"/>
      <c r="AP238" s="1738">
        <f t="shared" si="225"/>
        <v>0</v>
      </c>
      <c r="AQ238" s="1601"/>
      <c r="AR238" s="1600"/>
      <c r="AS238" s="1600"/>
      <c r="AT238" s="1600"/>
      <c r="AU238" s="1616">
        <f>SUM(AN238+AG238+Y238+G238)</f>
        <v>1200000000</v>
      </c>
      <c r="AV238" s="1617">
        <f t="shared" si="216"/>
        <v>0</v>
      </c>
      <c r="AW238" s="1627">
        <f t="shared" si="218"/>
        <v>0</v>
      </c>
      <c r="AX238" s="1619">
        <f t="shared" si="217"/>
        <v>0</v>
      </c>
    </row>
    <row r="239" spans="1:50" ht="15.75" hidden="1" customHeight="1" x14ac:dyDescent="0.25">
      <c r="A239" s="1652" t="s">
        <v>963</v>
      </c>
      <c r="B239" s="1624" t="str">
        <f>+'[2]Egresos -2015 '!$B$227</f>
        <v>El Estero</v>
      </c>
      <c r="C239" s="1513"/>
      <c r="D239" s="1608"/>
      <c r="E239" s="1552"/>
      <c r="F239" s="1447">
        <f t="shared" si="212"/>
        <v>0</v>
      </c>
      <c r="G239" s="1573"/>
      <c r="H239" s="78"/>
      <c r="I239" s="78"/>
      <c r="J239" s="78"/>
      <c r="K239" s="78"/>
      <c r="L239" s="78"/>
      <c r="M239" s="1586"/>
      <c r="N239" s="78"/>
      <c r="O239" s="78"/>
      <c r="P239" s="78"/>
      <c r="Q239" s="78"/>
      <c r="R239" s="1586"/>
      <c r="S239" s="1586"/>
      <c r="T239" s="1586"/>
      <c r="U239" s="1586"/>
      <c r="V239" s="1586"/>
      <c r="W239" s="1586"/>
      <c r="X239" s="1588">
        <v>0</v>
      </c>
      <c r="Y239" s="1586"/>
      <c r="Z239" s="1586"/>
      <c r="AA239" s="1586"/>
      <c r="AB239" s="1586"/>
      <c r="AC239" s="1586"/>
      <c r="AD239" s="1586"/>
      <c r="AE239" s="1609">
        <f>X239/$X$7*100</f>
        <v>0</v>
      </c>
      <c r="AF239" s="1561">
        <v>0</v>
      </c>
      <c r="AG239" s="1576"/>
      <c r="AH239" s="1611"/>
      <c r="AI239" s="1612"/>
      <c r="AJ239" s="1600"/>
      <c r="AK239" s="1600"/>
      <c r="AL239" s="1613">
        <f>(AF239/AF26)*100</f>
        <v>0</v>
      </c>
      <c r="AM239" s="1614">
        <v>0</v>
      </c>
      <c r="AN239" s="1615"/>
      <c r="AO239" s="1600"/>
      <c r="AP239" s="1738"/>
      <c r="AQ239" s="1601"/>
      <c r="AR239" s="1600"/>
      <c r="AS239" s="1600"/>
      <c r="AT239" s="1600"/>
      <c r="AU239" s="1616"/>
      <c r="AV239" s="1617">
        <f t="shared" si="216"/>
        <v>0</v>
      </c>
      <c r="AW239" s="1627"/>
      <c r="AX239" s="1619">
        <f t="shared" si="217"/>
        <v>0</v>
      </c>
    </row>
    <row r="240" spans="1:50" ht="15" hidden="1" customHeight="1" x14ac:dyDescent="0.25">
      <c r="A240" s="1652" t="s">
        <v>962</v>
      </c>
      <c r="B240" s="1624" t="str">
        <f>+'[2]Egresos -2015 '!$B$228</f>
        <v>Duarco-Cocorí</v>
      </c>
      <c r="C240" s="1513"/>
      <c r="D240" s="1608"/>
      <c r="E240" s="1552"/>
      <c r="F240" s="1447">
        <f t="shared" si="212"/>
        <v>0</v>
      </c>
      <c r="G240" s="1573"/>
      <c r="H240" s="78"/>
      <c r="I240" s="78"/>
      <c r="J240" s="78"/>
      <c r="K240" s="78"/>
      <c r="L240" s="78"/>
      <c r="M240" s="1586"/>
      <c r="N240" s="78"/>
      <c r="O240" s="78"/>
      <c r="P240" s="78"/>
      <c r="Q240" s="78"/>
      <c r="R240" s="1586"/>
      <c r="S240" s="1586"/>
      <c r="T240" s="1586"/>
      <c r="U240" s="1586"/>
      <c r="V240" s="1586"/>
      <c r="W240" s="1586"/>
      <c r="X240" s="1588">
        <v>0</v>
      </c>
      <c r="Y240" s="1586"/>
      <c r="Z240" s="1586"/>
      <c r="AA240" s="1586"/>
      <c r="AB240" s="1586"/>
      <c r="AC240" s="1586"/>
      <c r="AD240" s="1586"/>
      <c r="AE240" s="1609">
        <f>X240/$X$7*100</f>
        <v>0</v>
      </c>
      <c r="AF240" s="1561">
        <v>0</v>
      </c>
      <c r="AG240" s="1576"/>
      <c r="AH240" s="1611"/>
      <c r="AI240" s="1612"/>
      <c r="AJ240" s="1600"/>
      <c r="AK240" s="1600"/>
      <c r="AL240" s="1613" t="e">
        <f>(AF240/AF27)*100</f>
        <v>#DIV/0!</v>
      </c>
      <c r="AM240" s="1614">
        <v>0</v>
      </c>
      <c r="AN240" s="1615"/>
      <c r="AO240" s="1600"/>
      <c r="AP240" s="1738"/>
      <c r="AQ240" s="1601"/>
      <c r="AR240" s="1600"/>
      <c r="AS240" s="1600"/>
      <c r="AT240" s="1600"/>
      <c r="AU240" s="1616"/>
      <c r="AV240" s="1617">
        <f t="shared" si="216"/>
        <v>0</v>
      </c>
      <c r="AW240" s="1627"/>
      <c r="AX240" s="1619">
        <f t="shared" si="217"/>
        <v>0</v>
      </c>
    </row>
    <row r="241" spans="1:50" ht="15.75" customHeight="1" x14ac:dyDescent="0.25">
      <c r="A241" s="1652" t="s">
        <v>961</v>
      </c>
      <c r="B241" s="1624" t="str">
        <f>+'[2]Egresos -2015 '!$B$229</f>
        <v xml:space="preserve">Premio Nobel </v>
      </c>
      <c r="C241" s="1513"/>
      <c r="D241" s="1608"/>
      <c r="E241" s="1552"/>
      <c r="F241" s="1447">
        <f t="shared" si="212"/>
        <v>600500</v>
      </c>
      <c r="G241" s="1573"/>
      <c r="H241" s="78"/>
      <c r="I241" s="78"/>
      <c r="J241" s="78"/>
      <c r="K241" s="78"/>
      <c r="L241" s="78"/>
      <c r="M241" s="1586"/>
      <c r="N241" s="78"/>
      <c r="O241" s="78"/>
      <c r="P241" s="78"/>
      <c r="Q241" s="78"/>
      <c r="R241" s="1586"/>
      <c r="S241" s="1586"/>
      <c r="T241" s="1586"/>
      <c r="U241" s="1586"/>
      <c r="V241" s="1586"/>
      <c r="W241" s="1586"/>
      <c r="X241" s="1588">
        <v>0</v>
      </c>
      <c r="Y241" s="1586"/>
      <c r="Z241" s="1586"/>
      <c r="AA241" s="1586"/>
      <c r="AB241" s="1586"/>
      <c r="AC241" s="1586"/>
      <c r="AD241" s="1586"/>
      <c r="AE241" s="1609">
        <f>X241/$X$7</f>
        <v>0</v>
      </c>
      <c r="AF241" s="1561">
        <v>0</v>
      </c>
      <c r="AG241" s="1576"/>
      <c r="AH241" s="1611"/>
      <c r="AI241" s="1612"/>
      <c r="AJ241" s="1600"/>
      <c r="AK241" s="1600"/>
      <c r="AL241" s="1613">
        <f>(AF241/AF7)</f>
        <v>0</v>
      </c>
      <c r="AM241" s="1614">
        <f>600500000/1000</f>
        <v>600500</v>
      </c>
      <c r="AN241" s="1615"/>
      <c r="AO241" s="1600"/>
      <c r="AP241" s="1738"/>
      <c r="AQ241" s="1601"/>
      <c r="AR241" s="1600"/>
      <c r="AS241" s="1600"/>
      <c r="AT241" s="1600"/>
      <c r="AU241" s="1616"/>
      <c r="AV241" s="1617">
        <f t="shared" si="216"/>
        <v>9.7158743219365129E-2</v>
      </c>
      <c r="AW241" s="1627">
        <v>0</v>
      </c>
      <c r="AX241" s="1619">
        <f t="shared" si="217"/>
        <v>0</v>
      </c>
    </row>
    <row r="242" spans="1:50" ht="15.75" customHeight="1" x14ac:dyDescent="0.25">
      <c r="A242" s="1652"/>
      <c r="B242" s="1624"/>
      <c r="C242" s="1513"/>
      <c r="D242" s="1608"/>
      <c r="E242" s="1552"/>
      <c r="F242" s="1447"/>
      <c r="G242" s="1573"/>
      <c r="H242" s="78"/>
      <c r="I242" s="78"/>
      <c r="J242" s="78"/>
      <c r="K242" s="78"/>
      <c r="L242" s="78"/>
      <c r="M242" s="1586"/>
      <c r="N242" s="78"/>
      <c r="O242" s="78"/>
      <c r="P242" s="78"/>
      <c r="Q242" s="78"/>
      <c r="R242" s="1586"/>
      <c r="S242" s="1586"/>
      <c r="T242" s="1586"/>
      <c r="U242" s="1586"/>
      <c r="V242" s="1586"/>
      <c r="W242" s="1586"/>
      <c r="X242" s="1588"/>
      <c r="Y242" s="1586"/>
      <c r="Z242" s="1586"/>
      <c r="AA242" s="1586"/>
      <c r="AB242" s="1586"/>
      <c r="AC242" s="1586"/>
      <c r="AD242" s="1586"/>
      <c r="AE242" s="1575"/>
      <c r="AF242" s="1561"/>
      <c r="AG242" s="1576"/>
      <c r="AH242" s="1611"/>
      <c r="AI242" s="1612"/>
      <c r="AJ242" s="1600"/>
      <c r="AK242" s="1600"/>
      <c r="AL242" s="1613"/>
      <c r="AM242" s="1614"/>
      <c r="AN242" s="1615"/>
      <c r="AO242" s="1600"/>
      <c r="AP242" s="1738"/>
      <c r="AQ242" s="1601"/>
      <c r="AR242" s="1600"/>
      <c r="AS242" s="1600"/>
      <c r="AT242" s="1600"/>
      <c r="AU242" s="1616"/>
      <c r="AV242" s="1603"/>
      <c r="AW242" s="1627"/>
      <c r="AX242" s="1592"/>
    </row>
    <row r="243" spans="1:50" ht="15.75" customHeight="1" x14ac:dyDescent="0.25">
      <c r="A243" s="1520" t="s">
        <v>306</v>
      </c>
      <c r="B243" s="2009" t="s">
        <v>307</v>
      </c>
      <c r="C243" s="2019"/>
      <c r="D243" s="1608">
        <f>+G243+Y243+AG243+AN243</f>
        <v>35624320</v>
      </c>
      <c r="E243" s="1552">
        <f>SUM(G243+Y243+AG243+AN243)</f>
        <v>35624320</v>
      </c>
      <c r="F243" s="1447">
        <f>+X243+AF243+AM243+AW243</f>
        <v>10000</v>
      </c>
      <c r="G243" s="1608">
        <f>SUM(H243:W243)</f>
        <v>35624320</v>
      </c>
      <c r="H243" s="1103"/>
      <c r="I243" s="1103"/>
      <c r="J243" s="1103"/>
      <c r="K243" s="1103"/>
      <c r="L243" s="78">
        <v>30000000</v>
      </c>
      <c r="M243" s="1586">
        <v>0</v>
      </c>
      <c r="N243" s="1103"/>
      <c r="O243" s="1103"/>
      <c r="P243" s="78"/>
      <c r="Q243" s="1103"/>
      <c r="R243" s="1586"/>
      <c r="S243" s="1586">
        <v>5624320</v>
      </c>
      <c r="T243" s="1586"/>
      <c r="U243" s="1586"/>
      <c r="V243" s="1586"/>
      <c r="W243" s="1586"/>
      <c r="X243" s="1588">
        <f>+'[3]Egresos -2015 '!$Z$231</f>
        <v>0</v>
      </c>
      <c r="Y243" s="1561">
        <f>SUM(Z243:AD243)</f>
        <v>0</v>
      </c>
      <c r="Z243" s="1586">
        <v>0</v>
      </c>
      <c r="AA243" s="1586">
        <v>0</v>
      </c>
      <c r="AB243" s="1586">
        <v>0</v>
      </c>
      <c r="AC243" s="1586">
        <v>0</v>
      </c>
      <c r="AD243" s="1586">
        <v>0</v>
      </c>
      <c r="AE243" s="1609">
        <f>X243/$X$7</f>
        <v>0</v>
      </c>
      <c r="AF243" s="1561">
        <f>Y243/1000</f>
        <v>0</v>
      </c>
      <c r="AG243" s="1576">
        <f>SUM(AH243:AK243)</f>
        <v>0</v>
      </c>
      <c r="AH243" s="1611"/>
      <c r="AI243" s="1612"/>
      <c r="AJ243" s="1600">
        <v>0</v>
      </c>
      <c r="AK243" s="1600">
        <v>0</v>
      </c>
      <c r="AL243" s="1613">
        <f>(AF243/AF7)</f>
        <v>0</v>
      </c>
      <c r="AM243" s="1614">
        <f>10000000/1000</f>
        <v>10000</v>
      </c>
      <c r="AN243" s="1615">
        <f>SUM(AO243+AP243)</f>
        <v>0</v>
      </c>
      <c r="AO243" s="1600">
        <v>0</v>
      </c>
      <c r="AP243" s="1738">
        <f>SUM(AQ243:AT243)</f>
        <v>0</v>
      </c>
      <c r="AQ243" s="1601">
        <v>0</v>
      </c>
      <c r="AR243" s="1600">
        <v>0</v>
      </c>
      <c r="AS243" s="1600">
        <v>0</v>
      </c>
      <c r="AT243" s="1600">
        <v>0</v>
      </c>
      <c r="AU243" s="1616">
        <f>SUM(AN243+AG243+Y243+G243)</f>
        <v>35624320</v>
      </c>
      <c r="AV243" s="1617">
        <f>AM243/$AM$7</f>
        <v>1.6179640835864303E-3</v>
      </c>
      <c r="AW243" s="1627">
        <f>AN243/1000</f>
        <v>0</v>
      </c>
      <c r="AX243" s="1619">
        <f>AW243/$AW$7</f>
        <v>0</v>
      </c>
    </row>
    <row r="244" spans="1:50" ht="15.75" customHeight="1" x14ac:dyDescent="0.25">
      <c r="A244" s="1520"/>
      <c r="B244" s="1624"/>
      <c r="C244" s="1754"/>
      <c r="D244" s="1608"/>
      <c r="E244" s="1552"/>
      <c r="F244" s="1447"/>
      <c r="G244" s="1608"/>
      <c r="H244" s="1103"/>
      <c r="I244" s="1103"/>
      <c r="J244" s="1103"/>
      <c r="K244" s="1103"/>
      <c r="L244" s="78"/>
      <c r="M244" s="1586"/>
      <c r="N244" s="1103"/>
      <c r="O244" s="1103"/>
      <c r="P244" s="78"/>
      <c r="Q244" s="1103"/>
      <c r="R244" s="1586"/>
      <c r="S244" s="1586"/>
      <c r="T244" s="1586"/>
      <c r="U244" s="1586"/>
      <c r="V244" s="1586"/>
      <c r="W244" s="1586"/>
      <c r="X244" s="1588"/>
      <c r="Y244" s="1586"/>
      <c r="Z244" s="1586"/>
      <c r="AA244" s="1586"/>
      <c r="AB244" s="1586"/>
      <c r="AC244" s="1586"/>
      <c r="AD244" s="1586"/>
      <c r="AE244" s="1609"/>
      <c r="AF244" s="1561"/>
      <c r="AG244" s="1580"/>
      <c r="AH244" s="1611"/>
      <c r="AI244" s="1740"/>
      <c r="AJ244" s="1612"/>
      <c r="AK244" s="1612"/>
      <c r="AL244" s="1613"/>
      <c r="AM244" s="1614"/>
      <c r="AN244" s="1599"/>
      <c r="AO244" s="1612"/>
      <c r="AP244" s="1659"/>
      <c r="AQ244" s="1611"/>
      <c r="AR244" s="1612"/>
      <c r="AS244" s="1612"/>
      <c r="AT244" s="1612"/>
      <c r="AU244" s="1616"/>
      <c r="AV244" s="1603"/>
      <c r="AW244" s="1627"/>
      <c r="AX244" s="1592"/>
    </row>
    <row r="245" spans="1:50" ht="15" customHeight="1" x14ac:dyDescent="0.25">
      <c r="A245" s="1517" t="s">
        <v>308</v>
      </c>
      <c r="B245" s="2013" t="s">
        <v>309</v>
      </c>
      <c r="C245" s="2002"/>
      <c r="D245" s="1573">
        <f>SUM(D246:D248)</f>
        <v>2267500000</v>
      </c>
      <c r="E245" s="1572">
        <f>SUM(G245+Y245+AG245+AN245)</f>
        <v>2267500000</v>
      </c>
      <c r="F245" s="1495">
        <f>+X245+AF245+AM245+AW245</f>
        <v>1780000</v>
      </c>
      <c r="G245" s="1573">
        <f>SUM(H245:W245)</f>
        <v>0</v>
      </c>
      <c r="H245" s="1099">
        <f t="shared" ref="H245:W245" si="228">SUM(H246:H248)</f>
        <v>0</v>
      </c>
      <c r="I245" s="1099">
        <f t="shared" si="228"/>
        <v>0</v>
      </c>
      <c r="J245" s="1099">
        <f t="shared" si="228"/>
        <v>0</v>
      </c>
      <c r="K245" s="1099">
        <f t="shared" si="228"/>
        <v>0</v>
      </c>
      <c r="L245" s="1647">
        <f t="shared" si="228"/>
        <v>0</v>
      </c>
      <c r="M245" s="1647">
        <f t="shared" si="228"/>
        <v>0</v>
      </c>
      <c r="N245" s="1099">
        <f t="shared" si="228"/>
        <v>0</v>
      </c>
      <c r="O245" s="1099">
        <f t="shared" si="228"/>
        <v>0</v>
      </c>
      <c r="P245" s="1647">
        <f t="shared" si="228"/>
        <v>0</v>
      </c>
      <c r="Q245" s="1099">
        <f t="shared" si="228"/>
        <v>0</v>
      </c>
      <c r="R245" s="1647">
        <f t="shared" si="228"/>
        <v>0</v>
      </c>
      <c r="S245" s="1647">
        <f t="shared" si="228"/>
        <v>0</v>
      </c>
      <c r="T245" s="1647">
        <f t="shared" si="228"/>
        <v>0</v>
      </c>
      <c r="U245" s="1647">
        <f t="shared" si="228"/>
        <v>0</v>
      </c>
      <c r="V245" s="1647">
        <f t="shared" si="228"/>
        <v>0</v>
      </c>
      <c r="W245" s="1647">
        <f t="shared" si="228"/>
        <v>0</v>
      </c>
      <c r="X245" s="1628">
        <f>G245/1000</f>
        <v>0</v>
      </c>
      <c r="Y245" s="1647">
        <f t="shared" ref="Y245:AD245" si="229">SUM(Y246:Y248)</f>
        <v>0</v>
      </c>
      <c r="Z245" s="1647">
        <f t="shared" si="229"/>
        <v>0</v>
      </c>
      <c r="AA245" s="1647">
        <f t="shared" si="229"/>
        <v>0</v>
      </c>
      <c r="AB245" s="1647">
        <f t="shared" si="229"/>
        <v>0</v>
      </c>
      <c r="AC245" s="1647">
        <f t="shared" si="229"/>
        <v>0</v>
      </c>
      <c r="AD245" s="1647">
        <f t="shared" si="229"/>
        <v>0</v>
      </c>
      <c r="AE245" s="1575">
        <f>X245/$X$7</f>
        <v>0</v>
      </c>
      <c r="AF245" s="1557">
        <f>Y245/1000</f>
        <v>0</v>
      </c>
      <c r="AG245" s="1576">
        <f>SUM(AG246:AG247)</f>
        <v>2267500000</v>
      </c>
      <c r="AH245" s="1689">
        <f>SUM(AH246:AH248)</f>
        <v>0</v>
      </c>
      <c r="AI245" s="1597">
        <f>SUM(AI246:AI248)</f>
        <v>0</v>
      </c>
      <c r="AJ245" s="1597">
        <f>SUM(AJ246:AJ248)</f>
        <v>0</v>
      </c>
      <c r="AK245" s="1597">
        <f>SUM(AK246:AK248)</f>
        <v>2267500000</v>
      </c>
      <c r="AL245" s="1577">
        <f>(AF245/AF7)</f>
        <v>0</v>
      </c>
      <c r="AM245" s="1598">
        <f>+AM246</f>
        <v>1780000</v>
      </c>
      <c r="AN245" s="1599">
        <f t="shared" ref="AN245:AU245" si="230">SUM(AN246:AN248)</f>
        <v>0</v>
      </c>
      <c r="AO245" s="1600">
        <f t="shared" si="230"/>
        <v>0</v>
      </c>
      <c r="AP245" s="1599">
        <f t="shared" si="230"/>
        <v>0</v>
      </c>
      <c r="AQ245" s="1601">
        <f t="shared" si="230"/>
        <v>0</v>
      </c>
      <c r="AR245" s="1600">
        <f t="shared" si="230"/>
        <v>0</v>
      </c>
      <c r="AS245" s="1600">
        <f t="shared" si="230"/>
        <v>0</v>
      </c>
      <c r="AT245" s="1600">
        <f t="shared" si="230"/>
        <v>0</v>
      </c>
      <c r="AU245" s="1602">
        <f t="shared" si="230"/>
        <v>2267500000</v>
      </c>
      <c r="AV245" s="1603">
        <f>AM245/$AM$7</f>
        <v>0.2879976068783846</v>
      </c>
      <c r="AW245" s="1627">
        <f>AN245/1000</f>
        <v>0</v>
      </c>
      <c r="AX245" s="1592">
        <f>AW245/$AW$7</f>
        <v>0</v>
      </c>
    </row>
    <row r="246" spans="1:50" ht="15.75" customHeight="1" x14ac:dyDescent="0.25">
      <c r="A246" s="1520" t="s">
        <v>310</v>
      </c>
      <c r="B246" s="2009" t="s">
        <v>311</v>
      </c>
      <c r="C246" s="2004"/>
      <c r="D246" s="1608">
        <f>+G246+Y246+AG246+AN246</f>
        <v>2267500000</v>
      </c>
      <c r="E246" s="1552">
        <f>SUM(G246+Y246+AG246+AN246)</f>
        <v>2267500000</v>
      </c>
      <c r="F246" s="1447">
        <f>+X246+AF246+AM246+AW246</f>
        <v>1780000</v>
      </c>
      <c r="G246" s="1608">
        <f>SUM(H246:W246)</f>
        <v>0</v>
      </c>
      <c r="H246" s="1103"/>
      <c r="I246" s="1103"/>
      <c r="J246" s="1103"/>
      <c r="K246" s="1103"/>
      <c r="L246" s="78"/>
      <c r="M246" s="1586"/>
      <c r="N246" s="1103"/>
      <c r="O246" s="1103"/>
      <c r="P246" s="78"/>
      <c r="Q246" s="1103"/>
      <c r="R246" s="1586"/>
      <c r="S246" s="1586"/>
      <c r="T246" s="1586"/>
      <c r="U246" s="1586"/>
      <c r="V246" s="1586"/>
      <c r="W246" s="1586"/>
      <c r="X246" s="1588">
        <f>G246/1000</f>
        <v>0</v>
      </c>
      <c r="Y246" s="1561">
        <f>SUM(Z246:AD246)</f>
        <v>0</v>
      </c>
      <c r="Z246" s="1586"/>
      <c r="AA246" s="1586"/>
      <c r="AB246" s="1586"/>
      <c r="AC246" s="1586"/>
      <c r="AD246" s="1586"/>
      <c r="AE246" s="1609">
        <f>X246/$X$7</f>
        <v>0</v>
      </c>
      <c r="AF246" s="1561">
        <f>Y246/1000</f>
        <v>0</v>
      </c>
      <c r="AG246" s="1576">
        <f>SUM(AH246:AK246)</f>
        <v>2267500000</v>
      </c>
      <c r="AH246" s="1611"/>
      <c r="AI246" s="1612"/>
      <c r="AJ246" s="1600">
        <v>0</v>
      </c>
      <c r="AK246" s="1600">
        <v>2267500000</v>
      </c>
      <c r="AL246" s="1613">
        <f>(AF246/AF7)</f>
        <v>0</v>
      </c>
      <c r="AM246" s="1614">
        <f>1780000000/1000</f>
        <v>1780000</v>
      </c>
      <c r="AN246" s="1615">
        <f>SUM(AO246+AP246)</f>
        <v>0</v>
      </c>
      <c r="AO246" s="1600">
        <v>0</v>
      </c>
      <c r="AP246" s="1738">
        <f>SUM(AQ246:AT246)</f>
        <v>0</v>
      </c>
      <c r="AQ246" s="1601">
        <v>0</v>
      </c>
      <c r="AR246" s="1600">
        <v>0</v>
      </c>
      <c r="AS246" s="1600">
        <v>0</v>
      </c>
      <c r="AT246" s="1600">
        <v>0</v>
      </c>
      <c r="AU246" s="1616">
        <f>SUM(AN246+AG246+Y246+G246)</f>
        <v>2267500000</v>
      </c>
      <c r="AV246" s="1617">
        <f>AM246/$AM$7</f>
        <v>0.2879976068783846</v>
      </c>
      <c r="AW246" s="1627">
        <f>AN246/1000</f>
        <v>0</v>
      </c>
      <c r="AX246" s="1619">
        <f>AW246/$AW$7</f>
        <v>0</v>
      </c>
    </row>
    <row r="247" spans="1:50" ht="15.75" hidden="1" customHeight="1" x14ac:dyDescent="0.25">
      <c r="A247" s="1652" t="s">
        <v>312</v>
      </c>
      <c r="B247" s="2009" t="s">
        <v>313</v>
      </c>
      <c r="C247" s="2004"/>
      <c r="D247" s="1608">
        <f>+G247+Y247+AG247+AN247</f>
        <v>0</v>
      </c>
      <c r="E247" s="1552">
        <f>SUM(G247+Y247+AG247+AN247)</f>
        <v>0</v>
      </c>
      <c r="F247" s="1447">
        <f>+X247+AF247+AM247+AW247</f>
        <v>0</v>
      </c>
      <c r="G247" s="1608">
        <f>SUM(H247:W247)</f>
        <v>0</v>
      </c>
      <c r="H247" s="78"/>
      <c r="I247" s="78"/>
      <c r="J247" s="78"/>
      <c r="K247" s="78"/>
      <c r="L247" s="78"/>
      <c r="M247" s="1586"/>
      <c r="N247" s="78"/>
      <c r="O247" s="78"/>
      <c r="P247" s="78"/>
      <c r="Q247" s="78"/>
      <c r="R247" s="1586"/>
      <c r="S247" s="1586"/>
      <c r="T247" s="1586"/>
      <c r="U247" s="1586"/>
      <c r="V247" s="1586"/>
      <c r="W247" s="1586"/>
      <c r="X247" s="1588">
        <f>G247/1000</f>
        <v>0</v>
      </c>
      <c r="Y247" s="1561">
        <f>SUM(Z247:AD247)</f>
        <v>0</v>
      </c>
      <c r="Z247" s="1586"/>
      <c r="AA247" s="1586"/>
      <c r="AB247" s="1586"/>
      <c r="AC247" s="1586"/>
      <c r="AD247" s="1586"/>
      <c r="AE247" s="1575">
        <f>X247/$X$7*100</f>
        <v>0</v>
      </c>
      <c r="AF247" s="1561">
        <f>Y247/1000</f>
        <v>0</v>
      </c>
      <c r="AG247" s="1576">
        <f>SUM(AH247:AK247)</f>
        <v>0</v>
      </c>
      <c r="AH247" s="1611"/>
      <c r="AI247" s="1612">
        <v>0</v>
      </c>
      <c r="AJ247" s="1600">
        <v>0</v>
      </c>
      <c r="AK247" s="1600">
        <v>0</v>
      </c>
      <c r="AL247" s="1613">
        <f>(AF247/AF11)*100</f>
        <v>0</v>
      </c>
      <c r="AM247" s="1614">
        <f>AG247/1000</f>
        <v>0</v>
      </c>
      <c r="AN247" s="1615">
        <f>SUM(AO247+AP247)</f>
        <v>0</v>
      </c>
      <c r="AO247" s="1600">
        <v>0</v>
      </c>
      <c r="AP247" s="1738">
        <f>SUM(AQ247:AT247)</f>
        <v>0</v>
      </c>
      <c r="AQ247" s="1601">
        <v>0</v>
      </c>
      <c r="AR247" s="1600">
        <v>0</v>
      </c>
      <c r="AS247" s="1600">
        <v>0</v>
      </c>
      <c r="AT247" s="1600">
        <v>0</v>
      </c>
      <c r="AU247" s="1616">
        <f>SUM(AN247+AG247+Y247+G247)</f>
        <v>0</v>
      </c>
      <c r="AV247" s="1603">
        <f>AM247/$AM$7</f>
        <v>0</v>
      </c>
      <c r="AW247" s="1627">
        <f>AN247/1000</f>
        <v>0</v>
      </c>
      <c r="AX247" s="1592">
        <f>AW247/$AW$7</f>
        <v>0</v>
      </c>
    </row>
    <row r="248" spans="1:50" ht="15.75" hidden="1" customHeight="1" x14ac:dyDescent="0.25">
      <c r="A248" s="1652" t="s">
        <v>314</v>
      </c>
      <c r="B248" s="2009" t="s">
        <v>315</v>
      </c>
      <c r="C248" s="2004"/>
      <c r="D248" s="1608">
        <f>+G248+Y248+AG248+AN248</f>
        <v>0</v>
      </c>
      <c r="E248" s="1552">
        <f>SUM(G248+Y248+AG248+AN248)</f>
        <v>0</v>
      </c>
      <c r="F248" s="1447">
        <f>+X248+AF248+AM248+AW248</f>
        <v>0</v>
      </c>
      <c r="G248" s="1608">
        <f>SUM(H248:W248)</f>
        <v>0</v>
      </c>
      <c r="H248" s="78"/>
      <c r="I248" s="78"/>
      <c r="J248" s="78"/>
      <c r="K248" s="78"/>
      <c r="L248" s="78"/>
      <c r="M248" s="1586"/>
      <c r="N248" s="78"/>
      <c r="O248" s="78"/>
      <c r="P248" s="78"/>
      <c r="Q248" s="78"/>
      <c r="R248" s="1586"/>
      <c r="S248" s="1586"/>
      <c r="T248" s="1586"/>
      <c r="U248" s="1586"/>
      <c r="V248" s="1586"/>
      <c r="W248" s="1586"/>
      <c r="X248" s="1588">
        <f>G248/1000</f>
        <v>0</v>
      </c>
      <c r="Y248" s="1586"/>
      <c r="Z248" s="1586"/>
      <c r="AA248" s="1586"/>
      <c r="AB248" s="1586"/>
      <c r="AC248" s="1586"/>
      <c r="AD248" s="1586"/>
      <c r="AE248" s="1575">
        <f>X248/$X$7*100</f>
        <v>0</v>
      </c>
      <c r="AF248" s="1561">
        <f>Y248/1000</f>
        <v>0</v>
      </c>
      <c r="AG248" s="1580">
        <f>SUM(AH248:AJ248)</f>
        <v>0</v>
      </c>
      <c r="AH248" s="1611"/>
      <c r="AI248" s="1612">
        <v>0</v>
      </c>
      <c r="AJ248" s="1600">
        <v>0</v>
      </c>
      <c r="AK248" s="1600">
        <v>0</v>
      </c>
      <c r="AL248" s="1613">
        <f>(AF248/AF12)*100</f>
        <v>0</v>
      </c>
      <c r="AM248" s="1614">
        <f>AG248/1000</f>
        <v>0</v>
      </c>
      <c r="AN248" s="1599">
        <v>0</v>
      </c>
      <c r="AO248" s="1600">
        <v>0</v>
      </c>
      <c r="AP248" s="1599">
        <v>0</v>
      </c>
      <c r="AQ248" s="1601">
        <v>0</v>
      </c>
      <c r="AR248" s="1600">
        <v>0</v>
      </c>
      <c r="AS248" s="1600">
        <v>0</v>
      </c>
      <c r="AT248" s="1600">
        <v>0</v>
      </c>
      <c r="AU248" s="1616">
        <v>0</v>
      </c>
      <c r="AV248" s="1603">
        <f>AM248/$AM$7</f>
        <v>0</v>
      </c>
      <c r="AW248" s="1627">
        <f>AN248/1000</f>
        <v>0</v>
      </c>
      <c r="AX248" s="1592">
        <f>AW248/$AW$7</f>
        <v>0</v>
      </c>
    </row>
    <row r="249" spans="1:50" ht="15.75" customHeight="1" x14ac:dyDescent="0.25">
      <c r="A249" s="1652"/>
      <c r="B249" s="1624"/>
      <c r="C249" s="1513"/>
      <c r="D249" s="1608"/>
      <c r="E249" s="1552"/>
      <c r="F249" s="1447"/>
      <c r="G249" s="1608"/>
      <c r="H249" s="78"/>
      <c r="I249" s="78"/>
      <c r="J249" s="78"/>
      <c r="K249" s="78"/>
      <c r="L249" s="78"/>
      <c r="M249" s="1586"/>
      <c r="N249" s="78"/>
      <c r="O249" s="78"/>
      <c r="P249" s="78"/>
      <c r="Q249" s="78"/>
      <c r="R249" s="1586"/>
      <c r="S249" s="1586"/>
      <c r="T249" s="1586"/>
      <c r="U249" s="1586"/>
      <c r="V249" s="1586"/>
      <c r="W249" s="1586"/>
      <c r="X249" s="1588"/>
      <c r="Y249" s="1586"/>
      <c r="Z249" s="1586"/>
      <c r="AA249" s="1586"/>
      <c r="AB249" s="1586"/>
      <c r="AC249" s="1586"/>
      <c r="AD249" s="1586"/>
      <c r="AE249" s="1575"/>
      <c r="AF249" s="1561"/>
      <c r="AG249" s="1580"/>
      <c r="AH249" s="1611"/>
      <c r="AI249" s="1612"/>
      <c r="AJ249" s="1600"/>
      <c r="AK249" s="1600"/>
      <c r="AL249" s="1613"/>
      <c r="AM249" s="1614"/>
      <c r="AN249" s="1599"/>
      <c r="AO249" s="1600"/>
      <c r="AP249" s="1599"/>
      <c r="AQ249" s="1601"/>
      <c r="AR249" s="1600"/>
      <c r="AS249" s="1600"/>
      <c r="AT249" s="1600"/>
      <c r="AU249" s="1616"/>
      <c r="AV249" s="1603"/>
      <c r="AW249" s="1627"/>
      <c r="AX249" s="1592"/>
    </row>
    <row r="250" spans="1:50" ht="15.75" hidden="1" customHeight="1" x14ac:dyDescent="0.25">
      <c r="A250" s="1652"/>
      <c r="B250" s="1624"/>
      <c r="C250" s="1513"/>
      <c r="D250" s="1608"/>
      <c r="E250" s="1552"/>
      <c r="F250" s="1447"/>
      <c r="G250" s="1608"/>
      <c r="H250" s="78"/>
      <c r="I250" s="78"/>
      <c r="J250" s="78"/>
      <c r="K250" s="78"/>
      <c r="L250" s="78"/>
      <c r="M250" s="1586"/>
      <c r="N250" s="78"/>
      <c r="O250" s="78"/>
      <c r="P250" s="78"/>
      <c r="Q250" s="78"/>
      <c r="R250" s="1586"/>
      <c r="S250" s="1586"/>
      <c r="T250" s="1586"/>
      <c r="U250" s="1586"/>
      <c r="V250" s="1586"/>
      <c r="W250" s="1586"/>
      <c r="X250" s="1588"/>
      <c r="Y250" s="1586"/>
      <c r="Z250" s="1586"/>
      <c r="AA250" s="1586"/>
      <c r="AB250" s="1586"/>
      <c r="AC250" s="1586"/>
      <c r="AD250" s="1586"/>
      <c r="AE250" s="1575"/>
      <c r="AF250" s="1561"/>
      <c r="AG250" s="1580"/>
      <c r="AH250" s="1611"/>
      <c r="AI250" s="1612"/>
      <c r="AJ250" s="1600"/>
      <c r="AK250" s="1600"/>
      <c r="AL250" s="1613"/>
      <c r="AM250" s="1614"/>
      <c r="AN250" s="1599"/>
      <c r="AO250" s="1600"/>
      <c r="AP250" s="1599"/>
      <c r="AQ250" s="1601"/>
      <c r="AR250" s="1600"/>
      <c r="AS250" s="1600"/>
      <c r="AT250" s="1600"/>
      <c r="AU250" s="1616"/>
      <c r="AV250" s="1603"/>
      <c r="AW250" s="1627"/>
      <c r="AX250" s="1592"/>
    </row>
    <row r="251" spans="1:50" ht="15.75" customHeight="1" x14ac:dyDescent="0.25">
      <c r="A251" s="1770" t="s">
        <v>316</v>
      </c>
      <c r="B251" s="2013" t="s">
        <v>317</v>
      </c>
      <c r="C251" s="2002"/>
      <c r="D251" s="1573">
        <f>SUM(D252:D253)</f>
        <v>497438250.24000001</v>
      </c>
      <c r="E251" s="1572">
        <f>SUM(G251+Y251+AG251+AN251)</f>
        <v>497438250.24000001</v>
      </c>
      <c r="F251" s="1495">
        <f>+X251+AF251+AM251+AW251</f>
        <v>348800</v>
      </c>
      <c r="G251" s="1573">
        <f>SUM(H251:W251)</f>
        <v>465038250.24000001</v>
      </c>
      <c r="H251" s="1647">
        <f t="shared" ref="H251:W251" si="231">SUM(H252:H253)</f>
        <v>0</v>
      </c>
      <c r="I251" s="1647">
        <f t="shared" si="231"/>
        <v>1200000</v>
      </c>
      <c r="J251" s="1647">
        <f t="shared" si="231"/>
        <v>1040000</v>
      </c>
      <c r="K251" s="1647">
        <f t="shared" si="231"/>
        <v>4000000</v>
      </c>
      <c r="L251" s="1647">
        <f t="shared" si="231"/>
        <v>0</v>
      </c>
      <c r="M251" s="1647">
        <f t="shared" si="231"/>
        <v>97198250.239999995</v>
      </c>
      <c r="N251" s="1647">
        <f t="shared" si="231"/>
        <v>2000000</v>
      </c>
      <c r="O251" s="1647">
        <f t="shared" si="231"/>
        <v>1000000</v>
      </c>
      <c r="P251" s="1647">
        <f t="shared" si="231"/>
        <v>5000000</v>
      </c>
      <c r="Q251" s="1647">
        <f t="shared" si="231"/>
        <v>0</v>
      </c>
      <c r="R251" s="1647">
        <f t="shared" si="231"/>
        <v>2000000</v>
      </c>
      <c r="S251" s="1647">
        <f t="shared" si="231"/>
        <v>20000000</v>
      </c>
      <c r="T251" s="1647">
        <f t="shared" si="231"/>
        <v>5000000</v>
      </c>
      <c r="U251" s="1647">
        <f t="shared" si="231"/>
        <v>5200000</v>
      </c>
      <c r="V251" s="1647">
        <f t="shared" si="231"/>
        <v>321000000</v>
      </c>
      <c r="W251" s="1647">
        <f t="shared" si="231"/>
        <v>400000</v>
      </c>
      <c r="X251" s="1628">
        <f>+X253</f>
        <v>326900</v>
      </c>
      <c r="Y251" s="1647">
        <f t="shared" ref="Y251:AD251" si="232">SUM(Y252:Y253)</f>
        <v>9900000</v>
      </c>
      <c r="Z251" s="1647">
        <f t="shared" si="232"/>
        <v>3500000</v>
      </c>
      <c r="AA251" s="1647">
        <f t="shared" si="232"/>
        <v>1500000</v>
      </c>
      <c r="AB251" s="1647">
        <f t="shared" si="232"/>
        <v>1000000</v>
      </c>
      <c r="AC251" s="1647">
        <f t="shared" si="232"/>
        <v>900000</v>
      </c>
      <c r="AD251" s="1647">
        <f t="shared" si="232"/>
        <v>3000000</v>
      </c>
      <c r="AE251" s="1575">
        <f>X251/$X$7</f>
        <v>7.631796738887775E-2</v>
      </c>
      <c r="AF251" s="1557">
        <f>+AF253</f>
        <v>20000</v>
      </c>
      <c r="AG251" s="1576">
        <f>SUM(AG253)</f>
        <v>12500000</v>
      </c>
      <c r="AH251" s="1689">
        <f>SUM(AH252:AH253)</f>
        <v>3500000</v>
      </c>
      <c r="AI251" s="1597">
        <f>SUM(AI252:AI253)</f>
        <v>5000000</v>
      </c>
      <c r="AJ251" s="1597">
        <f>SUM(AJ252:AJ253)</f>
        <v>0</v>
      </c>
      <c r="AK251" s="1597">
        <f>SUM(AK252:AK253)</f>
        <v>4000000</v>
      </c>
      <c r="AL251" s="1577">
        <f>(AF251/AF7)</f>
        <v>1.3258064965106989E-2</v>
      </c>
      <c r="AM251" s="1598">
        <f>+AM253</f>
        <v>600</v>
      </c>
      <c r="AN251" s="1599">
        <f t="shared" ref="AN251:AU251" si="233">SUM(AN252:AN253)</f>
        <v>10000000</v>
      </c>
      <c r="AO251" s="1600">
        <f t="shared" si="233"/>
        <v>3000000</v>
      </c>
      <c r="AP251" s="1599">
        <f t="shared" si="233"/>
        <v>7000000</v>
      </c>
      <c r="AQ251" s="1601">
        <f t="shared" si="233"/>
        <v>1050000</v>
      </c>
      <c r="AR251" s="1600">
        <f t="shared" si="233"/>
        <v>1050000</v>
      </c>
      <c r="AS251" s="1600">
        <f t="shared" si="233"/>
        <v>2450000</v>
      </c>
      <c r="AT251" s="1600">
        <f t="shared" si="233"/>
        <v>2450000</v>
      </c>
      <c r="AU251" s="1602">
        <f t="shared" si="233"/>
        <v>497438250.24000001</v>
      </c>
      <c r="AV251" s="1603">
        <f>AM251/$AM$7</f>
        <v>9.7077845015185814E-5</v>
      </c>
      <c r="AW251" s="1631">
        <f>+AW253</f>
        <v>1300</v>
      </c>
      <c r="AX251" s="1592">
        <f>AW251/$AW$7</f>
        <v>2.4485419756685868E-5</v>
      </c>
    </row>
    <row r="252" spans="1:50" ht="15.75" hidden="1" customHeight="1" x14ac:dyDescent="0.25">
      <c r="A252" s="1652" t="s">
        <v>466</v>
      </c>
      <c r="B252" s="2009" t="s">
        <v>318</v>
      </c>
      <c r="C252" s="2004"/>
      <c r="D252" s="1608">
        <f>+G252+Y252+AG252+AN252</f>
        <v>0</v>
      </c>
      <c r="E252" s="1552"/>
      <c r="F252" s="1447">
        <f>+X252+AF252+AM252+AW252</f>
        <v>0</v>
      </c>
      <c r="G252" s="1608">
        <f>SUM(H252:W252)</f>
        <v>0</v>
      </c>
      <c r="H252" s="78"/>
      <c r="I252" s="78"/>
      <c r="J252" s="78"/>
      <c r="K252" s="78"/>
      <c r="L252" s="78"/>
      <c r="M252" s="1586"/>
      <c r="N252" s="78"/>
      <c r="O252" s="78"/>
      <c r="P252" s="78"/>
      <c r="Q252" s="78"/>
      <c r="R252" s="1586"/>
      <c r="S252" s="1586"/>
      <c r="T252" s="1586"/>
      <c r="U252" s="1586"/>
      <c r="V252" s="1586"/>
      <c r="W252" s="1586"/>
      <c r="X252" s="1588">
        <f>G252/1000</f>
        <v>0</v>
      </c>
      <c r="Y252" s="1586"/>
      <c r="Z252" s="1586"/>
      <c r="AA252" s="1586"/>
      <c r="AB252" s="1586"/>
      <c r="AC252" s="1586"/>
      <c r="AD252" s="1586"/>
      <c r="AE252" s="1575">
        <f>X252/$X$7*100</f>
        <v>0</v>
      </c>
      <c r="AF252" s="1561">
        <f>Y252/1000</f>
        <v>0</v>
      </c>
      <c r="AG252" s="1576">
        <f>SUM(AH252:AJ252)</f>
        <v>0</v>
      </c>
      <c r="AH252" s="1611">
        <v>0</v>
      </c>
      <c r="AI252" s="1612">
        <v>0</v>
      </c>
      <c r="AJ252" s="1600">
        <v>0</v>
      </c>
      <c r="AK252" s="1600">
        <v>0</v>
      </c>
      <c r="AL252" s="1613"/>
      <c r="AM252" s="1614">
        <f>AG252/1000</f>
        <v>0</v>
      </c>
      <c r="AN252" s="1599">
        <v>0</v>
      </c>
      <c r="AO252" s="1600">
        <v>0</v>
      </c>
      <c r="AP252" s="1599">
        <v>0</v>
      </c>
      <c r="AQ252" s="1601">
        <v>0</v>
      </c>
      <c r="AR252" s="1600">
        <v>0</v>
      </c>
      <c r="AS252" s="1600">
        <v>0</v>
      </c>
      <c r="AT252" s="1600">
        <v>0</v>
      </c>
      <c r="AU252" s="1616">
        <f>SUM(AN252+AG252+Y252+G252)</f>
        <v>0</v>
      </c>
      <c r="AV252" s="1603">
        <f>AM252/$AM$7</f>
        <v>0</v>
      </c>
      <c r="AW252" s="1627">
        <f>AN252/1000</f>
        <v>0</v>
      </c>
      <c r="AX252" s="1592">
        <f>AW252/$AW$7</f>
        <v>0</v>
      </c>
    </row>
    <row r="253" spans="1:50" ht="15.75" customHeight="1" x14ac:dyDescent="0.25">
      <c r="A253" s="1652" t="s">
        <v>467</v>
      </c>
      <c r="B253" s="1585" t="s">
        <v>465</v>
      </c>
      <c r="D253" s="1608">
        <f>+G253+Y253+AG253+AN253</f>
        <v>497438250.24000001</v>
      </c>
      <c r="E253" s="1552">
        <f>SUM(G253+Y253+AG253+AN253)</f>
        <v>497438250.24000001</v>
      </c>
      <c r="F253" s="1447">
        <f>+X253+AF253+AM253+AW253</f>
        <v>348800</v>
      </c>
      <c r="G253" s="1608">
        <f>SUM(H253:W253)</f>
        <v>465038250.24000001</v>
      </c>
      <c r="H253" s="78"/>
      <c r="I253" s="78">
        <v>1200000</v>
      </c>
      <c r="J253" s="78">
        <v>1040000</v>
      </c>
      <c r="K253" s="78">
        <v>4000000</v>
      </c>
      <c r="L253" s="78"/>
      <c r="M253" s="1586">
        <v>97198250.239999995</v>
      </c>
      <c r="N253" s="1103">
        <f>2000000</f>
        <v>2000000</v>
      </c>
      <c r="O253" s="78">
        <v>1000000</v>
      </c>
      <c r="P253" s="78">
        <v>5000000</v>
      </c>
      <c r="Q253" s="78"/>
      <c r="R253" s="1586">
        <v>2000000</v>
      </c>
      <c r="S253" s="1586">
        <v>20000000</v>
      </c>
      <c r="T253" s="1586">
        <v>5000000</v>
      </c>
      <c r="U253" s="1586">
        <v>5200000</v>
      </c>
      <c r="V253" s="1586">
        <f>21000000+300000000</f>
        <v>321000000</v>
      </c>
      <c r="W253" s="1586">
        <v>400000</v>
      </c>
      <c r="X253" s="1588">
        <f>326900000/1000</f>
        <v>326900</v>
      </c>
      <c r="Y253" s="1561">
        <f>SUM(Z253:AD253)</f>
        <v>9900000</v>
      </c>
      <c r="Z253" s="1586">
        <v>3500000</v>
      </c>
      <c r="AA253" s="1586">
        <v>1500000</v>
      </c>
      <c r="AB253" s="1586">
        <v>1000000</v>
      </c>
      <c r="AC253" s="1586">
        <v>900000</v>
      </c>
      <c r="AD253" s="1586">
        <v>3000000</v>
      </c>
      <c r="AE253" s="1609">
        <f>X253/$X$7</f>
        <v>7.631796738887775E-2</v>
      </c>
      <c r="AF253" s="1561">
        <f>20000000/1000</f>
        <v>20000</v>
      </c>
      <c r="AG253" s="1576">
        <f>SUM(AH253:AK253)</f>
        <v>12500000</v>
      </c>
      <c r="AH253" s="1611">
        <v>3500000</v>
      </c>
      <c r="AI253" s="1612">
        <v>5000000</v>
      </c>
      <c r="AJ253" s="1600"/>
      <c r="AK253" s="1600">
        <v>4000000</v>
      </c>
      <c r="AL253" s="1613">
        <f>(AF253/AF7)</f>
        <v>1.3258064965106989E-2</v>
      </c>
      <c r="AM253" s="1614">
        <f>600000/1000</f>
        <v>600</v>
      </c>
      <c r="AN253" s="1615">
        <f>SUM(AO253+AP253)</f>
        <v>10000000</v>
      </c>
      <c r="AO253" s="1600">
        <f>3000000</f>
        <v>3000000</v>
      </c>
      <c r="AP253" s="1738">
        <f>SUM(AQ253:AT253)</f>
        <v>7000000</v>
      </c>
      <c r="AQ253" s="1793">
        <v>1050000</v>
      </c>
      <c r="AR253" s="1622">
        <v>1050000</v>
      </c>
      <c r="AS253" s="1622">
        <v>2450000</v>
      </c>
      <c r="AT253" s="1622">
        <v>2450000</v>
      </c>
      <c r="AU253" s="1616">
        <f>SUM(AN253+AG253+Y253+G253)</f>
        <v>497438250.24000001</v>
      </c>
      <c r="AV253" s="1617">
        <f>AM253/$AM$7</f>
        <v>9.7077845015185814E-5</v>
      </c>
      <c r="AW253" s="1627">
        <f>1300000/1000</f>
        <v>1300</v>
      </c>
      <c r="AX253" s="1619">
        <f>AW253/$AW$7</f>
        <v>2.4485419756685868E-5</v>
      </c>
    </row>
    <row r="254" spans="1:50" ht="15.75" hidden="1" customHeight="1" x14ac:dyDescent="0.25">
      <c r="A254" s="1652"/>
      <c r="B254" s="1624"/>
      <c r="C254" s="1513"/>
      <c r="D254" s="1608"/>
      <c r="E254" s="1552"/>
      <c r="F254" s="1447" t="e">
        <f>+X254+AF254+AM254+AW254</f>
        <v>#VALUE!</v>
      </c>
      <c r="G254" s="1608"/>
      <c r="H254" s="78"/>
      <c r="I254" s="78"/>
      <c r="J254" s="78"/>
      <c r="K254" s="78"/>
      <c r="L254" s="78"/>
      <c r="M254" s="1586"/>
      <c r="N254" s="78"/>
      <c r="O254" s="78"/>
      <c r="P254" s="78"/>
      <c r="Q254" s="78"/>
      <c r="R254" s="1586"/>
      <c r="S254" s="1586"/>
      <c r="T254" s="1586"/>
      <c r="U254" s="1586"/>
      <c r="V254" s="1586"/>
      <c r="W254" s="1586"/>
      <c r="X254" s="1588">
        <f>G254/1000</f>
        <v>0</v>
      </c>
      <c r="Y254" s="1586"/>
      <c r="Z254" s="1586"/>
      <c r="AA254" s="1586"/>
      <c r="AB254" s="1586"/>
      <c r="AC254" s="1586"/>
      <c r="AD254" s="1586"/>
      <c r="AE254" s="1609">
        <f>X254/$X$7*100</f>
        <v>0</v>
      </c>
      <c r="AF254" s="1561">
        <f>Y254/1000</f>
        <v>0</v>
      </c>
      <c r="AG254" s="1576" t="s">
        <v>0</v>
      </c>
      <c r="AH254" s="1778" t="s">
        <v>0</v>
      </c>
      <c r="AI254" s="1685" t="s">
        <v>0</v>
      </c>
      <c r="AJ254" s="1685"/>
      <c r="AK254" s="1685"/>
      <c r="AL254" s="1794"/>
      <c r="AM254" s="1614" t="e">
        <f>AG254/1000</f>
        <v>#VALUE!</v>
      </c>
      <c r="AN254" s="1599"/>
      <c r="AO254" s="1586"/>
      <c r="AP254" s="780"/>
      <c r="AQ254" s="1645"/>
      <c r="AR254" s="1586"/>
      <c r="AS254" s="1586"/>
      <c r="AT254" s="1586"/>
      <c r="AU254" s="1616"/>
      <c r="AV254" s="1603" t="e">
        <f>AM254/$AM$7</f>
        <v>#VALUE!</v>
      </c>
      <c r="AW254" s="1627">
        <f>AN254/1000</f>
        <v>0</v>
      </c>
      <c r="AX254" s="1592">
        <f>AW254/$AW$7</f>
        <v>0</v>
      </c>
    </row>
    <row r="255" spans="1:50" ht="15.75" hidden="1" customHeight="1" x14ac:dyDescent="0.25">
      <c r="A255" s="1652"/>
      <c r="B255" s="1624"/>
      <c r="C255" s="1513"/>
      <c r="D255" s="1608"/>
      <c r="E255" s="1552"/>
      <c r="F255" s="1447">
        <f>+X255+AF255+AM255+AW255</f>
        <v>0</v>
      </c>
      <c r="G255" s="1608"/>
      <c r="H255" s="78"/>
      <c r="I255" s="78"/>
      <c r="J255" s="78"/>
      <c r="K255" s="78"/>
      <c r="L255" s="78"/>
      <c r="M255" s="1586"/>
      <c r="N255" s="78"/>
      <c r="O255" s="78"/>
      <c r="P255" s="78"/>
      <c r="Q255" s="78"/>
      <c r="R255" s="1586"/>
      <c r="S255" s="1586"/>
      <c r="T255" s="1586"/>
      <c r="U255" s="1586"/>
      <c r="V255" s="1586"/>
      <c r="W255" s="1586"/>
      <c r="X255" s="1588">
        <f>G255/1000</f>
        <v>0</v>
      </c>
      <c r="Y255" s="1586"/>
      <c r="Z255" s="1586"/>
      <c r="AA255" s="1586"/>
      <c r="AB255" s="1586"/>
      <c r="AC255" s="1586"/>
      <c r="AD255" s="1586"/>
      <c r="AE255" s="1609">
        <f>X255/$X$7*100</f>
        <v>0</v>
      </c>
      <c r="AF255" s="1561">
        <f>Y255/1000</f>
        <v>0</v>
      </c>
      <c r="AG255" s="1576"/>
      <c r="AH255" s="1778"/>
      <c r="AI255" s="1685"/>
      <c r="AJ255" s="1685"/>
      <c r="AK255" s="1685"/>
      <c r="AL255" s="1794"/>
      <c r="AM255" s="1614">
        <f>AG255/1000</f>
        <v>0</v>
      </c>
      <c r="AN255" s="1599"/>
      <c r="AO255" s="1586"/>
      <c r="AP255" s="780"/>
      <c r="AQ255" s="1645"/>
      <c r="AR255" s="1586"/>
      <c r="AS255" s="1586"/>
      <c r="AT255" s="1586"/>
      <c r="AU255" s="1616"/>
      <c r="AV255" s="1603">
        <f>AM255/$AM$7</f>
        <v>0</v>
      </c>
      <c r="AW255" s="1627">
        <f>AN255/1000</f>
        <v>0</v>
      </c>
      <c r="AX255" s="1592">
        <f>AW255/$AW$7</f>
        <v>0</v>
      </c>
    </row>
    <row r="256" spans="1:50" ht="15.75" customHeight="1" x14ac:dyDescent="0.25">
      <c r="A256" s="1652"/>
      <c r="B256" s="1624"/>
      <c r="C256" s="1513"/>
      <c r="D256" s="1608"/>
      <c r="E256" s="1552"/>
      <c r="F256" s="1447"/>
      <c r="G256" s="1608"/>
      <c r="H256" s="78"/>
      <c r="I256" s="78"/>
      <c r="J256" s="78"/>
      <c r="K256" s="78"/>
      <c r="L256" s="78"/>
      <c r="M256" s="1586"/>
      <c r="N256" s="78"/>
      <c r="O256" s="78"/>
      <c r="P256" s="78"/>
      <c r="Q256" s="78"/>
      <c r="R256" s="1586"/>
      <c r="S256" s="1586"/>
      <c r="T256" s="1586"/>
      <c r="U256" s="1586"/>
      <c r="V256" s="1586"/>
      <c r="W256" s="1586"/>
      <c r="X256" s="1588"/>
      <c r="Y256" s="1586"/>
      <c r="Z256" s="1586"/>
      <c r="AA256" s="1586"/>
      <c r="AB256" s="1586"/>
      <c r="AC256" s="1586"/>
      <c r="AD256" s="1586"/>
      <c r="AE256" s="1609"/>
      <c r="AF256" s="1561"/>
      <c r="AG256" s="1576"/>
      <c r="AH256" s="1778"/>
      <c r="AI256" s="1685"/>
      <c r="AJ256" s="1685"/>
      <c r="AK256" s="1685"/>
      <c r="AL256" s="1794"/>
      <c r="AM256" s="1614"/>
      <c r="AN256" s="1599"/>
      <c r="AO256" s="1586"/>
      <c r="AP256" s="780"/>
      <c r="AQ256" s="1645"/>
      <c r="AR256" s="1586"/>
      <c r="AS256" s="1586"/>
      <c r="AT256" s="1586"/>
      <c r="AU256" s="1616"/>
      <c r="AV256" s="1603"/>
      <c r="AW256" s="1627"/>
      <c r="AX256" s="1592"/>
    </row>
    <row r="257" spans="1:50" ht="15.75" customHeight="1" x14ac:dyDescent="0.25">
      <c r="A257" s="1768">
        <v>6</v>
      </c>
      <c r="B257" s="2013" t="s">
        <v>319</v>
      </c>
      <c r="C257" s="2016"/>
      <c r="D257" s="1574">
        <f>D259+D264+D269+D275+D279</f>
        <v>768671493.42999995</v>
      </c>
      <c r="E257" s="1572">
        <f>SUM(E259+E264+E269+E275+E279)</f>
        <v>768671493.42999995</v>
      </c>
      <c r="F257" s="1495">
        <f>+X257+AF257+AM257+AW257</f>
        <v>956576.38000000012</v>
      </c>
      <c r="G257" s="1574">
        <f t="shared" ref="G257:S257" si="234">G259+G264+G269+G275+G279</f>
        <v>497902358.06</v>
      </c>
      <c r="H257" s="1574">
        <f t="shared" si="234"/>
        <v>0</v>
      </c>
      <c r="I257" s="1574">
        <f t="shared" si="234"/>
        <v>6167794</v>
      </c>
      <c r="J257" s="1574">
        <f t="shared" si="234"/>
        <v>10574266.58</v>
      </c>
      <c r="K257" s="1574">
        <f t="shared" si="234"/>
        <v>15100000</v>
      </c>
      <c r="L257" s="1574">
        <f t="shared" si="234"/>
        <v>0</v>
      </c>
      <c r="M257" s="1574">
        <f t="shared" si="234"/>
        <v>6300000</v>
      </c>
      <c r="N257" s="1574">
        <f t="shared" si="234"/>
        <v>0</v>
      </c>
      <c r="O257" s="1574">
        <f t="shared" si="234"/>
        <v>348795</v>
      </c>
      <c r="P257" s="1574">
        <f t="shared" si="234"/>
        <v>7225950</v>
      </c>
      <c r="Q257" s="1574">
        <f t="shared" si="234"/>
        <v>63300000</v>
      </c>
      <c r="R257" s="1574">
        <f t="shared" si="234"/>
        <v>96674978.469999999</v>
      </c>
      <c r="S257" s="1574">
        <f t="shared" si="234"/>
        <v>26672117.370000001</v>
      </c>
      <c r="T257" s="1574">
        <f>SUM(T259+T264+T269+T275+T279)</f>
        <v>206278907.69999999</v>
      </c>
      <c r="U257" s="1574">
        <f t="shared" ref="U257:AD257" si="235">U259+U264+U269+U275+U279</f>
        <v>6300000</v>
      </c>
      <c r="V257" s="1574">
        <f t="shared" si="235"/>
        <v>49959548.939999998</v>
      </c>
      <c r="W257" s="1574">
        <f t="shared" si="235"/>
        <v>3000000</v>
      </c>
      <c r="X257" s="1628">
        <f t="shared" si="235"/>
        <v>752360.47200000007</v>
      </c>
      <c r="Y257" s="1574">
        <f t="shared" si="235"/>
        <v>22020726.09</v>
      </c>
      <c r="Z257" s="1574">
        <f t="shared" si="235"/>
        <v>6020726.0899999999</v>
      </c>
      <c r="AA257" s="1574">
        <f t="shared" si="235"/>
        <v>4000000</v>
      </c>
      <c r="AB257" s="1574">
        <f t="shared" si="235"/>
        <v>4000000</v>
      </c>
      <c r="AC257" s="1574">
        <f t="shared" si="235"/>
        <v>4000000</v>
      </c>
      <c r="AD257" s="1574">
        <f t="shared" si="235"/>
        <v>4000000</v>
      </c>
      <c r="AE257" s="1575">
        <f>X257/$X$7</f>
        <v>0.17564583042758239</v>
      </c>
      <c r="AF257" s="1557">
        <f>+AF264+AF269+AF275+AF279</f>
        <v>40013.561000000002</v>
      </c>
      <c r="AG257" s="1576">
        <f>SUM(AG259+AG264+AG269+AG275+AG279)</f>
        <v>36352773.979999997</v>
      </c>
      <c r="AH257" s="1689">
        <f>AH259+AH264+AH269+AH275+AH279</f>
        <v>4455350.38</v>
      </c>
      <c r="AI257" s="1597">
        <f>AI259+AI264+AI269+AI275+AI279</f>
        <v>3000000</v>
      </c>
      <c r="AJ257" s="1597">
        <f>AJ259+AJ264+AJ269+AJ275+AJ279</f>
        <v>3000000</v>
      </c>
      <c r="AK257" s="1597">
        <f>AK259+AK264+AK269+AK275+AK279</f>
        <v>25897423.600000001</v>
      </c>
      <c r="AL257" s="1577">
        <f>(AF257/AF7)</f>
        <v>2.652511956116357E-2</v>
      </c>
      <c r="AM257" s="1598">
        <f>+AM269+AM275</f>
        <v>37383.275000000001</v>
      </c>
      <c r="AN257" s="1599">
        <f t="shared" ref="AN257:AU257" si="236">AN259+AN264+AN269+AN275+AN279</f>
        <v>212395635.30000001</v>
      </c>
      <c r="AO257" s="1600">
        <f t="shared" si="236"/>
        <v>195750000</v>
      </c>
      <c r="AP257" s="1599">
        <f t="shared" si="236"/>
        <v>16645635.299999997</v>
      </c>
      <c r="AQ257" s="1601">
        <f t="shared" si="236"/>
        <v>4645635.299999997</v>
      </c>
      <c r="AR257" s="1600">
        <f t="shared" si="236"/>
        <v>3000000</v>
      </c>
      <c r="AS257" s="1600">
        <f t="shared" si="236"/>
        <v>5000000</v>
      </c>
      <c r="AT257" s="1600">
        <f t="shared" si="236"/>
        <v>4000000</v>
      </c>
      <c r="AU257" s="1602">
        <f t="shared" si="236"/>
        <v>768671493.43000007</v>
      </c>
      <c r="AV257" s="1603">
        <f>AM257/$AM$7</f>
        <v>6.0484796276834511E-3</v>
      </c>
      <c r="AW257" s="1631">
        <f>+AW269+AW275+AW264</f>
        <v>126819.072</v>
      </c>
      <c r="AX257" s="1592">
        <f>AW257/$AW$7</f>
        <v>2.3886293931333598E-3</v>
      </c>
    </row>
    <row r="258" spans="1:50" ht="15.75" hidden="1" customHeight="1" x14ac:dyDescent="0.25">
      <c r="A258" s="1652"/>
      <c r="B258" s="1624"/>
      <c r="C258" s="1513"/>
      <c r="D258" s="1608"/>
      <c r="E258" s="1552"/>
      <c r="F258" s="1447">
        <f>+X258+AF258+AM258+AW258</f>
        <v>0</v>
      </c>
      <c r="G258" s="1608"/>
      <c r="H258" s="78"/>
      <c r="I258" s="78"/>
      <c r="J258" s="78"/>
      <c r="K258" s="78"/>
      <c r="L258" s="78"/>
      <c r="M258" s="1586"/>
      <c r="N258" s="78"/>
      <c r="O258" s="78"/>
      <c r="P258" s="78"/>
      <c r="Q258" s="78"/>
      <c r="R258" s="1586"/>
      <c r="S258" s="1586"/>
      <c r="T258" s="1586"/>
      <c r="U258" s="1586"/>
      <c r="V258" s="1586"/>
      <c r="W258" s="1586"/>
      <c r="X258" s="1588">
        <f>G258/1000</f>
        <v>0</v>
      </c>
      <c r="Y258" s="1586"/>
      <c r="Z258" s="1586"/>
      <c r="AA258" s="1586"/>
      <c r="AB258" s="1586"/>
      <c r="AC258" s="1586"/>
      <c r="AD258" s="1586"/>
      <c r="AE258" s="1575">
        <f>X258/$X$7*100</f>
        <v>0</v>
      </c>
      <c r="AF258" s="1561">
        <f>Y258/1000</f>
        <v>0</v>
      </c>
      <c r="AG258" s="1576">
        <f>SUM(AH258:AJ258)</f>
        <v>0</v>
      </c>
      <c r="AH258" s="1611"/>
      <c r="AI258" s="1612"/>
      <c r="AJ258" s="1612"/>
      <c r="AK258" s="1612"/>
      <c r="AL258" s="1577" t="e">
        <f>(AF258/AF8)*100</f>
        <v>#DIV/0!</v>
      </c>
      <c r="AM258" s="1614">
        <f>AG258/1000</f>
        <v>0</v>
      </c>
      <c r="AN258" s="1599"/>
      <c r="AO258" s="1612"/>
      <c r="AP258" s="1659"/>
      <c r="AQ258" s="1611"/>
      <c r="AR258" s="1612"/>
      <c r="AS258" s="1612"/>
      <c r="AT258" s="1612"/>
      <c r="AU258" s="1616"/>
      <c r="AV258" s="1603">
        <f>AM258/$AM$7</f>
        <v>0</v>
      </c>
      <c r="AW258" s="1627">
        <f>AN258/1000</f>
        <v>0</v>
      </c>
      <c r="AX258" s="1592">
        <f>AW258/$AW$7</f>
        <v>0</v>
      </c>
    </row>
    <row r="259" spans="1:50" ht="15.75" customHeight="1" x14ac:dyDescent="0.25">
      <c r="A259" s="1517" t="s">
        <v>320</v>
      </c>
      <c r="B259" s="2013" t="s">
        <v>321</v>
      </c>
      <c r="C259" s="2002"/>
      <c r="D259" s="1573">
        <f>SUM(D260:D262)</f>
        <v>96304589.769999996</v>
      </c>
      <c r="E259" s="1572">
        <f>SUM(G259+Y259+AG259+AN259)</f>
        <v>96304589.769999996</v>
      </c>
      <c r="F259" s="1495">
        <f>+X259+AF259+AM259+AW259</f>
        <v>133000</v>
      </c>
      <c r="G259" s="1573">
        <f>SUM(H259:W259)</f>
        <v>96304589.769999996</v>
      </c>
      <c r="H259" s="1099">
        <f>SUM(H260:H261)</f>
        <v>0</v>
      </c>
      <c r="I259" s="1099">
        <f>SUM(I260:I261)</f>
        <v>0</v>
      </c>
      <c r="J259" s="1099">
        <f>SUM(J260:J262)</f>
        <v>0</v>
      </c>
      <c r="K259" s="1099">
        <f>SUM(K260:K262)</f>
        <v>0</v>
      </c>
      <c r="L259" s="1647">
        <f t="shared" ref="L259:T259" si="237">SUM(L260:L261)</f>
        <v>0</v>
      </c>
      <c r="M259" s="1647">
        <f t="shared" si="237"/>
        <v>0</v>
      </c>
      <c r="N259" s="1099">
        <f t="shared" si="237"/>
        <v>0</v>
      </c>
      <c r="O259" s="1099">
        <f t="shared" si="237"/>
        <v>0</v>
      </c>
      <c r="P259" s="1647">
        <f t="shared" si="237"/>
        <v>0</v>
      </c>
      <c r="Q259" s="1099">
        <f t="shared" si="237"/>
        <v>0</v>
      </c>
      <c r="R259" s="1647">
        <f t="shared" si="237"/>
        <v>96304589.769999996</v>
      </c>
      <c r="S259" s="1647">
        <f t="shared" si="237"/>
        <v>0</v>
      </c>
      <c r="T259" s="1647">
        <f t="shared" si="237"/>
        <v>0</v>
      </c>
      <c r="U259" s="1647"/>
      <c r="V259" s="1647">
        <f>SUM(V260:V261)</f>
        <v>0</v>
      </c>
      <c r="W259" s="1647">
        <f>SUM(W260:W261)</f>
        <v>0</v>
      </c>
      <c r="X259" s="1628">
        <f>X261</f>
        <v>133000</v>
      </c>
      <c r="Y259" s="1647">
        <f t="shared" ref="Y259:AD259" si="238">SUM(Y260:Y261)</f>
        <v>0</v>
      </c>
      <c r="Z259" s="1647">
        <f t="shared" si="238"/>
        <v>0</v>
      </c>
      <c r="AA259" s="1647">
        <f t="shared" si="238"/>
        <v>0</v>
      </c>
      <c r="AB259" s="1647">
        <f t="shared" si="238"/>
        <v>0</v>
      </c>
      <c r="AC259" s="1647">
        <f t="shared" si="238"/>
        <v>0</v>
      </c>
      <c r="AD259" s="1647">
        <f t="shared" si="238"/>
        <v>0</v>
      </c>
      <c r="AE259" s="1575">
        <f>X259/$X$7</f>
        <v>3.1050136625025211E-2</v>
      </c>
      <c r="AF259" s="1557">
        <f>AF261</f>
        <v>0</v>
      </c>
      <c r="AG259" s="1576">
        <f>SUM(AG260:AG262)</f>
        <v>0</v>
      </c>
      <c r="AH259" s="1689">
        <f>SUM(AH260:AH261)</f>
        <v>0</v>
      </c>
      <c r="AI259" s="1597">
        <f>SUM(AI262)</f>
        <v>0</v>
      </c>
      <c r="AJ259" s="1597">
        <f>SUM(AJ260:AJ261)</f>
        <v>0</v>
      </c>
      <c r="AK259" s="1597">
        <f>SUM(AK260:AK261)</f>
        <v>0</v>
      </c>
      <c r="AL259" s="1577">
        <f>(AF259/AF7)</f>
        <v>0</v>
      </c>
      <c r="AM259" s="1598">
        <f>AG259/1000</f>
        <v>0</v>
      </c>
      <c r="AN259" s="1599">
        <f>SUM(AN260:AN262)</f>
        <v>0</v>
      </c>
      <c r="AO259" s="1600">
        <f>SUM(AO260:AO261)</f>
        <v>0</v>
      </c>
      <c r="AP259" s="1738">
        <f>SUM(AQ259:AT259)</f>
        <v>0</v>
      </c>
      <c r="AQ259" s="1601">
        <f>SUM(AQ260:AQ261)</f>
        <v>0</v>
      </c>
      <c r="AR259" s="1600">
        <f>SUM(AR260:AR261)</f>
        <v>0</v>
      </c>
      <c r="AS259" s="1600">
        <f>SUM(AS260:AS261)</f>
        <v>0</v>
      </c>
      <c r="AT259" s="1600">
        <f>SUM(AT260:AT261)</f>
        <v>0</v>
      </c>
      <c r="AU259" s="1602">
        <f>SUM(AU260:AU261)</f>
        <v>96304589.769999996</v>
      </c>
      <c r="AV259" s="1603">
        <f>AM259/$AM$7</f>
        <v>0</v>
      </c>
      <c r="AW259" s="1627">
        <f>AN259/1000</f>
        <v>0</v>
      </c>
      <c r="AX259" s="1592">
        <f>AW259/$AW$7</f>
        <v>0</v>
      </c>
    </row>
    <row r="260" spans="1:50" ht="15.75" customHeight="1" x14ac:dyDescent="0.25">
      <c r="A260" s="1652"/>
      <c r="B260" s="2009"/>
      <c r="C260" s="2004"/>
      <c r="D260" s="1608"/>
      <c r="E260" s="1552"/>
      <c r="F260" s="1447"/>
      <c r="G260" s="1608"/>
      <c r="H260" s="1653"/>
      <c r="I260" s="1653"/>
      <c r="J260" s="1653"/>
      <c r="K260" s="1653"/>
      <c r="L260" s="78"/>
      <c r="M260" s="1586"/>
      <c r="N260" s="1653"/>
      <c r="O260" s="1653"/>
      <c r="P260" s="78"/>
      <c r="Q260" s="1653"/>
      <c r="R260" s="1586"/>
      <c r="S260" s="1586"/>
      <c r="T260" s="1586"/>
      <c r="U260" s="1586"/>
      <c r="V260" s="1586"/>
      <c r="W260" s="1586"/>
      <c r="X260" s="1588"/>
      <c r="Y260" s="1561"/>
      <c r="Z260" s="1586"/>
      <c r="AA260" s="1586"/>
      <c r="AB260" s="1586"/>
      <c r="AC260" s="1586"/>
      <c r="AD260" s="1586"/>
      <c r="AE260" s="1575"/>
      <c r="AF260" s="1561"/>
      <c r="AG260" s="1576"/>
      <c r="AH260" s="1611"/>
      <c r="AI260" s="1612"/>
      <c r="AJ260" s="1600"/>
      <c r="AK260" s="1600"/>
      <c r="AL260" s="1577"/>
      <c r="AM260" s="1614"/>
      <c r="AN260" s="1615"/>
      <c r="AO260" s="1600"/>
      <c r="AP260" s="1738"/>
      <c r="AQ260" s="1601"/>
      <c r="AR260" s="1600"/>
      <c r="AS260" s="1600"/>
      <c r="AT260" s="1600"/>
      <c r="AU260" s="1616"/>
      <c r="AV260" s="1603"/>
      <c r="AW260" s="1627"/>
      <c r="AX260" s="1592"/>
    </row>
    <row r="261" spans="1:50" ht="15.75" customHeight="1" x14ac:dyDescent="0.25">
      <c r="A261" s="1652" t="s">
        <v>324</v>
      </c>
      <c r="B261" s="2009" t="s">
        <v>325</v>
      </c>
      <c r="C261" s="2004"/>
      <c r="D261" s="1795">
        <f>+G261+Y261+AG261+AN261</f>
        <v>96304589.769999996</v>
      </c>
      <c r="E261" s="1552">
        <f>SUM(G261+Y261+AG261+AN261)</f>
        <v>96304589.769999996</v>
      </c>
      <c r="F261" s="1447">
        <f>+X261+AF261+AM261+AW261</f>
        <v>133000</v>
      </c>
      <c r="G261" s="1608">
        <f>SUM(H261:W261)</f>
        <v>96304589.769999996</v>
      </c>
      <c r="H261" s="1653"/>
      <c r="I261" s="1653"/>
      <c r="J261" s="1653"/>
      <c r="K261" s="1653"/>
      <c r="L261" s="78"/>
      <c r="M261" s="1586"/>
      <c r="N261" s="1653"/>
      <c r="O261" s="1653"/>
      <c r="P261" s="78"/>
      <c r="Q261" s="1653"/>
      <c r="R261" s="1586">
        <v>96304589.769999996</v>
      </c>
      <c r="S261" s="1586"/>
      <c r="T261" s="1586"/>
      <c r="U261" s="1586"/>
      <c r="V261" s="1586"/>
      <c r="W261" s="1586"/>
      <c r="X261" s="1588">
        <f>133000000/1000</f>
        <v>133000</v>
      </c>
      <c r="Y261" s="1561">
        <f>SUM(Z261:AD261)</f>
        <v>0</v>
      </c>
      <c r="Z261" s="1586"/>
      <c r="AA261" s="1586"/>
      <c r="AB261" s="1586"/>
      <c r="AC261" s="1586"/>
      <c r="AD261" s="1586"/>
      <c r="AE261" s="1609">
        <f>X261/$X$7</f>
        <v>3.1050136625025211E-2</v>
      </c>
      <c r="AF261" s="1561">
        <f>Y261/1000</f>
        <v>0</v>
      </c>
      <c r="AG261" s="1576">
        <f>SUM(AH261:AK261)</f>
        <v>0</v>
      </c>
      <c r="AH261" s="1645">
        <v>0</v>
      </c>
      <c r="AI261" s="1586">
        <v>0</v>
      </c>
      <c r="AJ261" s="1600">
        <v>0</v>
      </c>
      <c r="AK261" s="1600">
        <v>0</v>
      </c>
      <c r="AL261" s="1613">
        <f>(AF261/AF7)</f>
        <v>0</v>
      </c>
      <c r="AM261" s="1614">
        <f>AG261/1000</f>
        <v>0</v>
      </c>
      <c r="AN261" s="1615">
        <f>SUM(AO261+AP261)</f>
        <v>0</v>
      </c>
      <c r="AO261" s="1600">
        <v>0</v>
      </c>
      <c r="AP261" s="1738">
        <f>SUM(AQ261:AT261)</f>
        <v>0</v>
      </c>
      <c r="AQ261" s="1601">
        <v>0</v>
      </c>
      <c r="AR261" s="1600">
        <v>0</v>
      </c>
      <c r="AS261" s="1600">
        <v>0</v>
      </c>
      <c r="AT261" s="1600">
        <v>0</v>
      </c>
      <c r="AU261" s="1616">
        <f>SUM(AN261+AG261+Y261+G261)</f>
        <v>96304589.769999996</v>
      </c>
      <c r="AV261" s="1617">
        <f>AM261/$AM$7</f>
        <v>0</v>
      </c>
      <c r="AW261" s="1627">
        <f>AN261/1000</f>
        <v>0</v>
      </c>
      <c r="AX261" s="1619">
        <f>AW261/$AW$7</f>
        <v>0</v>
      </c>
    </row>
    <row r="262" spans="1:50" ht="15.75" hidden="1" customHeight="1" x14ac:dyDescent="0.25">
      <c r="A262" s="1652" t="s">
        <v>588</v>
      </c>
      <c r="B262" s="1624" t="s">
        <v>589</v>
      </c>
      <c r="C262" s="1513"/>
      <c r="D262" s="1795">
        <f>+G262+Y262+AG262+AN262</f>
        <v>0</v>
      </c>
      <c r="E262" s="1552">
        <f>SUM(G262)</f>
        <v>0</v>
      </c>
      <c r="F262" s="1447">
        <f>+X262+AF262+AM262+AW262</f>
        <v>0</v>
      </c>
      <c r="G262" s="1608">
        <f>SUM(H262:W262)</f>
        <v>0</v>
      </c>
      <c r="H262" s="1796"/>
      <c r="I262" s="1796"/>
      <c r="J262" s="1796"/>
      <c r="K262" s="1796"/>
      <c r="L262" s="1665"/>
      <c r="M262" s="1666"/>
      <c r="N262" s="1796"/>
      <c r="O262" s="1796"/>
      <c r="P262" s="1665"/>
      <c r="Q262" s="1796"/>
      <c r="R262" s="1666"/>
      <c r="S262" s="1666"/>
      <c r="T262" s="1666"/>
      <c r="U262" s="1666"/>
      <c r="V262" s="1666"/>
      <c r="W262" s="1666"/>
      <c r="X262" s="1588">
        <f>G262/1000</f>
        <v>0</v>
      </c>
      <c r="Y262" s="1561">
        <f>SUM(Z262:AD262)</f>
        <v>0</v>
      </c>
      <c r="Z262" s="1666"/>
      <c r="AA262" s="1666"/>
      <c r="AB262" s="1666"/>
      <c r="AC262" s="1666"/>
      <c r="AD262" s="1666"/>
      <c r="AE262" s="1575"/>
      <c r="AF262" s="1561">
        <f>Y262/1000</f>
        <v>0</v>
      </c>
      <c r="AG262" s="1576">
        <f>SUM(AH262:AK262)</f>
        <v>0</v>
      </c>
      <c r="AH262" s="1797" t="s">
        <v>0</v>
      </c>
      <c r="AI262" s="1666"/>
      <c r="AJ262" s="1798" t="s">
        <v>0</v>
      </c>
      <c r="AK262" s="1798" t="s">
        <v>0</v>
      </c>
      <c r="AL262" s="1799"/>
      <c r="AM262" s="1614">
        <f>AG262/1000</f>
        <v>0</v>
      </c>
      <c r="AN262" s="1615"/>
      <c r="AO262" s="1800" t="s">
        <v>0</v>
      </c>
      <c r="AP262" s="1801" t="s">
        <v>0</v>
      </c>
      <c r="AQ262" s="1802" t="s">
        <v>0</v>
      </c>
      <c r="AR262" s="1800" t="s">
        <v>0</v>
      </c>
      <c r="AS262" s="1800" t="s">
        <v>0</v>
      </c>
      <c r="AT262" s="1800" t="s">
        <v>0</v>
      </c>
      <c r="AU262" s="1616"/>
      <c r="AV262" s="1603">
        <f>AM262/$AM$7</f>
        <v>0</v>
      </c>
      <c r="AW262" s="1627">
        <f>AN262/1000</f>
        <v>0</v>
      </c>
      <c r="AX262" s="1592">
        <f>AW262/$AW$7</f>
        <v>0</v>
      </c>
    </row>
    <row r="263" spans="1:50" ht="15.75" customHeight="1" thickBot="1" x14ac:dyDescent="0.3">
      <c r="A263" s="1654"/>
      <c r="B263" s="1624"/>
      <c r="C263" s="1513"/>
      <c r="D263" s="1608"/>
      <c r="E263" s="1552"/>
      <c r="F263" s="1447"/>
      <c r="G263" s="1709"/>
      <c r="H263" s="1757"/>
      <c r="I263" s="1757"/>
      <c r="J263" s="1757"/>
      <c r="K263" s="1757"/>
      <c r="L263" s="1712"/>
      <c r="M263" s="1713"/>
      <c r="N263" s="1757"/>
      <c r="O263" s="1757"/>
      <c r="P263" s="1712"/>
      <c r="Q263" s="1757"/>
      <c r="R263" s="1713"/>
      <c r="S263" s="1713"/>
      <c r="T263" s="1713"/>
      <c r="U263" s="1713"/>
      <c r="V263" s="1713"/>
      <c r="W263" s="1713"/>
      <c r="X263" s="1588"/>
      <c r="Y263" s="1713"/>
      <c r="Z263" s="1713"/>
      <c r="AA263" s="1713"/>
      <c r="AB263" s="1713"/>
      <c r="AC263" s="1713"/>
      <c r="AD263" s="1713"/>
      <c r="AE263" s="1575"/>
      <c r="AF263" s="1561"/>
      <c r="AG263" s="1803"/>
      <c r="AH263" s="1804"/>
      <c r="AI263" s="1805"/>
      <c r="AJ263" s="1805"/>
      <c r="AK263" s="1805"/>
      <c r="AL263" s="1799"/>
      <c r="AM263" s="1614"/>
      <c r="AN263" s="1722"/>
      <c r="AO263" s="1806"/>
      <c r="AP263" s="1807"/>
      <c r="AQ263" s="1808"/>
      <c r="AR263" s="1806"/>
      <c r="AS263" s="1806"/>
      <c r="AT263" s="1806"/>
      <c r="AU263" s="1616"/>
      <c r="AV263" s="1603"/>
      <c r="AW263" s="1627"/>
      <c r="AX263" s="1592"/>
    </row>
    <row r="264" spans="1:50" ht="15.75" customHeight="1" x14ac:dyDescent="0.25">
      <c r="A264" s="1517" t="s">
        <v>326</v>
      </c>
      <c r="B264" s="2013" t="s">
        <v>327</v>
      </c>
      <c r="C264" s="2002"/>
      <c r="D264" s="1573">
        <f>SUM(D265:D267)</f>
        <v>363830903.65999997</v>
      </c>
      <c r="E264" s="1572">
        <f>SUM(G264+Y264+AG264+AN264)</f>
        <v>363830903.65999997</v>
      </c>
      <c r="F264" s="1495">
        <f>+X264+AF264+AM264+AW264</f>
        <v>98264.035000000003</v>
      </c>
      <c r="G264" s="1573">
        <f>SUM(H264:W264)</f>
        <v>122061768.29000001</v>
      </c>
      <c r="H264" s="1099">
        <f t="shared" ref="H264:W264" si="239">SUM(H265:H267)</f>
        <v>0</v>
      </c>
      <c r="I264" s="1099">
        <f t="shared" si="239"/>
        <v>6167794</v>
      </c>
      <c r="J264" s="1099">
        <f t="shared" si="239"/>
        <v>10574266.58</v>
      </c>
      <c r="K264" s="1099">
        <f t="shared" si="239"/>
        <v>15100000</v>
      </c>
      <c r="L264" s="1647">
        <f t="shared" si="239"/>
        <v>0</v>
      </c>
      <c r="M264" s="1647">
        <f t="shared" si="239"/>
        <v>6300000</v>
      </c>
      <c r="N264" s="1099">
        <f t="shared" si="239"/>
        <v>0</v>
      </c>
      <c r="O264" s="1099">
        <f t="shared" si="239"/>
        <v>348795</v>
      </c>
      <c r="P264" s="1647">
        <f t="shared" si="239"/>
        <v>7225950</v>
      </c>
      <c r="Q264" s="1099">
        <f t="shared" si="239"/>
        <v>6300000</v>
      </c>
      <c r="R264" s="1647">
        <f t="shared" si="239"/>
        <v>370388.7</v>
      </c>
      <c r="S264" s="1647">
        <f t="shared" si="239"/>
        <v>23136117.370000001</v>
      </c>
      <c r="T264" s="1647">
        <f t="shared" si="239"/>
        <v>6278907.7000000002</v>
      </c>
      <c r="U264" s="1647">
        <f t="shared" si="239"/>
        <v>6300000</v>
      </c>
      <c r="V264" s="1647">
        <f t="shared" si="239"/>
        <v>31959548.940000001</v>
      </c>
      <c r="W264" s="1647">
        <f t="shared" si="239"/>
        <v>2000000</v>
      </c>
      <c r="X264" s="1628">
        <f>+X265+X266+X267</f>
        <v>4183.75</v>
      </c>
      <c r="Y264" s="1647">
        <f t="shared" ref="Y264:AD264" si="240">SUM(Y265:Y267)</f>
        <v>22020726.09</v>
      </c>
      <c r="Z264" s="1647">
        <f t="shared" si="240"/>
        <v>6020726.0899999999</v>
      </c>
      <c r="AA264" s="1647">
        <f t="shared" si="240"/>
        <v>4000000</v>
      </c>
      <c r="AB264" s="1647">
        <f t="shared" si="240"/>
        <v>4000000</v>
      </c>
      <c r="AC264" s="1647">
        <f t="shared" si="240"/>
        <v>4000000</v>
      </c>
      <c r="AD264" s="1647">
        <f t="shared" si="240"/>
        <v>4000000</v>
      </c>
      <c r="AE264" s="1575">
        <f>X264/$X$7</f>
        <v>9.7673691056352797E-4</v>
      </c>
      <c r="AF264" s="1557">
        <f>+AF265+AF266+AF267</f>
        <v>3000</v>
      </c>
      <c r="AG264" s="1576">
        <f>SUM(AG265:AG267)</f>
        <v>21352773.979999997</v>
      </c>
      <c r="AH264" s="1689">
        <f>SUM(AH265:AH267)</f>
        <v>4455350.38</v>
      </c>
      <c r="AI264" s="1597">
        <f>SUM(AI265:AI267)</f>
        <v>3000000</v>
      </c>
      <c r="AJ264" s="1597">
        <f>SUM(AJ265:AJ267)</f>
        <v>3000000</v>
      </c>
      <c r="AK264" s="1597">
        <f>SUM(AK265:AK267)</f>
        <v>10897423.6</v>
      </c>
      <c r="AL264" s="1577">
        <f>(AF264/AF7)</f>
        <v>1.9887097447660483E-3</v>
      </c>
      <c r="AM264" s="1598">
        <f>+AM265+AM266+AM267</f>
        <v>0</v>
      </c>
      <c r="AN264" s="1599">
        <f t="shared" ref="AN264:AU264" si="241">SUM(AN265:AN267)</f>
        <v>198395635.30000001</v>
      </c>
      <c r="AO264" s="1600">
        <f t="shared" si="241"/>
        <v>181750000</v>
      </c>
      <c r="AP264" s="1599">
        <f t="shared" si="241"/>
        <v>16645635.299999997</v>
      </c>
      <c r="AQ264" s="1601">
        <f t="shared" si="241"/>
        <v>4645635.299999997</v>
      </c>
      <c r="AR264" s="1600">
        <f t="shared" si="241"/>
        <v>3000000</v>
      </c>
      <c r="AS264" s="1600">
        <f t="shared" si="241"/>
        <v>5000000</v>
      </c>
      <c r="AT264" s="1600">
        <f t="shared" si="241"/>
        <v>4000000</v>
      </c>
      <c r="AU264" s="1602">
        <f t="shared" si="241"/>
        <v>363830903.66000003</v>
      </c>
      <c r="AV264" s="1603">
        <f>AM264/$AM$7</f>
        <v>0</v>
      </c>
      <c r="AW264" s="1631">
        <f>+AW265+AW266+AW267</f>
        <v>91080.285000000003</v>
      </c>
      <c r="AX264" s="1592">
        <f>AW264/$AW$7</f>
        <v>1.715491545987369E-3</v>
      </c>
    </row>
    <row r="265" spans="1:50" ht="15.75" customHeight="1" x14ac:dyDescent="0.25">
      <c r="A265" s="1520" t="s">
        <v>328</v>
      </c>
      <c r="B265" s="2009" t="s">
        <v>329</v>
      </c>
      <c r="C265" s="2004"/>
      <c r="D265" s="1608">
        <f>+G265+Y265+AG265+AN265</f>
        <v>5430000</v>
      </c>
      <c r="E265" s="1552">
        <f>SUM(G265+Y265+AG265+AN265)</f>
        <v>5430000</v>
      </c>
      <c r="F265" s="1447">
        <f>+X265+AF265+AM265+AW265</f>
        <v>3000</v>
      </c>
      <c r="G265" s="1608">
        <f>SUM(H265:W265)</f>
        <v>2080000</v>
      </c>
      <c r="H265" s="1103"/>
      <c r="I265" s="1103"/>
      <c r="J265" s="1103"/>
      <c r="K265" s="1103"/>
      <c r="L265" s="78"/>
      <c r="M265" s="1586"/>
      <c r="N265" s="1103"/>
      <c r="O265" s="1103"/>
      <c r="P265" s="78"/>
      <c r="Q265" s="1103"/>
      <c r="R265" s="1586"/>
      <c r="S265" s="1586"/>
      <c r="T265" s="1586">
        <v>2080000</v>
      </c>
      <c r="U265" s="1586"/>
      <c r="V265" s="1586"/>
      <c r="W265" s="1586"/>
      <c r="X265" s="1588">
        <v>0</v>
      </c>
      <c r="Y265" s="1561">
        <f>SUM(Z265:AD265)</f>
        <v>0</v>
      </c>
      <c r="Z265" s="1586"/>
      <c r="AA265" s="1586"/>
      <c r="AB265" s="1586"/>
      <c r="AC265" s="1586"/>
      <c r="AD265" s="1586"/>
      <c r="AE265" s="1609">
        <f>X265/$X$7</f>
        <v>0</v>
      </c>
      <c r="AF265" s="1561">
        <f>3000000/1000</f>
        <v>3000</v>
      </c>
      <c r="AG265" s="1576">
        <f>SUM(AH265:AK265)</f>
        <v>0</v>
      </c>
      <c r="AH265" s="1638">
        <v>0</v>
      </c>
      <c r="AI265" s="1639">
        <v>0</v>
      </c>
      <c r="AJ265" s="1600">
        <v>0</v>
      </c>
      <c r="AK265" s="1600">
        <v>0</v>
      </c>
      <c r="AL265" s="1613">
        <f>(AF265/AF7)</f>
        <v>1.9887097447660483E-3</v>
      </c>
      <c r="AM265" s="1614">
        <f>AG265/1000</f>
        <v>0</v>
      </c>
      <c r="AN265" s="1615">
        <f>SUM(AO265+AP265)</f>
        <v>3350000</v>
      </c>
      <c r="AO265" s="1600">
        <v>2150000</v>
      </c>
      <c r="AP265" s="1738">
        <f>SUM(AQ265:AT265)</f>
        <v>1200000</v>
      </c>
      <c r="AQ265" s="1601">
        <v>1200000</v>
      </c>
      <c r="AR265" s="1600">
        <v>0</v>
      </c>
      <c r="AS265" s="1600">
        <v>0</v>
      </c>
      <c r="AT265" s="1600">
        <v>0</v>
      </c>
      <c r="AU265" s="1616">
        <f>SUM(AN265+AG265+Y265+G265)</f>
        <v>5430000</v>
      </c>
      <c r="AV265" s="1617">
        <f>AM265/$AM$7</f>
        <v>0</v>
      </c>
      <c r="AW265" s="1627">
        <v>0</v>
      </c>
      <c r="AX265" s="1619">
        <f>AW265/$AW$7</f>
        <v>0</v>
      </c>
    </row>
    <row r="266" spans="1:50" ht="15.75" customHeight="1" x14ac:dyDescent="0.25">
      <c r="A266" s="1520" t="s">
        <v>330</v>
      </c>
      <c r="B266" s="2009" t="s">
        <v>331</v>
      </c>
      <c r="C266" s="2004"/>
      <c r="D266" s="1608">
        <f>+G266+Y266+AG266+AN266</f>
        <v>7000000</v>
      </c>
      <c r="E266" s="1552">
        <f>SUM(G266+Y266+AG266+AN266)</f>
        <v>7000000</v>
      </c>
      <c r="F266" s="1447">
        <f>+X266+AF266+AM266+AW266</f>
        <v>4000</v>
      </c>
      <c r="G266" s="1608">
        <f>SUM(H266:W266)</f>
        <v>7000000</v>
      </c>
      <c r="H266" s="1103"/>
      <c r="I266" s="1103"/>
      <c r="J266" s="1103"/>
      <c r="K266" s="1103">
        <v>7000000</v>
      </c>
      <c r="L266" s="78">
        <v>0</v>
      </c>
      <c r="M266" s="1586"/>
      <c r="N266" s="1103"/>
      <c r="O266" s="1103"/>
      <c r="P266" s="78"/>
      <c r="Q266" s="1103"/>
      <c r="R266" s="1586"/>
      <c r="S266" s="1586"/>
      <c r="T266" s="1586"/>
      <c r="U266" s="1586"/>
      <c r="V266" s="1586"/>
      <c r="W266" s="1586"/>
      <c r="X266" s="1588">
        <f>4000000/1000</f>
        <v>4000</v>
      </c>
      <c r="Y266" s="1561">
        <f>SUM(Z266:AD266)</f>
        <v>0</v>
      </c>
      <c r="Z266" s="1586"/>
      <c r="AA266" s="1586"/>
      <c r="AB266" s="1586"/>
      <c r="AC266" s="1586"/>
      <c r="AD266" s="1586"/>
      <c r="AE266" s="1609">
        <f>X266/$X$7</f>
        <v>9.3383869548948001E-4</v>
      </c>
      <c r="AF266" s="1561">
        <v>0</v>
      </c>
      <c r="AG266" s="1576">
        <f>SUM(AH266:AK266)</f>
        <v>0</v>
      </c>
      <c r="AH266" s="1611">
        <v>0</v>
      </c>
      <c r="AI266" s="1612">
        <v>0</v>
      </c>
      <c r="AJ266" s="1600">
        <v>0</v>
      </c>
      <c r="AK266" s="1600">
        <v>0</v>
      </c>
      <c r="AL266" s="1613">
        <f>(AF266/AF7)</f>
        <v>0</v>
      </c>
      <c r="AM266" s="1614">
        <f>AG266/1000</f>
        <v>0</v>
      </c>
      <c r="AN266" s="1615">
        <f>SUM(AO266+AP266)</f>
        <v>0</v>
      </c>
      <c r="AO266" s="1600">
        <v>0</v>
      </c>
      <c r="AP266" s="1738">
        <f>SUM(AQ266:AT266)</f>
        <v>0</v>
      </c>
      <c r="AQ266" s="1601">
        <v>0</v>
      </c>
      <c r="AR266" s="1600">
        <v>0</v>
      </c>
      <c r="AS266" s="1600">
        <v>0</v>
      </c>
      <c r="AT266" s="1600">
        <v>0</v>
      </c>
      <c r="AU266" s="1616">
        <f>SUM(AN266+AG266+Y266+G266)</f>
        <v>7000000</v>
      </c>
      <c r="AV266" s="1617">
        <f>AM266/$AM$7</f>
        <v>0</v>
      </c>
      <c r="AW266" s="1627">
        <v>0</v>
      </c>
      <c r="AX266" s="1619">
        <f>AW266/$AW$7</f>
        <v>0</v>
      </c>
    </row>
    <row r="267" spans="1:50" s="1464" customFormat="1" ht="15.75" customHeight="1" x14ac:dyDescent="0.25">
      <c r="A267" s="1652" t="s">
        <v>332</v>
      </c>
      <c r="B267" s="2006" t="s">
        <v>333</v>
      </c>
      <c r="C267" s="2007"/>
      <c r="D267" s="1608">
        <f>+G267+Y267+AG267+AN267</f>
        <v>351400903.65999997</v>
      </c>
      <c r="E267" s="1621">
        <f>SUM(G267+Y267+AG267+AN267)</f>
        <v>351400903.65999997</v>
      </c>
      <c r="F267" s="1447">
        <f>+X267+AF267+AM267+AW267</f>
        <v>91264.035000000003</v>
      </c>
      <c r="G267" s="1608">
        <f>SUM(H267:W267)</f>
        <v>112981768.29000001</v>
      </c>
      <c r="H267" s="78"/>
      <c r="I267" s="78">
        <v>6167794</v>
      </c>
      <c r="J267" s="78">
        <v>10574266.58</v>
      </c>
      <c r="K267" s="78">
        <v>8100000</v>
      </c>
      <c r="L267" s="78">
        <v>0</v>
      </c>
      <c r="M267" s="1586">
        <v>6300000</v>
      </c>
      <c r="N267" s="78"/>
      <c r="O267" s="78">
        <v>348795</v>
      </c>
      <c r="P267" s="78">
        <v>7225950</v>
      </c>
      <c r="Q267" s="78">
        <v>6300000</v>
      </c>
      <c r="R267" s="1586">
        <v>370388.7</v>
      </c>
      <c r="S267" s="1586">
        <v>23136117.370000001</v>
      </c>
      <c r="T267" s="1586">
        <v>4198907.7</v>
      </c>
      <c r="U267" s="1586">
        <v>6300000</v>
      </c>
      <c r="V267" s="1586">
        <v>31959548.940000001</v>
      </c>
      <c r="W267" s="1586">
        <v>2000000</v>
      </c>
      <c r="X267" s="1588">
        <f>183750/1000</f>
        <v>183.75</v>
      </c>
      <c r="Y267" s="1561">
        <f>SUM(Z267:AD267)</f>
        <v>22020726.09</v>
      </c>
      <c r="Z267" s="1586">
        <f>22020726.09-16000000</f>
        <v>6020726.0899999999</v>
      </c>
      <c r="AA267" s="1586">
        <v>4000000</v>
      </c>
      <c r="AB267" s="1586">
        <v>4000000</v>
      </c>
      <c r="AC267" s="1586">
        <v>4000000</v>
      </c>
      <c r="AD267" s="1586">
        <v>4000000</v>
      </c>
      <c r="AE267" s="1609">
        <f>X267/$X$7</f>
        <v>4.2898215074047989E-5</v>
      </c>
      <c r="AF267" s="1561">
        <v>0</v>
      </c>
      <c r="AG267" s="1576">
        <f>SUM(AH267:AK267)</f>
        <v>21352773.979999997</v>
      </c>
      <c r="AH267" s="1611">
        <v>4455350.38</v>
      </c>
      <c r="AI267" s="1612">
        <v>3000000</v>
      </c>
      <c r="AJ267" s="1600">
        <v>3000000</v>
      </c>
      <c r="AK267" s="1600">
        <v>10897423.6</v>
      </c>
      <c r="AL267" s="1613">
        <f>(AF267/AF7)</f>
        <v>0</v>
      </c>
      <c r="AM267" s="1614">
        <v>0</v>
      </c>
      <c r="AN267" s="1615">
        <f>SUM(AO267+AP267)</f>
        <v>195045635.30000001</v>
      </c>
      <c r="AO267" s="1622">
        <v>179600000</v>
      </c>
      <c r="AP267" s="1738">
        <f>SUM(AQ267:AT267)</f>
        <v>15445635.299999997</v>
      </c>
      <c r="AQ267" s="1793">
        <f>65445635.3-50000000-8000000-4000000</f>
        <v>3445635.299999997</v>
      </c>
      <c r="AR267" s="1622">
        <v>3000000</v>
      </c>
      <c r="AS267" s="1600">
        <v>5000000</v>
      </c>
      <c r="AT267" s="1600">
        <v>4000000</v>
      </c>
      <c r="AU267" s="1616">
        <f>SUM(AN267+AG267+Y267+G267)</f>
        <v>351400903.66000003</v>
      </c>
      <c r="AV267" s="1617">
        <f>AM267/$AM$7</f>
        <v>0</v>
      </c>
      <c r="AW267" s="1627">
        <f>91080285/1000</f>
        <v>91080.285000000003</v>
      </c>
      <c r="AX267" s="1619">
        <f>AW267/$AW$7</f>
        <v>1.715491545987369E-3</v>
      </c>
    </row>
    <row r="268" spans="1:50" ht="15.75" customHeight="1" x14ac:dyDescent="0.25">
      <c r="A268" s="1652"/>
      <c r="B268" s="1809"/>
      <c r="C268" s="1810"/>
      <c r="D268" s="1608"/>
      <c r="E268" s="1621"/>
      <c r="F268" s="1447"/>
      <c r="G268" s="1608"/>
      <c r="H268" s="78"/>
      <c r="I268" s="78"/>
      <c r="J268" s="78"/>
      <c r="K268" s="78"/>
      <c r="L268" s="78"/>
      <c r="M268" s="1586"/>
      <c r="N268" s="78"/>
      <c r="O268" s="78"/>
      <c r="P268" s="78"/>
      <c r="Q268" s="78"/>
      <c r="R268" s="1586"/>
      <c r="S268" s="1586"/>
      <c r="T268" s="1586"/>
      <c r="U268" s="1586"/>
      <c r="V268" s="1586"/>
      <c r="W268" s="1586"/>
      <c r="X268" s="1588"/>
      <c r="Y268" s="1586"/>
      <c r="Z268" s="1586"/>
      <c r="AA268" s="1586"/>
      <c r="AB268" s="1586"/>
      <c r="AC268" s="1586"/>
      <c r="AD268" s="1586"/>
      <c r="AE268" s="1575"/>
      <c r="AF268" s="1561"/>
      <c r="AG268" s="1576"/>
      <c r="AH268" s="1611"/>
      <c r="AI268" s="1612"/>
      <c r="AJ268" s="1600"/>
      <c r="AK268" s="1600"/>
      <c r="AL268" s="1613"/>
      <c r="AM268" s="1614"/>
      <c r="AN268" s="1599"/>
      <c r="AO268" s="1600"/>
      <c r="AP268" s="1599"/>
      <c r="AQ268" s="1601"/>
      <c r="AR268" s="1600"/>
      <c r="AS268" s="1600"/>
      <c r="AT268" s="1600"/>
      <c r="AU268" s="1616"/>
      <c r="AV268" s="1603"/>
      <c r="AW268" s="1627"/>
      <c r="AX268" s="1592"/>
    </row>
    <row r="269" spans="1:50" s="1464" customFormat="1" ht="15.75" customHeight="1" x14ac:dyDescent="0.25">
      <c r="A269" s="1770" t="s">
        <v>334</v>
      </c>
      <c r="B269" s="2010" t="s">
        <v>335</v>
      </c>
      <c r="C269" s="2012"/>
      <c r="D269" s="1573">
        <f>SUM(D271:D273)</f>
        <v>214000000</v>
      </c>
      <c r="E269" s="1811">
        <f>SUM(G269+Y269+AG269+AN269)</f>
        <v>214000000</v>
      </c>
      <c r="F269" s="1495">
        <f>+X269+AF269+AM269+AW269</f>
        <v>355994.34500000003</v>
      </c>
      <c r="G269" s="1573">
        <f>SUM(H269:W269)</f>
        <v>200000000</v>
      </c>
      <c r="H269" s="1647">
        <f t="shared" ref="H269:W269" si="242">SUM(H271:H273)</f>
        <v>0</v>
      </c>
      <c r="I269" s="1647">
        <f t="shared" si="242"/>
        <v>0</v>
      </c>
      <c r="J269" s="1647">
        <f t="shared" si="242"/>
        <v>0</v>
      </c>
      <c r="K269" s="1647">
        <f t="shared" si="242"/>
        <v>0</v>
      </c>
      <c r="L269" s="1647">
        <f t="shared" si="242"/>
        <v>0</v>
      </c>
      <c r="M269" s="1647">
        <f t="shared" si="242"/>
        <v>0</v>
      </c>
      <c r="N269" s="1647">
        <f t="shared" si="242"/>
        <v>0</v>
      </c>
      <c r="O269" s="1647">
        <f t="shared" si="242"/>
        <v>0</v>
      </c>
      <c r="P269" s="1647">
        <f t="shared" si="242"/>
        <v>0</v>
      </c>
      <c r="Q269" s="1647">
        <f t="shared" si="242"/>
        <v>0</v>
      </c>
      <c r="R269" s="1647">
        <f t="shared" si="242"/>
        <v>0</v>
      </c>
      <c r="S269" s="1647">
        <f t="shared" si="242"/>
        <v>0</v>
      </c>
      <c r="T269" s="1647">
        <f t="shared" si="242"/>
        <v>200000000</v>
      </c>
      <c r="U269" s="1647">
        <f t="shared" si="242"/>
        <v>0</v>
      </c>
      <c r="V269" s="1647">
        <f t="shared" si="242"/>
        <v>0</v>
      </c>
      <c r="W269" s="1647">
        <f t="shared" si="242"/>
        <v>0</v>
      </c>
      <c r="X269" s="1628">
        <f>X270+X271</f>
        <v>252858.72200000001</v>
      </c>
      <c r="Y269" s="1647">
        <f t="shared" ref="Y269:AD269" si="243">SUM(Y271:Y273)</f>
        <v>0</v>
      </c>
      <c r="Z269" s="1647">
        <f t="shared" si="243"/>
        <v>0</v>
      </c>
      <c r="AA269" s="1647">
        <f t="shared" si="243"/>
        <v>0</v>
      </c>
      <c r="AB269" s="1647">
        <f t="shared" si="243"/>
        <v>0</v>
      </c>
      <c r="AC269" s="1647">
        <f t="shared" si="243"/>
        <v>0</v>
      </c>
      <c r="AD269" s="1647">
        <f t="shared" si="243"/>
        <v>0</v>
      </c>
      <c r="AE269" s="1575">
        <f>X269/$X$7</f>
        <v>5.9032314773904269E-2</v>
      </c>
      <c r="AF269" s="1557">
        <f>AF270+AF271</f>
        <v>37013.561000000002</v>
      </c>
      <c r="AG269" s="1576">
        <f>SUM(AG271)</f>
        <v>0</v>
      </c>
      <c r="AH269" s="1611">
        <v>0</v>
      </c>
      <c r="AI269" s="1612">
        <v>0</v>
      </c>
      <c r="AJ269" s="1597">
        <f>SUM(AJ271:AJ273)</f>
        <v>0</v>
      </c>
      <c r="AK269" s="1597">
        <f>SUM(AK271:AK273)</f>
        <v>0</v>
      </c>
      <c r="AL269" s="1577">
        <f>(AF269/AF7)</f>
        <v>2.4536409816397521E-2</v>
      </c>
      <c r="AM269" s="1598">
        <f>+AM271</f>
        <v>32383.275000000001</v>
      </c>
      <c r="AN269" s="1599">
        <f t="shared" ref="AN269:AU269" si="244">SUM(AN271:AN273)</f>
        <v>14000000</v>
      </c>
      <c r="AO269" s="1622">
        <f t="shared" si="244"/>
        <v>14000000</v>
      </c>
      <c r="AP269" s="1812">
        <f t="shared" si="244"/>
        <v>0</v>
      </c>
      <c r="AQ269" s="1793">
        <f t="shared" si="244"/>
        <v>0</v>
      </c>
      <c r="AR269" s="1622">
        <f t="shared" si="244"/>
        <v>0</v>
      </c>
      <c r="AS269" s="1622">
        <f t="shared" si="244"/>
        <v>0</v>
      </c>
      <c r="AT269" s="1622">
        <f t="shared" si="244"/>
        <v>0</v>
      </c>
      <c r="AU269" s="1602">
        <f t="shared" si="244"/>
        <v>214000000</v>
      </c>
      <c r="AV269" s="1603">
        <f>AM269/$AM$7</f>
        <v>5.2394975858902357E-3</v>
      </c>
      <c r="AW269" s="1631">
        <f>+AW271</f>
        <v>33738.786999999997</v>
      </c>
      <c r="AX269" s="1592">
        <f>AW269/$AW$7</f>
        <v>6.3546797059724333E-4</v>
      </c>
    </row>
    <row r="270" spans="1:50" s="1464" customFormat="1" ht="15.75" customHeight="1" x14ac:dyDescent="0.25">
      <c r="A270" s="1652" t="s">
        <v>336</v>
      </c>
      <c r="B270" s="1809" t="s">
        <v>945</v>
      </c>
      <c r="C270" s="1813"/>
      <c r="D270" s="1573"/>
      <c r="E270" s="1811"/>
      <c r="F270" s="1447">
        <f>+X270+AF270+AM270+AW270</f>
        <v>135500</v>
      </c>
      <c r="G270" s="1573"/>
      <c r="H270" s="1647"/>
      <c r="I270" s="1647"/>
      <c r="J270" s="1647"/>
      <c r="K270" s="1647"/>
      <c r="L270" s="1647"/>
      <c r="M270" s="1647"/>
      <c r="N270" s="1647"/>
      <c r="O270" s="1647"/>
      <c r="P270" s="1647"/>
      <c r="Q270" s="1647"/>
      <c r="R270" s="1647"/>
      <c r="S270" s="1647"/>
      <c r="T270" s="1647"/>
      <c r="U270" s="1647"/>
      <c r="V270" s="1647"/>
      <c r="W270" s="1647"/>
      <c r="X270" s="1588">
        <f>135500000/1000</f>
        <v>135500</v>
      </c>
      <c r="Y270" s="1647"/>
      <c r="Z270" s="1647"/>
      <c r="AA270" s="1647"/>
      <c r="AB270" s="1647"/>
      <c r="AC270" s="1647"/>
      <c r="AD270" s="1647"/>
      <c r="AE270" s="1609">
        <f>X270/$X$7</f>
        <v>3.1633785809706133E-2</v>
      </c>
      <c r="AF270" s="1561">
        <v>0</v>
      </c>
      <c r="AG270" s="1576"/>
      <c r="AH270" s="1611"/>
      <c r="AI270" s="1612"/>
      <c r="AJ270" s="1597"/>
      <c r="AK270" s="1597"/>
      <c r="AL270" s="1613">
        <f>(AF270/AF7)</f>
        <v>0</v>
      </c>
      <c r="AM270" s="1598"/>
      <c r="AN270" s="1599"/>
      <c r="AO270" s="1622"/>
      <c r="AP270" s="1812"/>
      <c r="AQ270" s="1793"/>
      <c r="AR270" s="1622"/>
      <c r="AS270" s="1622"/>
      <c r="AT270" s="1622"/>
      <c r="AU270" s="1602"/>
      <c r="AV270" s="1603"/>
      <c r="AW270" s="1631"/>
      <c r="AX270" s="1592"/>
    </row>
    <row r="271" spans="1:50" s="1464" customFormat="1" ht="15.75" customHeight="1" x14ac:dyDescent="0.25">
      <c r="A271" s="1652" t="s">
        <v>658</v>
      </c>
      <c r="B271" s="2006" t="s">
        <v>659</v>
      </c>
      <c r="C271" s="2007"/>
      <c r="D271" s="1608">
        <f>+G271+Y271+AG271+AN271</f>
        <v>214000000</v>
      </c>
      <c r="E271" s="1621">
        <f>SUM(G271+Y271+AG271+AN271)</f>
        <v>214000000</v>
      </c>
      <c r="F271" s="1447">
        <f>+X271+AF271+AM271+AW271</f>
        <v>220494.34499999997</v>
      </c>
      <c r="G271" s="1608">
        <f>SUM(H271:W271)</f>
        <v>200000000</v>
      </c>
      <c r="H271" s="78"/>
      <c r="I271" s="78"/>
      <c r="J271" s="78"/>
      <c r="K271" s="78"/>
      <c r="L271" s="78"/>
      <c r="M271" s="1586"/>
      <c r="N271" s="78"/>
      <c r="O271" s="78"/>
      <c r="P271" s="78"/>
      <c r="Q271" s="78"/>
      <c r="R271" s="1586"/>
      <c r="S271" s="1586"/>
      <c r="T271" s="1586">
        <v>200000000</v>
      </c>
      <c r="U271" s="1586"/>
      <c r="V271" s="1586"/>
      <c r="W271" s="1586"/>
      <c r="X271" s="1588">
        <f>117358722/1000</f>
        <v>117358.72199999999</v>
      </c>
      <c r="Y271" s="1561">
        <f>SUM(Z271:AD271)</f>
        <v>0</v>
      </c>
      <c r="Z271" s="1586"/>
      <c r="AA271" s="1586"/>
      <c r="AB271" s="1586"/>
      <c r="AC271" s="1586"/>
      <c r="AD271" s="1586"/>
      <c r="AE271" s="1609">
        <f>X271/$X$7</f>
        <v>2.7398528964198133E-2</v>
      </c>
      <c r="AF271" s="1561">
        <f>37013561/1000</f>
        <v>37013.561000000002</v>
      </c>
      <c r="AG271" s="1576">
        <f>SUM(AH271:AK271)</f>
        <v>0</v>
      </c>
      <c r="AH271" s="1611">
        <v>0</v>
      </c>
      <c r="AI271" s="1612">
        <v>0</v>
      </c>
      <c r="AJ271" s="1600">
        <v>0</v>
      </c>
      <c r="AK271" s="1600">
        <v>0</v>
      </c>
      <c r="AL271" s="1613">
        <f>(AF271/AF7)</f>
        <v>2.4536409816397521E-2</v>
      </c>
      <c r="AM271" s="1614">
        <f>32383275/1000</f>
        <v>32383.275000000001</v>
      </c>
      <c r="AN271" s="1615">
        <f>SUM(AO271+AP271)</f>
        <v>14000000</v>
      </c>
      <c r="AO271" s="1622">
        <v>14000000</v>
      </c>
      <c r="AP271" s="1738">
        <f>SUM(AQ271:AT271)</f>
        <v>0</v>
      </c>
      <c r="AQ271" s="1793">
        <v>0</v>
      </c>
      <c r="AR271" s="1622">
        <v>0</v>
      </c>
      <c r="AS271" s="1622">
        <v>0</v>
      </c>
      <c r="AT271" s="1622">
        <v>0</v>
      </c>
      <c r="AU271" s="1616">
        <f>SUM(AN271+AG271+Y271+G271)</f>
        <v>214000000</v>
      </c>
      <c r="AV271" s="1603">
        <f>AM271/$AM$7</f>
        <v>5.2394975858902357E-3</v>
      </c>
      <c r="AW271" s="1627">
        <f>33738787/1000</f>
        <v>33738.786999999997</v>
      </c>
      <c r="AX271" s="1592">
        <f>AW271/$AW$7</f>
        <v>6.3546797059724333E-4</v>
      </c>
    </row>
    <row r="272" spans="1:50" s="1464" customFormat="1" ht="15.75" hidden="1" customHeight="1" x14ac:dyDescent="0.25">
      <c r="A272" s="1652" t="s">
        <v>926</v>
      </c>
      <c r="B272" s="2006" t="s">
        <v>925</v>
      </c>
      <c r="C272" s="2007"/>
      <c r="D272" s="1608">
        <f>+G272+Y272+AG272+AN272</f>
        <v>0</v>
      </c>
      <c r="E272" s="1621">
        <f>SUM(G272+Y272+AG272+AN272)</f>
        <v>0</v>
      </c>
      <c r="F272" s="1447">
        <f>+X272+AF272+AM272+AW272</f>
        <v>0</v>
      </c>
      <c r="G272" s="1573">
        <f>SUM(H272:W272)</f>
        <v>0</v>
      </c>
      <c r="H272" s="78"/>
      <c r="I272" s="78"/>
      <c r="J272" s="78"/>
      <c r="K272" s="78"/>
      <c r="L272" s="78"/>
      <c r="M272" s="1586"/>
      <c r="N272" s="78"/>
      <c r="O272" s="78"/>
      <c r="P272" s="78"/>
      <c r="Q272" s="78"/>
      <c r="R272" s="1586"/>
      <c r="S272" s="1586"/>
      <c r="T272" s="1586"/>
      <c r="U272" s="1586"/>
      <c r="V272" s="1586"/>
      <c r="W272" s="1586"/>
      <c r="X272" s="1588">
        <f>G272/1000</f>
        <v>0</v>
      </c>
      <c r="Y272" s="1586"/>
      <c r="Z272" s="1586"/>
      <c r="AA272" s="1586"/>
      <c r="AB272" s="1586"/>
      <c r="AC272" s="1586"/>
      <c r="AD272" s="1586"/>
      <c r="AE272" s="1575">
        <f>X272/$X$7*100</f>
        <v>0</v>
      </c>
      <c r="AF272" s="1561">
        <f>Y272/1000</f>
        <v>0</v>
      </c>
      <c r="AG272" s="1576">
        <f>SUM(AH272:AJ272)</f>
        <v>0</v>
      </c>
      <c r="AH272" s="1611"/>
      <c r="AI272" s="783"/>
      <c r="AJ272" s="1600">
        <v>0</v>
      </c>
      <c r="AK272" s="1600">
        <v>0</v>
      </c>
      <c r="AL272" s="1613" t="e">
        <f>(AF272/AF8)*100</f>
        <v>#DIV/0!</v>
      </c>
      <c r="AM272" s="1614">
        <f>AG272/1000</f>
        <v>0</v>
      </c>
      <c r="AN272" s="1599">
        <v>0</v>
      </c>
      <c r="AO272" s="1622">
        <v>0</v>
      </c>
      <c r="AP272" s="1812">
        <v>0</v>
      </c>
      <c r="AQ272" s="1793">
        <v>0</v>
      </c>
      <c r="AR272" s="1622">
        <v>0</v>
      </c>
      <c r="AS272" s="1622">
        <v>0</v>
      </c>
      <c r="AT272" s="1622">
        <v>0</v>
      </c>
      <c r="AU272" s="1616">
        <v>0</v>
      </c>
      <c r="AV272" s="1603">
        <f>AM272/$AM$7</f>
        <v>0</v>
      </c>
      <c r="AW272" s="1627">
        <f>AN272/1000</f>
        <v>0</v>
      </c>
      <c r="AX272" s="1592">
        <f>AW272/$AW$7</f>
        <v>0</v>
      </c>
    </row>
    <row r="273" spans="1:50" s="1464" customFormat="1" ht="15.75" hidden="1" customHeight="1" x14ac:dyDescent="0.25">
      <c r="A273" s="1652" t="s">
        <v>924</v>
      </c>
      <c r="B273" s="2006" t="s">
        <v>923</v>
      </c>
      <c r="C273" s="2007"/>
      <c r="D273" s="1608">
        <f>+G273+Y273+AG273+AN273</f>
        <v>0</v>
      </c>
      <c r="E273" s="1621">
        <f>SUM(G273+Y273+AG273+AN273)</f>
        <v>0</v>
      </c>
      <c r="F273" s="1447">
        <f>+X273+AF273+AM273+AW273</f>
        <v>0</v>
      </c>
      <c r="G273" s="1573">
        <f>SUM(H273:W273)</f>
        <v>0</v>
      </c>
      <c r="H273" s="78"/>
      <c r="I273" s="78"/>
      <c r="J273" s="78"/>
      <c r="K273" s="78"/>
      <c r="L273" s="78"/>
      <c r="M273" s="1586"/>
      <c r="N273" s="78"/>
      <c r="O273" s="78"/>
      <c r="P273" s="78"/>
      <c r="Q273" s="78"/>
      <c r="R273" s="1586"/>
      <c r="S273" s="1586"/>
      <c r="T273" s="1586"/>
      <c r="U273" s="1586"/>
      <c r="V273" s="1586"/>
      <c r="W273" s="1586"/>
      <c r="X273" s="1588">
        <f>G273/1000</f>
        <v>0</v>
      </c>
      <c r="Y273" s="1586"/>
      <c r="Z273" s="1586"/>
      <c r="AA273" s="1586"/>
      <c r="AB273" s="1586"/>
      <c r="AC273" s="1586"/>
      <c r="AD273" s="1586"/>
      <c r="AE273" s="1575">
        <f>X273/$X$7*100</f>
        <v>0</v>
      </c>
      <c r="AF273" s="1561">
        <f>Y273/1000</f>
        <v>0</v>
      </c>
      <c r="AG273" s="1576">
        <f>SUM(AH273:AJ273)</f>
        <v>0</v>
      </c>
      <c r="AH273" s="1638">
        <f>SUM(AH274:AH276)</f>
        <v>0</v>
      </c>
      <c r="AI273" s="1639">
        <f>SUM(AI274:AI276)</f>
        <v>0</v>
      </c>
      <c r="AJ273" s="1600">
        <v>0</v>
      </c>
      <c r="AK273" s="1600">
        <v>0</v>
      </c>
      <c r="AL273" s="1613">
        <f>(AF273/AF9)*100</f>
        <v>0</v>
      </c>
      <c r="AM273" s="1614">
        <f>AG273/1000</f>
        <v>0</v>
      </c>
      <c r="AN273" s="1599">
        <v>0</v>
      </c>
      <c r="AO273" s="1622">
        <v>0</v>
      </c>
      <c r="AP273" s="1812">
        <v>0</v>
      </c>
      <c r="AQ273" s="1793">
        <v>0</v>
      </c>
      <c r="AR273" s="1622">
        <v>0</v>
      </c>
      <c r="AS273" s="1622">
        <v>0</v>
      </c>
      <c r="AT273" s="1622">
        <v>0</v>
      </c>
      <c r="AU273" s="1616">
        <v>0</v>
      </c>
      <c r="AV273" s="1603">
        <f>AM273/$AM$7</f>
        <v>0</v>
      </c>
      <c r="AW273" s="1627">
        <f>AN273/1000</f>
        <v>0</v>
      </c>
      <c r="AX273" s="1592">
        <f>AW273/$AW$7</f>
        <v>0</v>
      </c>
    </row>
    <row r="274" spans="1:50" s="1464" customFormat="1" ht="15.75" customHeight="1" x14ac:dyDescent="0.25">
      <c r="A274" s="1652"/>
      <c r="B274" s="1809"/>
      <c r="C274" s="1810"/>
      <c r="D274" s="1608"/>
      <c r="E274" s="1621"/>
      <c r="F274" s="1447"/>
      <c r="G274" s="1608"/>
      <c r="H274" s="78"/>
      <c r="I274" s="78"/>
      <c r="J274" s="78"/>
      <c r="K274" s="78"/>
      <c r="L274" s="78"/>
      <c r="M274" s="1586"/>
      <c r="N274" s="78"/>
      <c r="O274" s="78"/>
      <c r="P274" s="78"/>
      <c r="Q274" s="78"/>
      <c r="R274" s="1586"/>
      <c r="S274" s="1586"/>
      <c r="T274" s="1586"/>
      <c r="U274" s="1586"/>
      <c r="V274" s="1586"/>
      <c r="W274" s="1586"/>
      <c r="X274" s="1588"/>
      <c r="Y274" s="1586"/>
      <c r="Z274" s="1586"/>
      <c r="AA274" s="1586"/>
      <c r="AB274" s="1586"/>
      <c r="AC274" s="1586"/>
      <c r="AD274" s="1586"/>
      <c r="AE274" s="1575"/>
      <c r="AF274" s="1561"/>
      <c r="AG274" s="1576"/>
      <c r="AH274" s="1611"/>
      <c r="AI274" s="1612"/>
      <c r="AJ274" s="1612"/>
      <c r="AK274" s="1612"/>
      <c r="AL274" s="1613"/>
      <c r="AM274" s="1614"/>
      <c r="AN274" s="1599"/>
      <c r="AO274" s="1740"/>
      <c r="AP274" s="1814"/>
      <c r="AQ274" s="1815"/>
      <c r="AR274" s="1740"/>
      <c r="AS274" s="1740"/>
      <c r="AT274" s="1740"/>
      <c r="AU274" s="1616"/>
      <c r="AV274" s="1603"/>
      <c r="AW274" s="1627"/>
      <c r="AX274" s="1592"/>
    </row>
    <row r="275" spans="1:50" s="1464" customFormat="1" ht="15.75" customHeight="1" x14ac:dyDescent="0.25">
      <c r="A275" s="1770" t="s">
        <v>338</v>
      </c>
      <c r="B275" s="2010" t="s">
        <v>339</v>
      </c>
      <c r="C275" s="2012"/>
      <c r="D275" s="1573">
        <f>SUM(D276:D277)</f>
        <v>76536000</v>
      </c>
      <c r="E275" s="1811">
        <f>SUM(G275+Y275+AG275+AN275)</f>
        <v>76536000</v>
      </c>
      <c r="F275" s="1495">
        <f>+X275+AF275+AM275+AW275</f>
        <v>339318</v>
      </c>
      <c r="G275" s="1573">
        <f>SUM(H275:W275)</f>
        <v>61536000</v>
      </c>
      <c r="H275" s="1647">
        <f t="shared" ref="H275:W275" si="245">SUM(H276:H277)</f>
        <v>0</v>
      </c>
      <c r="I275" s="1647">
        <f t="shared" si="245"/>
        <v>0</v>
      </c>
      <c r="J275" s="1647">
        <f t="shared" si="245"/>
        <v>0</v>
      </c>
      <c r="K275" s="1647">
        <f t="shared" si="245"/>
        <v>0</v>
      </c>
      <c r="L275" s="1647">
        <f t="shared" si="245"/>
        <v>0</v>
      </c>
      <c r="M275" s="1647">
        <f t="shared" si="245"/>
        <v>0</v>
      </c>
      <c r="N275" s="1647">
        <f t="shared" si="245"/>
        <v>0</v>
      </c>
      <c r="O275" s="1647">
        <f t="shared" si="245"/>
        <v>0</v>
      </c>
      <c r="P275" s="1647">
        <f t="shared" si="245"/>
        <v>0</v>
      </c>
      <c r="Q275" s="1647">
        <f t="shared" si="245"/>
        <v>57000000</v>
      </c>
      <c r="R275" s="1647">
        <f t="shared" si="245"/>
        <v>0</v>
      </c>
      <c r="S275" s="1647">
        <f t="shared" si="245"/>
        <v>3536000</v>
      </c>
      <c r="T275" s="1647">
        <f t="shared" si="245"/>
        <v>0</v>
      </c>
      <c r="U275" s="1647">
        <f t="shared" si="245"/>
        <v>0</v>
      </c>
      <c r="V275" s="1647">
        <f t="shared" si="245"/>
        <v>0</v>
      </c>
      <c r="W275" s="1647">
        <f t="shared" si="245"/>
        <v>1000000</v>
      </c>
      <c r="X275" s="1628">
        <f>+X276+X277</f>
        <v>332318</v>
      </c>
      <c r="Y275" s="1647">
        <f t="shared" ref="Y275:AD275" si="246">SUM(Y276:Y277)</f>
        <v>0</v>
      </c>
      <c r="Z275" s="1647">
        <f t="shared" si="246"/>
        <v>0</v>
      </c>
      <c r="AA275" s="1647">
        <f t="shared" si="246"/>
        <v>0</v>
      </c>
      <c r="AB275" s="1647">
        <f t="shared" si="246"/>
        <v>0</v>
      </c>
      <c r="AC275" s="1647">
        <f t="shared" si="246"/>
        <v>0</v>
      </c>
      <c r="AD275" s="1647">
        <f t="shared" si="246"/>
        <v>0</v>
      </c>
      <c r="AE275" s="1575">
        <f>X275/$X$7</f>
        <v>7.7582851901918257E-2</v>
      </c>
      <c r="AF275" s="1557">
        <f>Y275/1000</f>
        <v>0</v>
      </c>
      <c r="AG275" s="1576">
        <f>SUM(AG276:AG277)</f>
        <v>15000000</v>
      </c>
      <c r="AH275" s="1689">
        <f>SUM(AH276:AH277)</f>
        <v>0</v>
      </c>
      <c r="AI275" s="1597">
        <f>SUM(AI276:AI277)</f>
        <v>0</v>
      </c>
      <c r="AJ275" s="1597">
        <f>SUM(AJ276:AJ277)</f>
        <v>0</v>
      </c>
      <c r="AK275" s="1597">
        <f>SUM(AK276:AK277)</f>
        <v>15000000</v>
      </c>
      <c r="AL275" s="1577">
        <f>(AF275/AF7)</f>
        <v>0</v>
      </c>
      <c r="AM275" s="1598">
        <f>+AM276+AM277</f>
        <v>5000</v>
      </c>
      <c r="AN275" s="1599">
        <f t="shared" ref="AN275:AU275" si="247">SUM(AN276:AN277)</f>
        <v>0</v>
      </c>
      <c r="AO275" s="1816">
        <f t="shared" si="247"/>
        <v>0</v>
      </c>
      <c r="AP275" s="1812">
        <f t="shared" si="247"/>
        <v>0</v>
      </c>
      <c r="AQ275" s="1817">
        <f t="shared" si="247"/>
        <v>0</v>
      </c>
      <c r="AR275" s="1816">
        <f t="shared" si="247"/>
        <v>0</v>
      </c>
      <c r="AS275" s="1816">
        <f t="shared" si="247"/>
        <v>0</v>
      </c>
      <c r="AT275" s="1816">
        <f t="shared" si="247"/>
        <v>0</v>
      </c>
      <c r="AU275" s="1602">
        <f t="shared" si="247"/>
        <v>76536000</v>
      </c>
      <c r="AV275" s="1603">
        <f>AM275/$AM$7</f>
        <v>8.0898204179321513E-4</v>
      </c>
      <c r="AW275" s="1631">
        <f>+AW276+AW277</f>
        <v>2000</v>
      </c>
      <c r="AX275" s="1592">
        <f>AW275/$AW$7</f>
        <v>3.7669876548747494E-5</v>
      </c>
    </row>
    <row r="276" spans="1:50" s="1464" customFormat="1" ht="15.75" customHeight="1" x14ac:dyDescent="0.25">
      <c r="A276" s="1652" t="s">
        <v>340</v>
      </c>
      <c r="B276" s="2006" t="s">
        <v>341</v>
      </c>
      <c r="C276" s="2007"/>
      <c r="D276" s="1608">
        <f>+G276+Y276+AG276+AN276</f>
        <v>68644000</v>
      </c>
      <c r="E276" s="1621">
        <f>SUM(G276+Y276+AG276+AN276)</f>
        <v>68644000</v>
      </c>
      <c r="F276" s="1447">
        <f>+X276+AF276+AM276+AW276</f>
        <v>330918</v>
      </c>
      <c r="G276" s="1608">
        <f>SUM(H276:W276)</f>
        <v>58644000</v>
      </c>
      <c r="H276" s="78"/>
      <c r="I276" s="78"/>
      <c r="J276" s="78"/>
      <c r="K276" s="78"/>
      <c r="L276" s="78"/>
      <c r="M276" s="1586"/>
      <c r="N276" s="78"/>
      <c r="O276" s="78"/>
      <c r="P276" s="78"/>
      <c r="Q276" s="78">
        <v>57000000</v>
      </c>
      <c r="R276" s="1586"/>
      <c r="S276" s="1586">
        <v>1144000</v>
      </c>
      <c r="T276" s="1586"/>
      <c r="U276" s="1586"/>
      <c r="V276" s="1586"/>
      <c r="W276" s="1586">
        <v>500000</v>
      </c>
      <c r="X276" s="1588">
        <f>330918000/1000</f>
        <v>330918</v>
      </c>
      <c r="Y276" s="1561">
        <f>SUM(Z276:AD276)</f>
        <v>0</v>
      </c>
      <c r="Z276" s="1586">
        <v>0</v>
      </c>
      <c r="AA276" s="1586">
        <v>0</v>
      </c>
      <c r="AB276" s="1586">
        <v>0</v>
      </c>
      <c r="AC276" s="1586">
        <v>0</v>
      </c>
      <c r="AD276" s="1586">
        <v>0</v>
      </c>
      <c r="AE276" s="1609">
        <f>X276/$X$7</f>
        <v>7.7256008358496941E-2</v>
      </c>
      <c r="AF276" s="1561">
        <f>Y276/1000</f>
        <v>0</v>
      </c>
      <c r="AG276" s="1576">
        <f>SUM(AH276:AK276)</f>
        <v>10000000</v>
      </c>
      <c r="AH276" s="1645">
        <v>0</v>
      </c>
      <c r="AI276" s="1586">
        <v>0</v>
      </c>
      <c r="AJ276" s="1586"/>
      <c r="AK276" s="1586">
        <v>10000000</v>
      </c>
      <c r="AL276" s="1613">
        <f>(AF276/AF7)</f>
        <v>0</v>
      </c>
      <c r="AM276" s="1614">
        <v>0</v>
      </c>
      <c r="AN276" s="1615">
        <f>SUM(AO276+AP276)</f>
        <v>0</v>
      </c>
      <c r="AO276" s="1818"/>
      <c r="AP276" s="1738">
        <f>SUM(AQ276:AT276)</f>
        <v>0</v>
      </c>
      <c r="AQ276" s="1819"/>
      <c r="AR276" s="1818"/>
      <c r="AS276" s="1818"/>
      <c r="AT276" s="1818"/>
      <c r="AU276" s="1616">
        <f>SUM(AN276+AG276+Y276+G276)</f>
        <v>68644000</v>
      </c>
      <c r="AV276" s="1617">
        <f>AM276/$AM$7</f>
        <v>0</v>
      </c>
      <c r="AW276" s="1627">
        <f>AN276/1000</f>
        <v>0</v>
      </c>
      <c r="AX276" s="1619">
        <f>AW276/$AW$7</f>
        <v>0</v>
      </c>
    </row>
    <row r="277" spans="1:50" s="1464" customFormat="1" ht="15.75" customHeight="1" x14ac:dyDescent="0.25">
      <c r="A277" s="1652" t="s">
        <v>342</v>
      </c>
      <c r="B277" s="2006" t="s">
        <v>343</v>
      </c>
      <c r="C277" s="2007"/>
      <c r="D277" s="1608">
        <f>+G277+Y277+AG277+AN277</f>
        <v>7892000</v>
      </c>
      <c r="E277" s="1621">
        <f>SUM(G277+Y277+AG277+AN277)</f>
        <v>7892000</v>
      </c>
      <c r="F277" s="1447">
        <f>+X277+AF277+AM277+AW277</f>
        <v>8400</v>
      </c>
      <c r="G277" s="1608">
        <f>SUM(H277:W277)</f>
        <v>2892000</v>
      </c>
      <c r="H277" s="78"/>
      <c r="I277" s="78"/>
      <c r="J277" s="78"/>
      <c r="K277" s="78"/>
      <c r="L277" s="78"/>
      <c r="M277" s="1586"/>
      <c r="N277" s="78"/>
      <c r="O277" s="78"/>
      <c r="P277" s="78"/>
      <c r="Q277" s="78"/>
      <c r="R277" s="1586"/>
      <c r="S277" s="1586">
        <v>2392000</v>
      </c>
      <c r="T277" s="1586"/>
      <c r="U277" s="1586"/>
      <c r="V277" s="1586"/>
      <c r="W277" s="1586">
        <v>500000</v>
      </c>
      <c r="X277" s="1588">
        <f>1400000/1000</f>
        <v>1400</v>
      </c>
      <c r="Y277" s="1561">
        <f>SUM(Z277:AD277)</f>
        <v>0</v>
      </c>
      <c r="Z277" s="1586"/>
      <c r="AA277" s="1586"/>
      <c r="AB277" s="1586"/>
      <c r="AC277" s="1586"/>
      <c r="AD277" s="1586"/>
      <c r="AE277" s="1609">
        <f>X277/$X$7</f>
        <v>3.2684354342131798E-4</v>
      </c>
      <c r="AF277" s="1561">
        <f>Y277/1000</f>
        <v>0</v>
      </c>
      <c r="AG277" s="1576">
        <f>SUM(AH277:AK277)</f>
        <v>5000000</v>
      </c>
      <c r="AH277" s="1611">
        <v>0</v>
      </c>
      <c r="AI277" s="1612">
        <v>0</v>
      </c>
      <c r="AJ277" s="1612"/>
      <c r="AK277" s="1612">
        <v>5000000</v>
      </c>
      <c r="AL277" s="1613">
        <f>(AF277/AF7)</f>
        <v>0</v>
      </c>
      <c r="AM277" s="1614">
        <f>5000000/1000</f>
        <v>5000</v>
      </c>
      <c r="AN277" s="1615">
        <f>SUM(AO277+AP277)</f>
        <v>0</v>
      </c>
      <c r="AO277" s="1740"/>
      <c r="AP277" s="1738">
        <f>SUM(AQ277:AT277)</f>
        <v>0</v>
      </c>
      <c r="AQ277" s="1815"/>
      <c r="AR277" s="1740"/>
      <c r="AS277" s="1740"/>
      <c r="AT277" s="1740"/>
      <c r="AU277" s="1616">
        <f>SUM(AN277+AG277+Y277+G277)</f>
        <v>7892000</v>
      </c>
      <c r="AV277" s="1617">
        <f>AM277/$AM$7</f>
        <v>8.0898204179321513E-4</v>
      </c>
      <c r="AW277" s="1627">
        <f>2000000/1000</f>
        <v>2000</v>
      </c>
      <c r="AX277" s="1619">
        <f>AW277/$AW$7</f>
        <v>3.7669876548747494E-5</v>
      </c>
    </row>
    <row r="278" spans="1:50" ht="15.75" customHeight="1" x14ac:dyDescent="0.25">
      <c r="A278" s="1652"/>
      <c r="B278" s="1809"/>
      <c r="C278" s="1810"/>
      <c r="D278" s="1608"/>
      <c r="E278" s="1621"/>
      <c r="F278" s="1447"/>
      <c r="G278" s="1608"/>
      <c r="H278" s="78"/>
      <c r="I278" s="78"/>
      <c r="J278" s="78"/>
      <c r="K278" s="78"/>
      <c r="L278" s="78"/>
      <c r="M278" s="1586"/>
      <c r="N278" s="78"/>
      <c r="O278" s="78"/>
      <c r="P278" s="78"/>
      <c r="Q278" s="78"/>
      <c r="R278" s="1586"/>
      <c r="S278" s="1586"/>
      <c r="T278" s="1586"/>
      <c r="U278" s="1586"/>
      <c r="V278" s="1586"/>
      <c r="W278" s="1586"/>
      <c r="X278" s="1588"/>
      <c r="Y278" s="1586"/>
      <c r="Z278" s="1586"/>
      <c r="AA278" s="1586"/>
      <c r="AB278" s="1586"/>
      <c r="AC278" s="1586"/>
      <c r="AD278" s="1586"/>
      <c r="AE278" s="1575"/>
      <c r="AF278" s="1561"/>
      <c r="AG278" s="1576"/>
      <c r="AH278" s="1638"/>
      <c r="AI278" s="1639"/>
      <c r="AJ278" s="1639"/>
      <c r="AK278" s="1639"/>
      <c r="AL278" s="1613"/>
      <c r="AM278" s="1614"/>
      <c r="AN278" s="1599"/>
      <c r="AO278" s="1637"/>
      <c r="AP278" s="1783"/>
      <c r="AQ278" s="1692"/>
      <c r="AR278" s="1637"/>
      <c r="AS278" s="1637"/>
      <c r="AT278" s="1637"/>
      <c r="AU278" s="1616"/>
      <c r="AV278" s="1603"/>
      <c r="AW278" s="1627"/>
      <c r="AX278" s="1619"/>
    </row>
    <row r="279" spans="1:50" ht="15.75" customHeight="1" x14ac:dyDescent="0.25">
      <c r="A279" s="1768" t="s">
        <v>344</v>
      </c>
      <c r="B279" s="2010" t="s">
        <v>345</v>
      </c>
      <c r="C279" s="2011"/>
      <c r="D279" s="1573">
        <f>SUM(D280)</f>
        <v>18000000</v>
      </c>
      <c r="E279" s="1811">
        <f>SUM(G279+Y279+AG279+AN279)</f>
        <v>18000000</v>
      </c>
      <c r="F279" s="1495">
        <f>+X279+AF279+AM279+AW279</f>
        <v>30000</v>
      </c>
      <c r="G279" s="1573">
        <f>SUM(H279:W279)</f>
        <v>18000000</v>
      </c>
      <c r="H279" s="1647">
        <f t="shared" ref="H279:W279" si="248">H280</f>
        <v>0</v>
      </c>
      <c r="I279" s="1647">
        <f t="shared" si="248"/>
        <v>0</v>
      </c>
      <c r="J279" s="1647">
        <f t="shared" si="248"/>
        <v>0</v>
      </c>
      <c r="K279" s="1647">
        <f t="shared" si="248"/>
        <v>0</v>
      </c>
      <c r="L279" s="1647">
        <f t="shared" si="248"/>
        <v>0</v>
      </c>
      <c r="M279" s="1647">
        <f t="shared" si="248"/>
        <v>0</v>
      </c>
      <c r="N279" s="1647">
        <f t="shared" si="248"/>
        <v>0</v>
      </c>
      <c r="O279" s="1647">
        <f t="shared" si="248"/>
        <v>0</v>
      </c>
      <c r="P279" s="1647">
        <f t="shared" si="248"/>
        <v>0</v>
      </c>
      <c r="Q279" s="1647">
        <f t="shared" si="248"/>
        <v>0</v>
      </c>
      <c r="R279" s="1647">
        <f t="shared" si="248"/>
        <v>0</v>
      </c>
      <c r="S279" s="1647">
        <f t="shared" si="248"/>
        <v>0</v>
      </c>
      <c r="T279" s="1647">
        <f t="shared" si="248"/>
        <v>0</v>
      </c>
      <c r="U279" s="1647">
        <f t="shared" si="248"/>
        <v>0</v>
      </c>
      <c r="V279" s="1647">
        <f t="shared" si="248"/>
        <v>18000000</v>
      </c>
      <c r="W279" s="1647">
        <f t="shared" si="248"/>
        <v>0</v>
      </c>
      <c r="X279" s="1628">
        <f>+X280</f>
        <v>30000</v>
      </c>
      <c r="Y279" s="1647">
        <f t="shared" ref="Y279:AD279" si="249">Y280</f>
        <v>0</v>
      </c>
      <c r="Z279" s="1647">
        <f t="shared" si="249"/>
        <v>0</v>
      </c>
      <c r="AA279" s="1647">
        <f t="shared" si="249"/>
        <v>0</v>
      </c>
      <c r="AB279" s="1647">
        <f t="shared" si="249"/>
        <v>0</v>
      </c>
      <c r="AC279" s="1647">
        <f t="shared" si="249"/>
        <v>0</v>
      </c>
      <c r="AD279" s="1647">
        <f t="shared" si="249"/>
        <v>0</v>
      </c>
      <c r="AE279" s="1575">
        <f>X279/$X$7</f>
        <v>7.0037902161711003E-3</v>
      </c>
      <c r="AF279" s="1557">
        <f>Y279/1000</f>
        <v>0</v>
      </c>
      <c r="AG279" s="1576">
        <f>SUM(AG280)</f>
        <v>0</v>
      </c>
      <c r="AH279" s="1689">
        <f>SUM(AH280)</f>
        <v>0</v>
      </c>
      <c r="AI279" s="1597">
        <f>SUM(AI280)</f>
        <v>0</v>
      </c>
      <c r="AJ279" s="1597">
        <f>SUM(AJ280)</f>
        <v>0</v>
      </c>
      <c r="AK279" s="1597">
        <f>SUM(AK280)</f>
        <v>0</v>
      </c>
      <c r="AL279" s="1577">
        <f>(AF279/AF7)</f>
        <v>0</v>
      </c>
      <c r="AM279" s="1598">
        <f>AG279/1000</f>
        <v>0</v>
      </c>
      <c r="AN279" s="1615">
        <f t="shared" ref="AN279:AU279" si="250">SUM(AN280)</f>
        <v>0</v>
      </c>
      <c r="AO279" s="1600">
        <f t="shared" si="250"/>
        <v>0</v>
      </c>
      <c r="AP279" s="1615">
        <f t="shared" si="250"/>
        <v>0</v>
      </c>
      <c r="AQ279" s="1601">
        <f t="shared" si="250"/>
        <v>0</v>
      </c>
      <c r="AR279" s="1600">
        <f t="shared" si="250"/>
        <v>0</v>
      </c>
      <c r="AS279" s="1600">
        <f t="shared" si="250"/>
        <v>0</v>
      </c>
      <c r="AT279" s="1600">
        <f t="shared" si="250"/>
        <v>0</v>
      </c>
      <c r="AU279" s="1616">
        <f t="shared" si="250"/>
        <v>18000000</v>
      </c>
      <c r="AV279" s="1603">
        <f>AM279/$AM$7</f>
        <v>0</v>
      </c>
      <c r="AW279" s="1631">
        <f>AN279/1000</f>
        <v>0</v>
      </c>
      <c r="AX279" s="1592">
        <f>AW279/$AW$7</f>
        <v>0</v>
      </c>
    </row>
    <row r="280" spans="1:50" ht="15.75" customHeight="1" x14ac:dyDescent="0.25">
      <c r="A280" s="1652" t="s">
        <v>346</v>
      </c>
      <c r="B280" s="2006" t="s">
        <v>347</v>
      </c>
      <c r="C280" s="2007"/>
      <c r="D280" s="1608">
        <f>+G280+Y280+AG280+AN280</f>
        <v>18000000</v>
      </c>
      <c r="E280" s="1621">
        <f>SUM(G280+Y280+AG280+AN280)</f>
        <v>18000000</v>
      </c>
      <c r="F280" s="1447">
        <f>+X280+AF280+AM280+AW280</f>
        <v>30000</v>
      </c>
      <c r="G280" s="1608">
        <f>SUM(H280:W280)</f>
        <v>18000000</v>
      </c>
      <c r="H280" s="78"/>
      <c r="I280" s="78"/>
      <c r="J280" s="78"/>
      <c r="K280" s="78"/>
      <c r="L280" s="78"/>
      <c r="M280" s="1586"/>
      <c r="N280" s="78"/>
      <c r="O280" s="78"/>
      <c r="P280" s="78"/>
      <c r="Q280" s="78"/>
      <c r="R280" s="1586"/>
      <c r="S280" s="1586"/>
      <c r="T280" s="1586"/>
      <c r="U280" s="1586"/>
      <c r="V280" s="1586">
        <v>18000000</v>
      </c>
      <c r="W280" s="1586"/>
      <c r="X280" s="1588">
        <f>30000000/1000</f>
        <v>30000</v>
      </c>
      <c r="Y280" s="1561">
        <f>SUM(Z280:AD280)</f>
        <v>0</v>
      </c>
      <c r="Z280" s="1586"/>
      <c r="AA280" s="1586"/>
      <c r="AB280" s="1586"/>
      <c r="AC280" s="1586"/>
      <c r="AD280" s="1586"/>
      <c r="AE280" s="1609">
        <f>X280/$X$7</f>
        <v>7.0037902161711003E-3</v>
      </c>
      <c r="AF280" s="1561">
        <f>Y280/1000</f>
        <v>0</v>
      </c>
      <c r="AG280" s="1576">
        <f>SUM(AH280:AK280)</f>
        <v>0</v>
      </c>
      <c r="AH280" s="1611">
        <v>0</v>
      </c>
      <c r="AI280" s="1612">
        <v>0</v>
      </c>
      <c r="AJ280" s="1600">
        <v>0</v>
      </c>
      <c r="AK280" s="1600">
        <v>0</v>
      </c>
      <c r="AL280" s="1613">
        <f>(AF280/AF7)</f>
        <v>0</v>
      </c>
      <c r="AM280" s="1614">
        <f>AG280/1000</f>
        <v>0</v>
      </c>
      <c r="AN280" s="1615">
        <f>SUM(AO280+AP280)</f>
        <v>0</v>
      </c>
      <c r="AO280" s="1600">
        <v>0</v>
      </c>
      <c r="AP280" s="1738">
        <f>SUM(AQ280:AT280)</f>
        <v>0</v>
      </c>
      <c r="AQ280" s="1601">
        <v>0</v>
      </c>
      <c r="AR280" s="1600">
        <v>0</v>
      </c>
      <c r="AS280" s="1600">
        <v>0</v>
      </c>
      <c r="AT280" s="1600">
        <v>0</v>
      </c>
      <c r="AU280" s="1616">
        <f>SUM(AN280+AG280+Y280+G280)</f>
        <v>18000000</v>
      </c>
      <c r="AV280" s="1603">
        <f>AM280/$AM$7</f>
        <v>0</v>
      </c>
      <c r="AW280" s="1627">
        <f>AN280/1000</f>
        <v>0</v>
      </c>
      <c r="AX280" s="1619">
        <f>AW280/$AW$7</f>
        <v>0</v>
      </c>
    </row>
    <row r="281" spans="1:50" ht="15.75" customHeight="1" x14ac:dyDescent="0.25">
      <c r="A281" s="1652"/>
      <c r="B281" s="1809"/>
      <c r="C281" s="1810"/>
      <c r="D281" s="1608"/>
      <c r="E281" s="1621"/>
      <c r="F281" s="1447"/>
      <c r="G281" s="1608"/>
      <c r="H281" s="78"/>
      <c r="I281" s="78"/>
      <c r="J281" s="78"/>
      <c r="K281" s="78"/>
      <c r="L281" s="78"/>
      <c r="M281" s="1586"/>
      <c r="N281" s="78"/>
      <c r="O281" s="78"/>
      <c r="P281" s="78"/>
      <c r="Q281" s="78"/>
      <c r="R281" s="1586"/>
      <c r="S281" s="1586"/>
      <c r="T281" s="1586"/>
      <c r="U281" s="1586"/>
      <c r="V281" s="1586"/>
      <c r="W281" s="1586"/>
      <c r="X281" s="1588"/>
      <c r="Y281" s="1586"/>
      <c r="Z281" s="1586"/>
      <c r="AA281" s="1586"/>
      <c r="AB281" s="1586"/>
      <c r="AC281" s="1586"/>
      <c r="AD281" s="1586"/>
      <c r="AE281" s="1609"/>
      <c r="AF281" s="1561"/>
      <c r="AG281" s="1576"/>
      <c r="AH281" s="1611"/>
      <c r="AI281" s="1612"/>
      <c r="AJ281" s="1600"/>
      <c r="AK281" s="1600"/>
      <c r="AL281" s="1613"/>
      <c r="AM281" s="1614"/>
      <c r="AN281" s="1599"/>
      <c r="AO281" s="1600"/>
      <c r="AP281" s="1599"/>
      <c r="AQ281" s="1601"/>
      <c r="AR281" s="1600"/>
      <c r="AS281" s="1600"/>
      <c r="AT281" s="1600"/>
      <c r="AU281" s="1616"/>
      <c r="AV281" s="1603"/>
      <c r="AW281" s="1627"/>
      <c r="AX281" s="1592"/>
    </row>
    <row r="282" spans="1:50" ht="15.75" customHeight="1" x14ac:dyDescent="0.25">
      <c r="A282" s="1768">
        <v>7</v>
      </c>
      <c r="B282" s="2010" t="s">
        <v>348</v>
      </c>
      <c r="C282" s="2011"/>
      <c r="D282" s="1597">
        <f>SUM(D284+D291)</f>
        <v>8533807046.8100004</v>
      </c>
      <c r="E282" s="1811">
        <f>SUM(E284+E291)</f>
        <v>8533807046.8100004</v>
      </c>
      <c r="F282" s="1495">
        <f>+X282+AF282+AM282+AW282</f>
        <v>5906221.6189999999</v>
      </c>
      <c r="G282" s="1574">
        <f>+G284+G291</f>
        <v>0</v>
      </c>
      <c r="H282" s="1574">
        <f>H291</f>
        <v>0</v>
      </c>
      <c r="I282" s="1574">
        <f>I291</f>
        <v>0</v>
      </c>
      <c r="J282" s="1574">
        <f>J291</f>
        <v>0</v>
      </c>
      <c r="K282" s="1574">
        <f>K291</f>
        <v>0</v>
      </c>
      <c r="L282" s="1574">
        <f>L291</f>
        <v>0</v>
      </c>
      <c r="M282" s="1574">
        <f>+M284+M291</f>
        <v>0</v>
      </c>
      <c r="N282" s="1574">
        <f>N291</f>
        <v>0</v>
      </c>
      <c r="O282" s="1574">
        <f>O291</f>
        <v>0</v>
      </c>
      <c r="P282" s="1574">
        <f>P291</f>
        <v>0</v>
      </c>
      <c r="Q282" s="1574">
        <f>Q291</f>
        <v>0</v>
      </c>
      <c r="R282" s="1574">
        <f t="shared" ref="R282:W282" si="251">+R284+R291</f>
        <v>0</v>
      </c>
      <c r="S282" s="1574">
        <f t="shared" si="251"/>
        <v>0</v>
      </c>
      <c r="T282" s="1574">
        <f t="shared" si="251"/>
        <v>0</v>
      </c>
      <c r="U282" s="1574">
        <f t="shared" si="251"/>
        <v>0</v>
      </c>
      <c r="V282" s="1574">
        <f t="shared" si="251"/>
        <v>0</v>
      </c>
      <c r="W282" s="1574">
        <f t="shared" si="251"/>
        <v>0</v>
      </c>
      <c r="X282" s="1628">
        <f>G282/1000</f>
        <v>0</v>
      </c>
      <c r="Y282" s="1574">
        <f t="shared" ref="Y282:AD282" si="252">+Y284+Y291</f>
        <v>0</v>
      </c>
      <c r="Z282" s="1574">
        <f t="shared" si="252"/>
        <v>0</v>
      </c>
      <c r="AA282" s="1574">
        <f t="shared" si="252"/>
        <v>0</v>
      </c>
      <c r="AB282" s="1574">
        <f t="shared" si="252"/>
        <v>0</v>
      </c>
      <c r="AC282" s="1574">
        <f t="shared" si="252"/>
        <v>0</v>
      </c>
      <c r="AD282" s="1574">
        <f t="shared" si="252"/>
        <v>0</v>
      </c>
      <c r="AE282" s="1575">
        <f>X282/$X$7</f>
        <v>0</v>
      </c>
      <c r="AF282" s="1557">
        <f>Y282/1000</f>
        <v>0</v>
      </c>
      <c r="AG282" s="1580">
        <f>SUM(AG284+AG291)</f>
        <v>1890000000</v>
      </c>
      <c r="AH282" s="1601">
        <f>AH284+AH291</f>
        <v>0</v>
      </c>
      <c r="AI282" s="1600">
        <f>AI284+AI291</f>
        <v>1890000000</v>
      </c>
      <c r="AJ282" s="1600">
        <f>AJ284+AJ291</f>
        <v>0</v>
      </c>
      <c r="AK282" s="1600">
        <f>AK284+AK291</f>
        <v>0</v>
      </c>
      <c r="AL282" s="1613">
        <f>(AF282/AF7)</f>
        <v>0</v>
      </c>
      <c r="AM282" s="1598">
        <f>+AM284+AM291</f>
        <v>1537960.9709999999</v>
      </c>
      <c r="AN282" s="1615">
        <f t="shared" ref="AN282:AU282" si="253">AN284+AN291</f>
        <v>6643807046.8100004</v>
      </c>
      <c r="AO282" s="1600">
        <f t="shared" si="253"/>
        <v>0</v>
      </c>
      <c r="AP282" s="1615">
        <f t="shared" si="253"/>
        <v>6643807046.8100004</v>
      </c>
      <c r="AQ282" s="1601">
        <f t="shared" si="253"/>
        <v>0</v>
      </c>
      <c r="AR282" s="1600">
        <f t="shared" si="253"/>
        <v>0</v>
      </c>
      <c r="AS282" s="1600">
        <f t="shared" si="253"/>
        <v>0</v>
      </c>
      <c r="AT282" s="1600">
        <f t="shared" si="253"/>
        <v>6643807046.8100004</v>
      </c>
      <c r="AU282" s="1616">
        <f t="shared" si="253"/>
        <v>6658807046.8100004</v>
      </c>
      <c r="AV282" s="1603">
        <f>AM282/$AM$7</f>
        <v>0.24883656130357112</v>
      </c>
      <c r="AW282" s="1631">
        <f>+AW284+AW291</f>
        <v>4368260.648</v>
      </c>
      <c r="AX282" s="1592">
        <f>AW282/$AW$7</f>
        <v>8.2275919671455866E-2</v>
      </c>
    </row>
    <row r="283" spans="1:50" ht="15.75" customHeight="1" x14ac:dyDescent="0.25">
      <c r="A283" s="1520"/>
      <c r="B283" s="1624"/>
      <c r="C283" s="1513"/>
      <c r="D283" s="1608"/>
      <c r="E283" s="1552"/>
      <c r="F283" s="1447"/>
      <c r="G283" s="1608"/>
      <c r="H283" s="1103"/>
      <c r="I283" s="1103"/>
      <c r="J283" s="1103"/>
      <c r="K283" s="1103"/>
      <c r="L283" s="78"/>
      <c r="M283" s="1586"/>
      <c r="N283" s="1103"/>
      <c r="O283" s="1103"/>
      <c r="P283" s="78"/>
      <c r="Q283" s="1103"/>
      <c r="R283" s="1586"/>
      <c r="S283" s="1586"/>
      <c r="T283" s="1586"/>
      <c r="U283" s="1586"/>
      <c r="V283" s="1586"/>
      <c r="W283" s="1586"/>
      <c r="X283" s="1588"/>
      <c r="Y283" s="1586"/>
      <c r="Z283" s="1586"/>
      <c r="AA283" s="1586"/>
      <c r="AB283" s="1586"/>
      <c r="AC283" s="1586"/>
      <c r="AD283" s="1586"/>
      <c r="AE283" s="1609"/>
      <c r="AF283" s="1561"/>
      <c r="AG283" s="1576"/>
      <c r="AH283" s="1727"/>
      <c r="AI283" s="1578"/>
      <c r="AJ283" s="1597"/>
      <c r="AK283" s="1597"/>
      <c r="AL283" s="1613"/>
      <c r="AM283" s="1614"/>
      <c r="AN283" s="1599"/>
      <c r="AO283" s="1600"/>
      <c r="AP283" s="1599"/>
      <c r="AQ283" s="1601"/>
      <c r="AR283" s="1600"/>
      <c r="AS283" s="1600"/>
      <c r="AT283" s="1600"/>
      <c r="AU283" s="1602"/>
      <c r="AV283" s="1603"/>
      <c r="AW283" s="1627"/>
      <c r="AX283" s="1592"/>
    </row>
    <row r="284" spans="1:50" ht="15.75" customHeight="1" x14ac:dyDescent="0.25">
      <c r="A284" s="1517" t="s">
        <v>376</v>
      </c>
      <c r="B284" s="2013" t="s">
        <v>377</v>
      </c>
      <c r="C284" s="2016"/>
      <c r="D284" s="1573">
        <f>SUM(D285:D286)</f>
        <v>30000000</v>
      </c>
      <c r="E284" s="1572">
        <f>SUM(G284+Y284+AG284+AN284)</f>
        <v>30000000</v>
      </c>
      <c r="F284" s="1495">
        <f>+X284+AF284+AM284+AW284</f>
        <v>40000</v>
      </c>
      <c r="G284" s="1573">
        <f>SUM(G285:G286)</f>
        <v>0</v>
      </c>
      <c r="H284" s="1103"/>
      <c r="I284" s="1103"/>
      <c r="J284" s="1103"/>
      <c r="K284" s="1103"/>
      <c r="L284" s="78"/>
      <c r="M284" s="1574">
        <f>+M285+M286</f>
        <v>0</v>
      </c>
      <c r="N284" s="1103"/>
      <c r="O284" s="1103"/>
      <c r="P284" s="78"/>
      <c r="Q284" s="1103"/>
      <c r="R284" s="777">
        <f t="shared" ref="R284:W284" si="254">+R285+R286</f>
        <v>0</v>
      </c>
      <c r="S284" s="777">
        <f t="shared" si="254"/>
        <v>0</v>
      </c>
      <c r="T284" s="777">
        <f t="shared" si="254"/>
        <v>0</v>
      </c>
      <c r="U284" s="777">
        <f t="shared" si="254"/>
        <v>0</v>
      </c>
      <c r="V284" s="777">
        <f t="shared" si="254"/>
        <v>0</v>
      </c>
      <c r="W284" s="777">
        <f t="shared" si="254"/>
        <v>0</v>
      </c>
      <c r="X284" s="1628">
        <f>G284/1000</f>
        <v>0</v>
      </c>
      <c r="Y284" s="1574">
        <f t="shared" ref="Y284:AD284" si="255">+Y285+Y286</f>
        <v>0</v>
      </c>
      <c r="Z284" s="1574">
        <f t="shared" si="255"/>
        <v>0</v>
      </c>
      <c r="AA284" s="1574">
        <f t="shared" si="255"/>
        <v>0</v>
      </c>
      <c r="AB284" s="1574">
        <f t="shared" si="255"/>
        <v>0</v>
      </c>
      <c r="AC284" s="1574">
        <f t="shared" si="255"/>
        <v>0</v>
      </c>
      <c r="AD284" s="1574">
        <f t="shared" si="255"/>
        <v>0</v>
      </c>
      <c r="AE284" s="1575">
        <f>X284/$X$7</f>
        <v>0</v>
      </c>
      <c r="AF284" s="1557">
        <f>Y284/1000</f>
        <v>0</v>
      </c>
      <c r="AG284" s="1576">
        <f>SUM(AG286)</f>
        <v>15000000</v>
      </c>
      <c r="AH284" s="1689">
        <f>SUM(AH285:AH286)</f>
        <v>0</v>
      </c>
      <c r="AI284" s="1597">
        <f>SUM(AI285:AI286)</f>
        <v>15000000</v>
      </c>
      <c r="AJ284" s="1597">
        <f>SUM(AJ285:AJ286)</f>
        <v>0</v>
      </c>
      <c r="AK284" s="1597">
        <f>SUM(AK285:AK286)</f>
        <v>0</v>
      </c>
      <c r="AL284" s="1613">
        <f>(AF284/AF7)</f>
        <v>0</v>
      </c>
      <c r="AM284" s="1598">
        <f>+AM286</f>
        <v>15000</v>
      </c>
      <c r="AN284" s="1599">
        <f t="shared" ref="AN284:AU284" si="256">SUM(AN285:AN286)</f>
        <v>15000000</v>
      </c>
      <c r="AO284" s="1600">
        <f t="shared" si="256"/>
        <v>0</v>
      </c>
      <c r="AP284" s="1599">
        <f t="shared" si="256"/>
        <v>15000000</v>
      </c>
      <c r="AQ284" s="1601">
        <f t="shared" si="256"/>
        <v>0</v>
      </c>
      <c r="AR284" s="1600">
        <f t="shared" si="256"/>
        <v>0</v>
      </c>
      <c r="AS284" s="1600">
        <f t="shared" si="256"/>
        <v>0</v>
      </c>
      <c r="AT284" s="1600">
        <f t="shared" si="256"/>
        <v>15000000</v>
      </c>
      <c r="AU284" s="1602">
        <f t="shared" si="256"/>
        <v>30000000</v>
      </c>
      <c r="AV284" s="1603">
        <f>AM284/$AM$7</f>
        <v>2.4269461253796452E-3</v>
      </c>
      <c r="AW284" s="1631">
        <f>+AW286</f>
        <v>25000</v>
      </c>
      <c r="AX284" s="1592">
        <f>AW284/$AW$7</f>
        <v>4.7087345685934361E-4</v>
      </c>
    </row>
    <row r="285" spans="1:50" ht="15.75" hidden="1" customHeight="1" x14ac:dyDescent="0.25">
      <c r="A285" s="1520" t="s">
        <v>374</v>
      </c>
      <c r="B285" s="1624" t="s">
        <v>378</v>
      </c>
      <c r="C285" s="1820"/>
      <c r="D285" s="1608">
        <f>+G285+Y285+AG285+AN285</f>
        <v>0</v>
      </c>
      <c r="E285" s="1552">
        <f>SUM(G285+Y285+AG285+AN285)</f>
        <v>0</v>
      </c>
      <c r="F285" s="1447">
        <f>+X285+AF285+AM285+AW285</f>
        <v>0</v>
      </c>
      <c r="G285" s="1608">
        <f>SUM(H285:W285)</f>
        <v>0</v>
      </c>
      <c r="H285" s="1103"/>
      <c r="I285" s="1103"/>
      <c r="J285" s="1103"/>
      <c r="K285" s="1103"/>
      <c r="L285" s="78"/>
      <c r="M285" s="1586"/>
      <c r="N285" s="1103"/>
      <c r="O285" s="1103"/>
      <c r="P285" s="78"/>
      <c r="Q285" s="1103"/>
      <c r="R285" s="1586"/>
      <c r="S285" s="1586"/>
      <c r="T285" s="1586"/>
      <c r="U285" s="1586"/>
      <c r="V285" s="1586"/>
      <c r="W285" s="1586"/>
      <c r="X285" s="1588">
        <f>G285/1000</f>
        <v>0</v>
      </c>
      <c r="Y285" s="1586"/>
      <c r="Z285" s="1586"/>
      <c r="AA285" s="1586"/>
      <c r="AB285" s="1586"/>
      <c r="AC285" s="1586"/>
      <c r="AD285" s="1586"/>
      <c r="AE285" s="1609">
        <f>X285/$X$7*100</f>
        <v>0</v>
      </c>
      <c r="AF285" s="1561">
        <f>Y285/1000</f>
        <v>0</v>
      </c>
      <c r="AG285" s="1576">
        <f>SUM(AH285:AJ285)</f>
        <v>0</v>
      </c>
      <c r="AH285" s="1611">
        <v>0</v>
      </c>
      <c r="AI285" s="1612">
        <v>0</v>
      </c>
      <c r="AJ285" s="1600">
        <v>0</v>
      </c>
      <c r="AK285" s="1600">
        <v>0</v>
      </c>
      <c r="AL285" s="1613" t="e">
        <f>(AF285/AF15)*100</f>
        <v>#DIV/0!</v>
      </c>
      <c r="AM285" s="1614">
        <f>AG285/1000</f>
        <v>0</v>
      </c>
      <c r="AN285" s="1599">
        <v>0</v>
      </c>
      <c r="AO285" s="1600">
        <v>0</v>
      </c>
      <c r="AP285" s="1599">
        <v>0</v>
      </c>
      <c r="AQ285" s="1601">
        <v>0</v>
      </c>
      <c r="AR285" s="1600">
        <v>0</v>
      </c>
      <c r="AS285" s="1600">
        <v>0</v>
      </c>
      <c r="AT285" s="1600">
        <v>0</v>
      </c>
      <c r="AU285" s="1616">
        <v>0</v>
      </c>
      <c r="AV285" s="1603">
        <f>AM285/$AM$7</f>
        <v>0</v>
      </c>
      <c r="AW285" s="1627">
        <f>AN285/1000</f>
        <v>0</v>
      </c>
      <c r="AX285" s="1592">
        <f>AW285/$AW$7</f>
        <v>0</v>
      </c>
    </row>
    <row r="286" spans="1:50" ht="16.5" customHeight="1" x14ac:dyDescent="0.25">
      <c r="A286" s="1520" t="s">
        <v>375</v>
      </c>
      <c r="B286" s="1821" t="s">
        <v>485</v>
      </c>
      <c r="C286" s="1820"/>
      <c r="D286" s="1608">
        <f>+G286+Y286+AG286+AN286</f>
        <v>30000000</v>
      </c>
      <c r="E286" s="1552">
        <f>SUM(G286+Y286+AG286+AN286)</f>
        <v>30000000</v>
      </c>
      <c r="F286" s="1447">
        <f>+X286+AF286+AM286+AW286</f>
        <v>40000</v>
      </c>
      <c r="G286" s="1608">
        <f>SUM(H286:W286)</f>
        <v>0</v>
      </c>
      <c r="H286" s="1103"/>
      <c r="I286" s="1103"/>
      <c r="J286" s="1103"/>
      <c r="K286" s="1103"/>
      <c r="L286" s="78"/>
      <c r="M286" s="1586"/>
      <c r="N286" s="1103"/>
      <c r="O286" s="1103"/>
      <c r="P286" s="78"/>
      <c r="Q286" s="1103"/>
      <c r="R286" s="1586"/>
      <c r="S286" s="1586"/>
      <c r="T286" s="1586"/>
      <c r="U286" s="1586"/>
      <c r="V286" s="1586"/>
      <c r="W286" s="1586"/>
      <c r="X286" s="1588">
        <f>G286/1000</f>
        <v>0</v>
      </c>
      <c r="Y286" s="1561">
        <f>SUM(Z286:AD286)</f>
        <v>0</v>
      </c>
      <c r="Z286" s="1586"/>
      <c r="AA286" s="1586"/>
      <c r="AB286" s="1586"/>
      <c r="AC286" s="1586"/>
      <c r="AD286" s="1586"/>
      <c r="AE286" s="1609">
        <f>X286/$X$7</f>
        <v>0</v>
      </c>
      <c r="AF286" s="1561">
        <f>Y286/1000</f>
        <v>0</v>
      </c>
      <c r="AG286" s="1576">
        <f>SUM(AH286:AK286)</f>
        <v>15000000</v>
      </c>
      <c r="AH286" s="1611"/>
      <c r="AI286" s="1612">
        <v>15000000</v>
      </c>
      <c r="AJ286" s="1600">
        <v>0</v>
      </c>
      <c r="AK286" s="1600">
        <v>0</v>
      </c>
      <c r="AL286" s="1613">
        <f>(AF286/AF7)</f>
        <v>0</v>
      </c>
      <c r="AM286" s="1614">
        <f>15000000/1000</f>
        <v>15000</v>
      </c>
      <c r="AN286" s="1615">
        <f>SUM(AO286+AP286)</f>
        <v>15000000</v>
      </c>
      <c r="AO286" s="1600">
        <v>0</v>
      </c>
      <c r="AP286" s="1738">
        <f>SUM(AQ286:AT286)</f>
        <v>15000000</v>
      </c>
      <c r="AQ286" s="1601">
        <v>0</v>
      </c>
      <c r="AR286" s="1600">
        <v>0</v>
      </c>
      <c r="AS286" s="1600">
        <v>0</v>
      </c>
      <c r="AT286" s="1600">
        <v>15000000</v>
      </c>
      <c r="AU286" s="1616">
        <f>SUM(AN286+AG286+Y286+G286)</f>
        <v>30000000</v>
      </c>
      <c r="AV286" s="1603">
        <f>AM286/$AM$7</f>
        <v>2.4269461253796452E-3</v>
      </c>
      <c r="AW286" s="1627">
        <f>25000000/1000</f>
        <v>25000</v>
      </c>
      <c r="AX286" s="1592">
        <f>AW286/$AW$7</f>
        <v>4.7087345685934361E-4</v>
      </c>
    </row>
    <row r="287" spans="1:50" ht="15.75" customHeight="1" thickBot="1" x14ac:dyDescent="0.3">
      <c r="A287" s="1822"/>
      <c r="B287" s="1755"/>
      <c r="C287" s="1785"/>
      <c r="D287" s="1709"/>
      <c r="E287" s="1710"/>
      <c r="F287" s="1507"/>
      <c r="G287" s="1709"/>
      <c r="H287" s="1711"/>
      <c r="I287" s="1711"/>
      <c r="J287" s="1711"/>
      <c r="K287" s="1711"/>
      <c r="L287" s="1712"/>
      <c r="M287" s="1713"/>
      <c r="N287" s="1711"/>
      <c r="O287" s="1711"/>
      <c r="P287" s="1712"/>
      <c r="Q287" s="1711"/>
      <c r="R287" s="1713"/>
      <c r="S287" s="1713"/>
      <c r="T287" s="1713"/>
      <c r="U287" s="1713"/>
      <c r="V287" s="1713"/>
      <c r="W287" s="1713"/>
      <c r="X287" s="1714"/>
      <c r="Y287" s="1713"/>
      <c r="Z287" s="1713"/>
      <c r="AA287" s="1713"/>
      <c r="AB287" s="1713"/>
      <c r="AC287" s="1713"/>
      <c r="AD287" s="1713"/>
      <c r="AE287" s="1716"/>
      <c r="AF287" s="1715"/>
      <c r="AG287" s="1717"/>
      <c r="AH287" s="1759"/>
      <c r="AI287" s="1760"/>
      <c r="AJ287" s="1823"/>
      <c r="AK287" s="1823"/>
      <c r="AL287" s="1720"/>
      <c r="AM287" s="1721"/>
      <c r="AN287" s="1761"/>
      <c r="AO287" s="1823"/>
      <c r="AP287" s="1761"/>
      <c r="AQ287" s="1824"/>
      <c r="AR287" s="1823"/>
      <c r="AS287" s="1823"/>
      <c r="AT287" s="1823"/>
      <c r="AU287" s="1723"/>
      <c r="AV287" s="1765"/>
      <c r="AW287" s="1725"/>
      <c r="AX287" s="1766"/>
    </row>
    <row r="288" spans="1:50" ht="15.75" hidden="1" customHeight="1" x14ac:dyDescent="0.25">
      <c r="A288" s="1517"/>
      <c r="B288" s="1624"/>
      <c r="C288" s="1513"/>
      <c r="D288" s="1608"/>
      <c r="E288" s="1552"/>
      <c r="F288" s="1447"/>
      <c r="G288" s="1608"/>
      <c r="H288" s="1103"/>
      <c r="I288" s="1103"/>
      <c r="J288" s="1103"/>
      <c r="K288" s="1103"/>
      <c r="L288" s="78"/>
      <c r="M288" s="1586"/>
      <c r="N288" s="1103"/>
      <c r="O288" s="1103"/>
      <c r="P288" s="78"/>
      <c r="Q288" s="1103"/>
      <c r="R288" s="1586"/>
      <c r="S288" s="1586"/>
      <c r="T288" s="1586"/>
      <c r="U288" s="1586"/>
      <c r="V288" s="1586"/>
      <c r="W288" s="1586"/>
      <c r="X288" s="1588"/>
      <c r="Y288" s="1586"/>
      <c r="Z288" s="1586"/>
      <c r="AA288" s="1586"/>
      <c r="AB288" s="1586"/>
      <c r="AC288" s="1586"/>
      <c r="AD288" s="1586"/>
      <c r="AE288" s="1609"/>
      <c r="AF288" s="1561"/>
      <c r="AG288" s="1576"/>
      <c r="AH288" s="1638"/>
      <c r="AI288" s="1639"/>
      <c r="AJ288" s="1600"/>
      <c r="AK288" s="1600"/>
      <c r="AL288" s="1613"/>
      <c r="AM288" s="1614"/>
      <c r="AN288" s="1599"/>
      <c r="AO288" s="1600"/>
      <c r="AP288" s="1599"/>
      <c r="AQ288" s="1601"/>
      <c r="AR288" s="1600"/>
      <c r="AS288" s="1600"/>
      <c r="AT288" s="1600"/>
      <c r="AU288" s="1616"/>
      <c r="AV288" s="1603"/>
      <c r="AW288" s="1627"/>
      <c r="AX288" s="1592"/>
    </row>
    <row r="289" spans="1:50" ht="15.75" hidden="1" customHeight="1" x14ac:dyDescent="0.25">
      <c r="A289" s="1517"/>
      <c r="B289" s="1624"/>
      <c r="C289" s="1513"/>
      <c r="D289" s="1608"/>
      <c r="E289" s="1552"/>
      <c r="F289" s="1447"/>
      <c r="G289" s="1608"/>
      <c r="H289" s="1103"/>
      <c r="I289" s="1103"/>
      <c r="J289" s="1103"/>
      <c r="K289" s="1103"/>
      <c r="L289" s="78"/>
      <c r="M289" s="1586"/>
      <c r="N289" s="1103"/>
      <c r="O289" s="1103"/>
      <c r="P289" s="78"/>
      <c r="Q289" s="1103"/>
      <c r="R289" s="1586"/>
      <c r="S289" s="1586"/>
      <c r="T289" s="1586"/>
      <c r="U289" s="1586"/>
      <c r="V289" s="1586"/>
      <c r="W289" s="1586"/>
      <c r="X289" s="1588"/>
      <c r="Y289" s="1586"/>
      <c r="Z289" s="1586"/>
      <c r="AA289" s="1586"/>
      <c r="AB289" s="1586"/>
      <c r="AC289" s="1586"/>
      <c r="AD289" s="1586"/>
      <c r="AE289" s="1609"/>
      <c r="AF289" s="1561"/>
      <c r="AG289" s="1576"/>
      <c r="AH289" s="1638"/>
      <c r="AI289" s="1639"/>
      <c r="AJ289" s="1600"/>
      <c r="AK289" s="1600"/>
      <c r="AL289" s="1613"/>
      <c r="AM289" s="1614"/>
      <c r="AN289" s="1599"/>
      <c r="AO289" s="1600"/>
      <c r="AP289" s="1599"/>
      <c r="AQ289" s="1601"/>
      <c r="AR289" s="1600"/>
      <c r="AS289" s="1600"/>
      <c r="AT289" s="1600"/>
      <c r="AU289" s="1616"/>
      <c r="AV289" s="1603"/>
      <c r="AW289" s="1627"/>
      <c r="AX289" s="1592"/>
    </row>
    <row r="290" spans="1:50" ht="15.75" customHeight="1" x14ac:dyDescent="0.25">
      <c r="A290" s="1517"/>
      <c r="B290" s="1624"/>
      <c r="C290" s="1513"/>
      <c r="D290" s="1608"/>
      <c r="E290" s="1552"/>
      <c r="F290" s="1447"/>
      <c r="G290" s="1608"/>
      <c r="H290" s="1103"/>
      <c r="I290" s="1103"/>
      <c r="J290" s="1103"/>
      <c r="K290" s="1103"/>
      <c r="L290" s="78"/>
      <c r="M290" s="1586"/>
      <c r="N290" s="1103"/>
      <c r="O290" s="1103"/>
      <c r="P290" s="78"/>
      <c r="Q290" s="1103"/>
      <c r="R290" s="1586"/>
      <c r="S290" s="1586"/>
      <c r="T290" s="1586"/>
      <c r="U290" s="1586"/>
      <c r="V290" s="1586"/>
      <c r="W290" s="1586"/>
      <c r="X290" s="1588"/>
      <c r="Y290" s="1586"/>
      <c r="Z290" s="1586"/>
      <c r="AA290" s="1586"/>
      <c r="AB290" s="1586"/>
      <c r="AC290" s="1586"/>
      <c r="AD290" s="1586"/>
      <c r="AE290" s="1609"/>
      <c r="AF290" s="1561"/>
      <c r="AG290" s="1576"/>
      <c r="AH290" s="1638"/>
      <c r="AI290" s="1639"/>
      <c r="AJ290" s="1600"/>
      <c r="AK290" s="1600"/>
      <c r="AL290" s="1693"/>
      <c r="AM290" s="1614"/>
      <c r="AN290" s="1599"/>
      <c r="AO290" s="1600"/>
      <c r="AP290" s="1599"/>
      <c r="AQ290" s="1601"/>
      <c r="AR290" s="1600"/>
      <c r="AS290" s="1600"/>
      <c r="AT290" s="1600"/>
      <c r="AU290" s="1616"/>
      <c r="AV290" s="1603"/>
      <c r="AW290" s="1627"/>
      <c r="AX290" s="1592"/>
    </row>
    <row r="291" spans="1:50" ht="15.75" customHeight="1" x14ac:dyDescent="0.25">
      <c r="A291" s="1517" t="s">
        <v>349</v>
      </c>
      <c r="B291" s="2013" t="s">
        <v>350</v>
      </c>
      <c r="C291" s="2002"/>
      <c r="D291" s="1573">
        <f>SUM(D292:D297)</f>
        <v>8503807046.8100004</v>
      </c>
      <c r="E291" s="1572">
        <f t="shared" ref="E291:E297" si="257">SUM(G291+Y291+AG291+AN291)</f>
        <v>8503807046.8100004</v>
      </c>
      <c r="F291" s="1495">
        <f t="shared" ref="F291:F301" si="258">+X291+AF291+AM291+AW291</f>
        <v>5866221.6189999999</v>
      </c>
      <c r="G291" s="1573">
        <f>SUM(H291:W291)</f>
        <v>0</v>
      </c>
      <c r="H291" s="1099">
        <f t="shared" ref="H291:W291" si="259">H292</f>
        <v>0</v>
      </c>
      <c r="I291" s="1099">
        <f t="shared" si="259"/>
        <v>0</v>
      </c>
      <c r="J291" s="1099">
        <f t="shared" si="259"/>
        <v>0</v>
      </c>
      <c r="K291" s="1099">
        <f t="shared" si="259"/>
        <v>0</v>
      </c>
      <c r="L291" s="1647">
        <f t="shared" si="259"/>
        <v>0</v>
      </c>
      <c r="M291" s="1647">
        <f t="shared" si="259"/>
        <v>0</v>
      </c>
      <c r="N291" s="1099">
        <f t="shared" si="259"/>
        <v>0</v>
      </c>
      <c r="O291" s="1099">
        <f t="shared" si="259"/>
        <v>0</v>
      </c>
      <c r="P291" s="1647">
        <f t="shared" si="259"/>
        <v>0</v>
      </c>
      <c r="Q291" s="1099">
        <f t="shared" si="259"/>
        <v>0</v>
      </c>
      <c r="R291" s="1647">
        <f t="shared" si="259"/>
        <v>0</v>
      </c>
      <c r="S291" s="1647">
        <f t="shared" si="259"/>
        <v>0</v>
      </c>
      <c r="T291" s="1647">
        <f t="shared" si="259"/>
        <v>0</v>
      </c>
      <c r="U291" s="1647">
        <f t="shared" si="259"/>
        <v>0</v>
      </c>
      <c r="V291" s="1647">
        <f t="shared" si="259"/>
        <v>0</v>
      </c>
      <c r="W291" s="1647">
        <f t="shared" si="259"/>
        <v>0</v>
      </c>
      <c r="X291" s="1628">
        <f t="shared" ref="X291:X297" si="260">G291/1000</f>
        <v>0</v>
      </c>
      <c r="Y291" s="1647">
        <f t="shared" ref="Y291:AD291" si="261">Y292</f>
        <v>0</v>
      </c>
      <c r="Z291" s="1647">
        <f t="shared" si="261"/>
        <v>0</v>
      </c>
      <c r="AA291" s="1647">
        <f t="shared" si="261"/>
        <v>0</v>
      </c>
      <c r="AB291" s="1647">
        <f t="shared" si="261"/>
        <v>0</v>
      </c>
      <c r="AC291" s="1647">
        <f t="shared" si="261"/>
        <v>0</v>
      </c>
      <c r="AD291" s="1647">
        <f t="shared" si="261"/>
        <v>0</v>
      </c>
      <c r="AE291" s="1575">
        <f>X291/$X$7</f>
        <v>0</v>
      </c>
      <c r="AF291" s="1557">
        <f t="shared" ref="AF291:AF297" si="262">Y291/1000</f>
        <v>0</v>
      </c>
      <c r="AG291" s="1576">
        <f>SUM(AG292:AG297)</f>
        <v>1875000000</v>
      </c>
      <c r="AH291" s="1689">
        <f>SUM(AH292)</f>
        <v>0</v>
      </c>
      <c r="AI291" s="1597">
        <f>SUM(AI292:AI297)</f>
        <v>1875000000</v>
      </c>
      <c r="AJ291" s="1597">
        <f>SUM(AJ292)</f>
        <v>0</v>
      </c>
      <c r="AK291" s="1597">
        <f>SUM(AK292)</f>
        <v>0</v>
      </c>
      <c r="AL291" s="1577">
        <f>(AF291/AF7)</f>
        <v>0</v>
      </c>
      <c r="AM291" s="1598">
        <f>+AM292+AM294+AM297+AM298+AM299+AM293+AM300</f>
        <v>1522960.9709999999</v>
      </c>
      <c r="AN291" s="1599">
        <f t="shared" ref="AN291:AT291" si="263">SUM(AN292)</f>
        <v>6628807046.8100004</v>
      </c>
      <c r="AO291" s="1600">
        <f t="shared" si="263"/>
        <v>0</v>
      </c>
      <c r="AP291" s="1599">
        <f t="shared" si="263"/>
        <v>6628807046.8100004</v>
      </c>
      <c r="AQ291" s="1601">
        <f t="shared" si="263"/>
        <v>0</v>
      </c>
      <c r="AR291" s="1600">
        <f t="shared" si="263"/>
        <v>0</v>
      </c>
      <c r="AS291" s="1600">
        <f t="shared" si="263"/>
        <v>0</v>
      </c>
      <c r="AT291" s="1600">
        <f t="shared" si="263"/>
        <v>6628807046.8100004</v>
      </c>
      <c r="AU291" s="1602">
        <f>SUM(AU292:AU293)</f>
        <v>6628807046.8100004</v>
      </c>
      <c r="AV291" s="1603">
        <f t="shared" ref="AV291:AV301" si="264">AM291/$AM$7</f>
        <v>0.24640961517819149</v>
      </c>
      <c r="AW291" s="1631">
        <f>+AW292+AW293+AW294+AW297+AW298+AW300</f>
        <v>4343260.648</v>
      </c>
      <c r="AX291" s="1592">
        <f t="shared" ref="AX291:AX301" si="265">AW291/$AW$7</f>
        <v>8.1805046214596513E-2</v>
      </c>
    </row>
    <row r="292" spans="1:50" ht="15.75" customHeight="1" x14ac:dyDescent="0.25">
      <c r="A292" s="1520" t="s">
        <v>546</v>
      </c>
      <c r="B292" s="2009" t="s">
        <v>351</v>
      </c>
      <c r="C292" s="2004"/>
      <c r="D292" s="1608">
        <f t="shared" ref="D292:D297" si="266">+G292+Y292+AG292+AN292</f>
        <v>6628807046.8100004</v>
      </c>
      <c r="E292" s="1552">
        <f t="shared" si="257"/>
        <v>6628807046.8100004</v>
      </c>
      <c r="F292" s="1447">
        <f t="shared" si="258"/>
        <v>2852705.648</v>
      </c>
      <c r="G292" s="1608">
        <f>SUM(H292:W292)</f>
        <v>0</v>
      </c>
      <c r="H292" s="1103"/>
      <c r="I292" s="1103"/>
      <c r="J292" s="1103"/>
      <c r="K292" s="1103"/>
      <c r="L292" s="78"/>
      <c r="M292" s="1586"/>
      <c r="N292" s="1103"/>
      <c r="O292" s="1103"/>
      <c r="P292" s="78"/>
      <c r="Q292" s="1103"/>
      <c r="R292" s="1586"/>
      <c r="S292" s="1586"/>
      <c r="T292" s="1586"/>
      <c r="U292" s="1586"/>
      <c r="V292" s="1586"/>
      <c r="W292" s="1586"/>
      <c r="X292" s="1588">
        <f t="shared" si="260"/>
        <v>0</v>
      </c>
      <c r="Y292" s="1561">
        <f t="shared" ref="Y292:Y297" si="267">SUM(Z292:AD292)</f>
        <v>0</v>
      </c>
      <c r="Z292" s="1586"/>
      <c r="AA292" s="1586"/>
      <c r="AB292" s="1586"/>
      <c r="AC292" s="1586"/>
      <c r="AD292" s="1586"/>
      <c r="AE292" s="1609">
        <f>X292/$X$7</f>
        <v>0</v>
      </c>
      <c r="AF292" s="1561">
        <f t="shared" si="262"/>
        <v>0</v>
      </c>
      <c r="AG292" s="1576">
        <f t="shared" ref="AG292:AG297" si="268">SUM(AH292:AK292)</f>
        <v>0</v>
      </c>
      <c r="AH292" s="1611"/>
      <c r="AI292" s="1612"/>
      <c r="AJ292" s="1600">
        <v>0</v>
      </c>
      <c r="AK292" s="1600">
        <v>0</v>
      </c>
      <c r="AL292" s="1613">
        <f>(AF292/AF7)</f>
        <v>0</v>
      </c>
      <c r="AM292" s="1614">
        <v>0</v>
      </c>
      <c r="AN292" s="1615">
        <f t="shared" ref="AN292:AN297" si="269">SUM(AO292+AP292)</f>
        <v>6628807046.8100004</v>
      </c>
      <c r="AO292" s="1600">
        <v>0</v>
      </c>
      <c r="AP292" s="1738">
        <f t="shared" ref="AP292:AP297" si="270">SUM(AQ292:AT292)</f>
        <v>6628807046.8100004</v>
      </c>
      <c r="AQ292" s="1601">
        <v>0</v>
      </c>
      <c r="AR292" s="1600">
        <v>0</v>
      </c>
      <c r="AS292" s="1600">
        <v>0</v>
      </c>
      <c r="AT292" s="1600">
        <f>6142807046.81+486000000</f>
        <v>6628807046.8100004</v>
      </c>
      <c r="AU292" s="1616">
        <f>SUM(AN292+AG292+Y292+G292)</f>
        <v>6628807046.8100004</v>
      </c>
      <c r="AV292" s="1617">
        <f t="shared" si="264"/>
        <v>0</v>
      </c>
      <c r="AW292" s="1627">
        <f>2852705648/1000</f>
        <v>2852705.648</v>
      </c>
      <c r="AX292" s="1619">
        <f t="shared" si="265"/>
        <v>5.3730534795037359E-2</v>
      </c>
    </row>
    <row r="293" spans="1:50" ht="15.75" customHeight="1" x14ac:dyDescent="0.25">
      <c r="A293" s="1520" t="s">
        <v>547</v>
      </c>
      <c r="B293" s="1624" t="s">
        <v>548</v>
      </c>
      <c r="C293" s="1513"/>
      <c r="D293" s="1608">
        <f t="shared" si="266"/>
        <v>0</v>
      </c>
      <c r="E293" s="1552">
        <f t="shared" si="257"/>
        <v>0</v>
      </c>
      <c r="F293" s="1447">
        <f t="shared" si="258"/>
        <v>1490555</v>
      </c>
      <c r="G293" s="1608"/>
      <c r="H293" s="1103"/>
      <c r="I293" s="1103"/>
      <c r="J293" s="1103"/>
      <c r="K293" s="1103"/>
      <c r="L293" s="78"/>
      <c r="M293" s="1586"/>
      <c r="N293" s="1103"/>
      <c r="O293" s="1103"/>
      <c r="P293" s="78"/>
      <c r="Q293" s="1103"/>
      <c r="R293" s="1586"/>
      <c r="S293" s="1586"/>
      <c r="T293" s="1586"/>
      <c r="U293" s="1586"/>
      <c r="V293" s="1586"/>
      <c r="W293" s="1586"/>
      <c r="X293" s="1588">
        <f t="shared" si="260"/>
        <v>0</v>
      </c>
      <c r="Y293" s="1561">
        <f t="shared" si="267"/>
        <v>0</v>
      </c>
      <c r="Z293" s="1586"/>
      <c r="AA293" s="1586"/>
      <c r="AB293" s="1586"/>
      <c r="AC293" s="1586"/>
      <c r="AD293" s="1586"/>
      <c r="AE293" s="1609">
        <f>X293/$X$7</f>
        <v>0</v>
      </c>
      <c r="AF293" s="1561">
        <f t="shared" si="262"/>
        <v>0</v>
      </c>
      <c r="AG293" s="1576">
        <f t="shared" si="268"/>
        <v>0</v>
      </c>
      <c r="AH293" s="1611"/>
      <c r="AI293" s="1612"/>
      <c r="AJ293" s="1600"/>
      <c r="AK293" s="1600"/>
      <c r="AL293" s="1613">
        <f>(AF293/AF7)</f>
        <v>0</v>
      </c>
      <c r="AM293" s="1614">
        <f>AG293/1000</f>
        <v>0</v>
      </c>
      <c r="AN293" s="1615">
        <f t="shared" si="269"/>
        <v>0</v>
      </c>
      <c r="AO293" s="1600"/>
      <c r="AP293" s="1738">
        <f t="shared" si="270"/>
        <v>0</v>
      </c>
      <c r="AQ293" s="1601"/>
      <c r="AR293" s="1600"/>
      <c r="AS293" s="1600"/>
      <c r="AT293" s="1600"/>
      <c r="AU293" s="1616">
        <f>SUM(AN293+AG293+Y293+G293)</f>
        <v>0</v>
      </c>
      <c r="AV293" s="1617">
        <f t="shared" si="264"/>
        <v>0</v>
      </c>
      <c r="AW293" s="1627">
        <f>1490555000/1000</f>
        <v>1490555</v>
      </c>
      <c r="AX293" s="1619">
        <f t="shared" si="265"/>
        <v>2.8074511419559158E-2</v>
      </c>
    </row>
    <row r="294" spans="1:50" hidden="1" x14ac:dyDescent="0.25">
      <c r="A294" s="1520" t="s">
        <v>561</v>
      </c>
      <c r="B294" s="1624" t="s">
        <v>563</v>
      </c>
      <c r="C294" s="1513"/>
      <c r="D294" s="1608">
        <f t="shared" si="266"/>
        <v>685000000</v>
      </c>
      <c r="E294" s="1552">
        <f t="shared" si="257"/>
        <v>685000000</v>
      </c>
      <c r="F294" s="1447">
        <f t="shared" si="258"/>
        <v>0</v>
      </c>
      <c r="G294" s="1514"/>
      <c r="H294" s="1514"/>
      <c r="I294" s="1514"/>
      <c r="J294" s="1514"/>
      <c r="K294" s="1514"/>
      <c r="L294" s="783"/>
      <c r="M294" s="777"/>
      <c r="N294" s="1514"/>
      <c r="O294" s="1514"/>
      <c r="P294" s="783"/>
      <c r="Q294" s="1514"/>
      <c r="R294" s="1825"/>
      <c r="S294" s="777"/>
      <c r="T294" s="777"/>
      <c r="U294" s="777"/>
      <c r="V294" s="777"/>
      <c r="W294" s="777"/>
      <c r="X294" s="1588">
        <f t="shared" si="260"/>
        <v>0</v>
      </c>
      <c r="Y294" s="1561">
        <f t="shared" si="267"/>
        <v>0</v>
      </c>
      <c r="Z294" s="1514"/>
      <c r="AA294" s="1514"/>
      <c r="AB294" s="1514"/>
      <c r="AC294" s="1514"/>
      <c r="AD294" s="1514"/>
      <c r="AE294" s="1609">
        <f>X294/$X$7*100</f>
        <v>0</v>
      </c>
      <c r="AF294" s="1561">
        <f t="shared" si="262"/>
        <v>0</v>
      </c>
      <c r="AG294" s="1576">
        <f t="shared" si="268"/>
        <v>685000000</v>
      </c>
      <c r="AH294" s="1516"/>
      <c r="AI294" s="1826">
        <v>685000000</v>
      </c>
      <c r="AJ294" s="1600"/>
      <c r="AK294" s="1600"/>
      <c r="AL294" s="1613">
        <f>(AF294/AF24)*100</f>
        <v>0</v>
      </c>
      <c r="AM294" s="1614"/>
      <c r="AN294" s="1615">
        <f t="shared" si="269"/>
        <v>0</v>
      </c>
      <c r="AO294" s="1600"/>
      <c r="AP294" s="1738">
        <f t="shared" si="270"/>
        <v>0</v>
      </c>
      <c r="AQ294" s="1601"/>
      <c r="AR294" s="1600"/>
      <c r="AS294" s="1600"/>
      <c r="AT294" s="1600"/>
      <c r="AU294" s="1616"/>
      <c r="AV294" s="1617">
        <f t="shared" si="264"/>
        <v>0</v>
      </c>
      <c r="AW294" s="1627"/>
      <c r="AX294" s="1619">
        <f t="shared" si="265"/>
        <v>0</v>
      </c>
    </row>
    <row r="295" spans="1:50" hidden="1" x14ac:dyDescent="0.25">
      <c r="A295" s="1520" t="s">
        <v>562</v>
      </c>
      <c r="B295" s="1624" t="s">
        <v>564</v>
      </c>
      <c r="C295" s="1513"/>
      <c r="D295" s="1608">
        <f t="shared" si="266"/>
        <v>450000000</v>
      </c>
      <c r="E295" s="1552">
        <f t="shared" si="257"/>
        <v>450000000</v>
      </c>
      <c r="F295" s="1447">
        <f t="shared" si="258"/>
        <v>0</v>
      </c>
      <c r="G295" s="1514"/>
      <c r="H295" s="1514"/>
      <c r="I295" s="1514"/>
      <c r="J295" s="1514"/>
      <c r="K295" s="1514"/>
      <c r="L295" s="783"/>
      <c r="M295" s="777"/>
      <c r="N295" s="1514"/>
      <c r="O295" s="1514"/>
      <c r="P295" s="783"/>
      <c r="Q295" s="1514"/>
      <c r="R295" s="1825"/>
      <c r="S295" s="777"/>
      <c r="T295" s="777"/>
      <c r="U295" s="777"/>
      <c r="V295" s="777"/>
      <c r="W295" s="777"/>
      <c r="X295" s="1588">
        <f t="shared" si="260"/>
        <v>0</v>
      </c>
      <c r="Y295" s="1561">
        <f t="shared" si="267"/>
        <v>0</v>
      </c>
      <c r="Z295" s="1514"/>
      <c r="AA295" s="1514"/>
      <c r="AB295" s="1514"/>
      <c r="AC295" s="1514"/>
      <c r="AD295" s="1514"/>
      <c r="AE295" s="1609">
        <f>X295/$X$7*100</f>
        <v>0</v>
      </c>
      <c r="AF295" s="1561">
        <f t="shared" si="262"/>
        <v>0</v>
      </c>
      <c r="AG295" s="1576">
        <f t="shared" si="268"/>
        <v>450000000</v>
      </c>
      <c r="AH295" s="1516"/>
      <c r="AI295" s="1826">
        <v>450000000</v>
      </c>
      <c r="AJ295" s="1600"/>
      <c r="AK295" s="1600"/>
      <c r="AL295" s="1613">
        <f>(AF295/AF25)*100</f>
        <v>0</v>
      </c>
      <c r="AM295" s="1614"/>
      <c r="AN295" s="1615">
        <f t="shared" si="269"/>
        <v>0</v>
      </c>
      <c r="AO295" s="1600"/>
      <c r="AP295" s="1738">
        <f t="shared" si="270"/>
        <v>0</v>
      </c>
      <c r="AQ295" s="1601"/>
      <c r="AR295" s="1600"/>
      <c r="AS295" s="1600"/>
      <c r="AT295" s="1600"/>
      <c r="AU295" s="1616"/>
      <c r="AV295" s="1617">
        <f t="shared" si="264"/>
        <v>0</v>
      </c>
      <c r="AW295" s="1627">
        <f>AN295/1000</f>
        <v>0</v>
      </c>
      <c r="AX295" s="1619">
        <f t="shared" si="265"/>
        <v>0</v>
      </c>
    </row>
    <row r="296" spans="1:50" hidden="1" x14ac:dyDescent="0.25">
      <c r="A296" s="1520" t="s">
        <v>593</v>
      </c>
      <c r="B296" s="1624" t="s">
        <v>594</v>
      </c>
      <c r="C296" s="1513"/>
      <c r="D296" s="1827">
        <f t="shared" si="266"/>
        <v>0</v>
      </c>
      <c r="E296" s="1552">
        <f t="shared" si="257"/>
        <v>0</v>
      </c>
      <c r="F296" s="1447">
        <f t="shared" si="258"/>
        <v>0</v>
      </c>
      <c r="G296" s="1514"/>
      <c r="H296" s="1514"/>
      <c r="I296" s="1514"/>
      <c r="J296" s="1514"/>
      <c r="K296" s="1514"/>
      <c r="L296" s="783"/>
      <c r="M296" s="777"/>
      <c r="N296" s="1514"/>
      <c r="O296" s="1514"/>
      <c r="P296" s="783"/>
      <c r="Q296" s="1514"/>
      <c r="R296" s="1825"/>
      <c r="S296" s="777"/>
      <c r="T296" s="777"/>
      <c r="U296" s="777"/>
      <c r="V296" s="777"/>
      <c r="W296" s="777"/>
      <c r="X296" s="1588">
        <f t="shared" si="260"/>
        <v>0</v>
      </c>
      <c r="Y296" s="1561">
        <f t="shared" si="267"/>
        <v>0</v>
      </c>
      <c r="Z296" s="1514"/>
      <c r="AA296" s="1514"/>
      <c r="AB296" s="1514"/>
      <c r="AC296" s="1514"/>
      <c r="AD296" s="1514"/>
      <c r="AE296" s="1609">
        <f>X296/$X$7*100</f>
        <v>0</v>
      </c>
      <c r="AF296" s="1561">
        <f t="shared" si="262"/>
        <v>0</v>
      </c>
      <c r="AG296" s="1576">
        <f t="shared" si="268"/>
        <v>0</v>
      </c>
      <c r="AH296" s="1516"/>
      <c r="AI296" s="1826"/>
      <c r="AJ296" s="1600"/>
      <c r="AK296" s="1600"/>
      <c r="AL296" s="1613">
        <f>(AF296/AF26)*100</f>
        <v>0</v>
      </c>
      <c r="AM296" s="1614"/>
      <c r="AN296" s="1615">
        <f t="shared" si="269"/>
        <v>0</v>
      </c>
      <c r="AO296" s="1600"/>
      <c r="AP296" s="1738">
        <f t="shared" si="270"/>
        <v>0</v>
      </c>
      <c r="AQ296" s="1601"/>
      <c r="AR296" s="1600"/>
      <c r="AS296" s="1600"/>
      <c r="AT296" s="1600"/>
      <c r="AU296" s="1616"/>
      <c r="AV296" s="1617">
        <f t="shared" si="264"/>
        <v>0</v>
      </c>
      <c r="AW296" s="1627">
        <f>AN296/1000</f>
        <v>0</v>
      </c>
      <c r="AX296" s="1619">
        <f t="shared" si="265"/>
        <v>0</v>
      </c>
    </row>
    <row r="297" spans="1:50" hidden="1" x14ac:dyDescent="0.25">
      <c r="A297" s="1520" t="str">
        <f>+'[2]Egresos -2015 '!$A$278</f>
        <v>7.02.01.09</v>
      </c>
      <c r="B297" s="2014" t="str">
        <f>+'[2]Egresos -2015 '!$B$278</f>
        <v>Casos Individuales Art.59 Proyecto BRI-BRI</v>
      </c>
      <c r="C297" s="2015"/>
      <c r="D297" s="1828">
        <f t="shared" si="266"/>
        <v>740000000</v>
      </c>
      <c r="E297" s="1552">
        <f t="shared" si="257"/>
        <v>740000000</v>
      </c>
      <c r="F297" s="1447">
        <f t="shared" si="258"/>
        <v>0</v>
      </c>
      <c r="G297" s="1514"/>
      <c r="H297" s="1514"/>
      <c r="I297" s="1514"/>
      <c r="J297" s="1514"/>
      <c r="K297" s="1514"/>
      <c r="L297" s="783"/>
      <c r="M297" s="777"/>
      <c r="N297" s="1514"/>
      <c r="O297" s="1514"/>
      <c r="P297" s="783"/>
      <c r="Q297" s="1514"/>
      <c r="R297" s="1825"/>
      <c r="S297" s="777"/>
      <c r="T297" s="777"/>
      <c r="U297" s="777"/>
      <c r="V297" s="777"/>
      <c r="W297" s="777"/>
      <c r="X297" s="1588">
        <f t="shared" si="260"/>
        <v>0</v>
      </c>
      <c r="Y297" s="1561">
        <f t="shared" si="267"/>
        <v>0</v>
      </c>
      <c r="Z297" s="1514"/>
      <c r="AA297" s="1514"/>
      <c r="AB297" s="1514"/>
      <c r="AC297" s="1514"/>
      <c r="AD297" s="1514"/>
      <c r="AE297" s="1609">
        <f>X297/$X$7*100</f>
        <v>0</v>
      </c>
      <c r="AF297" s="1561">
        <f t="shared" si="262"/>
        <v>0</v>
      </c>
      <c r="AG297" s="1576">
        <f t="shared" si="268"/>
        <v>740000000</v>
      </c>
      <c r="AH297" s="1516"/>
      <c r="AI297" s="1826">
        <v>740000000</v>
      </c>
      <c r="AJ297" s="1600"/>
      <c r="AK297" s="1600"/>
      <c r="AL297" s="1613" t="e">
        <f>(AF297/AF27)*100</f>
        <v>#DIV/0!</v>
      </c>
      <c r="AM297" s="1614"/>
      <c r="AN297" s="1615">
        <f t="shared" si="269"/>
        <v>0</v>
      </c>
      <c r="AO297" s="1600"/>
      <c r="AP297" s="1738">
        <f t="shared" si="270"/>
        <v>0</v>
      </c>
      <c r="AQ297" s="1601"/>
      <c r="AR297" s="1600"/>
      <c r="AS297" s="1600"/>
      <c r="AT297" s="1600"/>
      <c r="AU297" s="1616"/>
      <c r="AV297" s="1617">
        <f t="shared" si="264"/>
        <v>0</v>
      </c>
      <c r="AW297" s="1627">
        <v>0</v>
      </c>
      <c r="AX297" s="1619">
        <f t="shared" si="265"/>
        <v>0</v>
      </c>
    </row>
    <row r="298" spans="1:50" ht="13.5" hidden="1" customHeight="1" x14ac:dyDescent="0.25">
      <c r="A298" s="1520" t="str">
        <f>+'[2]Egresos -2015 '!$A$280</f>
        <v>7.02.01.11</v>
      </c>
      <c r="B298" s="1624" t="str">
        <f>+'[2]Egresos -2015 '!$B$280</f>
        <v>Casos Individuales Art.59 Los Lirios</v>
      </c>
      <c r="C298" s="1513"/>
      <c r="D298" s="1828"/>
      <c r="E298" s="1552"/>
      <c r="F298" s="1447">
        <f t="shared" si="258"/>
        <v>0</v>
      </c>
      <c r="G298" s="1514"/>
      <c r="H298" s="1514"/>
      <c r="I298" s="1514"/>
      <c r="J298" s="1514"/>
      <c r="K298" s="1514"/>
      <c r="L298" s="783"/>
      <c r="M298" s="777"/>
      <c r="N298" s="1514"/>
      <c r="O298" s="1514"/>
      <c r="P298" s="783"/>
      <c r="Q298" s="1514"/>
      <c r="R298" s="1825"/>
      <c r="S298" s="777"/>
      <c r="T298" s="777"/>
      <c r="U298" s="777"/>
      <c r="V298" s="777"/>
      <c r="W298" s="777"/>
      <c r="X298" s="1588"/>
      <c r="Y298" s="1561"/>
      <c r="Z298" s="1514"/>
      <c r="AA298" s="1514"/>
      <c r="AB298" s="1514"/>
      <c r="AC298" s="1514"/>
      <c r="AD298" s="1514"/>
      <c r="AE298" s="1609">
        <f>X298/$X$7*100</f>
        <v>0</v>
      </c>
      <c r="AF298" s="1561"/>
      <c r="AG298" s="1576"/>
      <c r="AH298" s="1516"/>
      <c r="AI298" s="1826"/>
      <c r="AJ298" s="1600"/>
      <c r="AK298" s="1600"/>
      <c r="AL298" s="1613">
        <f>(AF298/AF28)*100</f>
        <v>0</v>
      </c>
      <c r="AM298" s="1614"/>
      <c r="AN298" s="1615"/>
      <c r="AO298" s="1600"/>
      <c r="AP298" s="1738"/>
      <c r="AQ298" s="1601"/>
      <c r="AR298" s="1600"/>
      <c r="AS298" s="1600"/>
      <c r="AT298" s="1600"/>
      <c r="AU298" s="1616"/>
      <c r="AV298" s="1617">
        <f t="shared" si="264"/>
        <v>0</v>
      </c>
      <c r="AW298" s="1627">
        <v>0</v>
      </c>
      <c r="AX298" s="1619">
        <f t="shared" si="265"/>
        <v>0</v>
      </c>
    </row>
    <row r="299" spans="1:50" ht="13.5" customHeight="1" x14ac:dyDescent="0.25">
      <c r="A299" s="1520"/>
      <c r="B299" s="1624" t="s">
        <v>749</v>
      </c>
      <c r="C299" s="1513"/>
      <c r="D299" s="1828"/>
      <c r="E299" s="1552"/>
      <c r="F299" s="1447">
        <f t="shared" si="258"/>
        <v>458960.97100000002</v>
      </c>
      <c r="G299" s="1514"/>
      <c r="H299" s="1514"/>
      <c r="I299" s="1514"/>
      <c r="J299" s="1514"/>
      <c r="K299" s="1514"/>
      <c r="L299" s="783"/>
      <c r="M299" s="777"/>
      <c r="N299" s="1514"/>
      <c r="O299" s="1514"/>
      <c r="P299" s="783"/>
      <c r="Q299" s="1514"/>
      <c r="R299" s="1825"/>
      <c r="S299" s="777"/>
      <c r="T299" s="777"/>
      <c r="U299" s="777"/>
      <c r="V299" s="777"/>
      <c r="W299" s="777"/>
      <c r="X299" s="1588">
        <v>0</v>
      </c>
      <c r="Y299" s="1561"/>
      <c r="Z299" s="1514"/>
      <c r="AA299" s="1514"/>
      <c r="AB299" s="1514"/>
      <c r="AC299" s="1514"/>
      <c r="AD299" s="1514"/>
      <c r="AE299" s="1609">
        <f>X299/$X$7</f>
        <v>0</v>
      </c>
      <c r="AF299" s="1561"/>
      <c r="AG299" s="1576"/>
      <c r="AH299" s="1516"/>
      <c r="AI299" s="1826"/>
      <c r="AJ299" s="1600"/>
      <c r="AK299" s="1600"/>
      <c r="AL299" s="1613">
        <f>(AF299/AF7)</f>
        <v>0</v>
      </c>
      <c r="AM299" s="1614">
        <f>458960971/1000</f>
        <v>458960.97100000002</v>
      </c>
      <c r="AN299" s="1615"/>
      <c r="AO299" s="1600"/>
      <c r="AP299" s="1738"/>
      <c r="AQ299" s="1601"/>
      <c r="AR299" s="1600"/>
      <c r="AS299" s="1600"/>
      <c r="AT299" s="1600"/>
      <c r="AU299" s="1616"/>
      <c r="AV299" s="1617">
        <f t="shared" si="264"/>
        <v>7.4258236684595316E-2</v>
      </c>
      <c r="AW299" s="1627">
        <v>0</v>
      </c>
      <c r="AX299" s="1619">
        <f t="shared" si="265"/>
        <v>0</v>
      </c>
    </row>
    <row r="300" spans="1:50" ht="13.5" customHeight="1" x14ac:dyDescent="0.25">
      <c r="A300" s="1520" t="str">
        <f>+'[2]Egresos -2015 '!$A$281</f>
        <v>7.02.01.12</v>
      </c>
      <c r="B300" s="1829" t="str">
        <f>+'[2]Egresos -2015 '!$B$281</f>
        <v>Casos Individuales Art.59 Juan Rafael Mora</v>
      </c>
      <c r="C300" s="1513"/>
      <c r="D300" s="1514"/>
      <c r="E300" s="1552"/>
      <c r="F300" s="1447">
        <f t="shared" si="258"/>
        <v>1064000</v>
      </c>
      <c r="G300" s="1514"/>
      <c r="H300" s="1514"/>
      <c r="I300" s="1514"/>
      <c r="J300" s="1514"/>
      <c r="K300" s="1514"/>
      <c r="L300" s="783"/>
      <c r="M300" s="777"/>
      <c r="N300" s="1514"/>
      <c r="O300" s="1514"/>
      <c r="P300" s="783"/>
      <c r="Q300" s="1514"/>
      <c r="R300" s="1825"/>
      <c r="S300" s="777"/>
      <c r="T300" s="777"/>
      <c r="U300" s="777"/>
      <c r="V300" s="777"/>
      <c r="W300" s="777"/>
      <c r="X300" s="1588">
        <v>0</v>
      </c>
      <c r="Y300" s="1514"/>
      <c r="Z300" s="1514"/>
      <c r="AA300" s="1514"/>
      <c r="AB300" s="1514"/>
      <c r="AC300" s="1514"/>
      <c r="AD300" s="1514"/>
      <c r="AE300" s="1609">
        <f>X300/$X$7</f>
        <v>0</v>
      </c>
      <c r="AF300" s="1561"/>
      <c r="AG300" s="1580"/>
      <c r="AH300" s="1516"/>
      <c r="AI300" s="1514"/>
      <c r="AJ300" s="1600"/>
      <c r="AK300" s="1600"/>
      <c r="AL300" s="1613">
        <f>(AF300/AF7)</f>
        <v>0</v>
      </c>
      <c r="AM300" s="1614">
        <f>1064000000/1000</f>
        <v>1064000</v>
      </c>
      <c r="AN300" s="1599"/>
      <c r="AO300" s="1600"/>
      <c r="AP300" s="1599"/>
      <c r="AQ300" s="1601"/>
      <c r="AR300" s="1600"/>
      <c r="AS300" s="1600"/>
      <c r="AT300" s="1600"/>
      <c r="AU300" s="1616"/>
      <c r="AV300" s="1617">
        <f t="shared" si="264"/>
        <v>0.17215137849359619</v>
      </c>
      <c r="AW300" s="1627">
        <v>0</v>
      </c>
      <c r="AX300" s="1619">
        <f t="shared" si="265"/>
        <v>0</v>
      </c>
    </row>
    <row r="301" spans="1:50" x14ac:dyDescent="0.25">
      <c r="A301" s="1511">
        <v>8</v>
      </c>
      <c r="B301" s="2001" t="s">
        <v>352</v>
      </c>
      <c r="C301" s="2008"/>
      <c r="D301" s="1554">
        <f>+D303</f>
        <v>16638947000</v>
      </c>
      <c r="E301" s="1572">
        <f>SUM(E303)</f>
        <v>16638947000</v>
      </c>
      <c r="F301" s="1495">
        <f t="shared" si="258"/>
        <v>10216380.5</v>
      </c>
      <c r="G301" s="1514"/>
      <c r="H301" s="1514"/>
      <c r="I301" s="1514"/>
      <c r="J301" s="1514"/>
      <c r="K301" s="1514"/>
      <c r="L301" s="783"/>
      <c r="M301" s="777"/>
      <c r="N301" s="1514"/>
      <c r="O301" s="1514"/>
      <c r="P301" s="783"/>
      <c r="Q301" s="1514"/>
      <c r="R301" s="1825"/>
      <c r="S301" s="777"/>
      <c r="T301" s="777"/>
      <c r="U301" s="777"/>
      <c r="V301" s="777"/>
      <c r="W301" s="777"/>
      <c r="X301" s="1628">
        <f>G301/1000</f>
        <v>0</v>
      </c>
      <c r="Y301" s="1514"/>
      <c r="Z301" s="1514"/>
      <c r="AA301" s="1514"/>
      <c r="AB301" s="1514"/>
      <c r="AC301" s="1514"/>
      <c r="AD301" s="1514"/>
      <c r="AE301" s="1575">
        <f>X301/$X$7</f>
        <v>0</v>
      </c>
      <c r="AF301" s="1557">
        <f>Y301/1000</f>
        <v>0</v>
      </c>
      <c r="AG301" s="1580">
        <f>SUM(AG303)</f>
        <v>0</v>
      </c>
      <c r="AH301" s="1689">
        <f>AH303</f>
        <v>0</v>
      </c>
      <c r="AI301" s="1597">
        <f>AI303</f>
        <v>0</v>
      </c>
      <c r="AJ301" s="1597">
        <f>AJ303</f>
        <v>0</v>
      </c>
      <c r="AK301" s="1597">
        <f>AK303</f>
        <v>0</v>
      </c>
      <c r="AL301" s="1577">
        <f>(AF301/AF7)</f>
        <v>0</v>
      </c>
      <c r="AM301" s="1598">
        <f>AG301/1000</f>
        <v>0</v>
      </c>
      <c r="AN301" s="1599">
        <f t="shared" ref="AN301:AU301" si="271">AN303</f>
        <v>16638947000</v>
      </c>
      <c r="AO301" s="1600">
        <f t="shared" si="271"/>
        <v>16638947000</v>
      </c>
      <c r="AP301" s="1599">
        <f t="shared" si="271"/>
        <v>0</v>
      </c>
      <c r="AQ301" s="1601">
        <f t="shared" si="271"/>
        <v>0</v>
      </c>
      <c r="AR301" s="1600">
        <f t="shared" si="271"/>
        <v>0</v>
      </c>
      <c r="AS301" s="1600">
        <f t="shared" si="271"/>
        <v>0</v>
      </c>
      <c r="AT301" s="1600">
        <f t="shared" si="271"/>
        <v>0</v>
      </c>
      <c r="AU301" s="1602">
        <f t="shared" si="271"/>
        <v>16638947000</v>
      </c>
      <c r="AV301" s="1603">
        <f t="shared" si="264"/>
        <v>0</v>
      </c>
      <c r="AW301" s="1631">
        <f>+AW303</f>
        <v>10216380.5</v>
      </c>
      <c r="AX301" s="1592">
        <f t="shared" si="265"/>
        <v>0.19242489610501559</v>
      </c>
    </row>
    <row r="302" spans="1:50" x14ac:dyDescent="0.25">
      <c r="A302" s="1520"/>
      <c r="B302" s="1829"/>
      <c r="C302" s="1513"/>
      <c r="D302" s="1830"/>
      <c r="E302" s="1552"/>
      <c r="F302" s="1447"/>
      <c r="G302" s="1514"/>
      <c r="H302" s="1514"/>
      <c r="I302" s="1514"/>
      <c r="J302" s="1514"/>
      <c r="K302" s="1514"/>
      <c r="L302" s="783"/>
      <c r="M302" s="777"/>
      <c r="N302" s="1514"/>
      <c r="O302" s="1514"/>
      <c r="P302" s="783"/>
      <c r="Q302" s="1514"/>
      <c r="R302" s="1825"/>
      <c r="S302" s="777"/>
      <c r="T302" s="777"/>
      <c r="U302" s="777"/>
      <c r="V302" s="777"/>
      <c r="W302" s="777"/>
      <c r="X302" s="1588"/>
      <c r="Y302" s="1514"/>
      <c r="Z302" s="1514"/>
      <c r="AA302" s="1514"/>
      <c r="AB302" s="1514"/>
      <c r="AC302" s="1514"/>
      <c r="AD302" s="1514"/>
      <c r="AE302" s="1609"/>
      <c r="AF302" s="1561"/>
      <c r="AG302" s="1580"/>
      <c r="AH302" s="1601"/>
      <c r="AI302" s="1600"/>
      <c r="AJ302" s="1600"/>
      <c r="AK302" s="1600"/>
      <c r="AL302" s="1613"/>
      <c r="AM302" s="1614"/>
      <c r="AN302" s="1599"/>
      <c r="AO302" s="1600"/>
      <c r="AP302" s="1599"/>
      <c r="AQ302" s="1601"/>
      <c r="AR302" s="1600"/>
      <c r="AS302" s="1600"/>
      <c r="AT302" s="1600"/>
      <c r="AU302" s="1616"/>
      <c r="AV302" s="1603"/>
      <c r="AW302" s="1627"/>
      <c r="AX302" s="1592"/>
    </row>
    <row r="303" spans="1:50" ht="15.75" customHeight="1" x14ac:dyDescent="0.25">
      <c r="A303" s="1517" t="s">
        <v>353</v>
      </c>
      <c r="B303" s="2001" t="s">
        <v>354</v>
      </c>
      <c r="C303" s="2002"/>
      <c r="D303" s="1554">
        <f>SUM(D304:D307)</f>
        <v>16638947000</v>
      </c>
      <c r="E303" s="1572">
        <f>SUM(G303+Y303+AG303+AN303)</f>
        <v>16638947000</v>
      </c>
      <c r="F303" s="1495">
        <f>+X303+AF303+AM303+AW303</f>
        <v>10216380.5</v>
      </c>
      <c r="G303" s="1514"/>
      <c r="H303" s="1514"/>
      <c r="I303" s="1514"/>
      <c r="J303" s="1514"/>
      <c r="K303" s="1514"/>
      <c r="L303" s="783"/>
      <c r="M303" s="777"/>
      <c r="N303" s="1514"/>
      <c r="O303" s="1514"/>
      <c r="P303" s="783"/>
      <c r="Q303" s="1514"/>
      <c r="R303" s="1825"/>
      <c r="S303" s="777"/>
      <c r="T303" s="777"/>
      <c r="U303" s="777"/>
      <c r="V303" s="777"/>
      <c r="W303" s="777"/>
      <c r="X303" s="1628">
        <f>G303/1000</f>
        <v>0</v>
      </c>
      <c r="Y303" s="1514"/>
      <c r="Z303" s="1514"/>
      <c r="AA303" s="1514"/>
      <c r="AB303" s="1514"/>
      <c r="AC303" s="1514"/>
      <c r="AD303" s="1514"/>
      <c r="AE303" s="1575">
        <f>X303/$X$7</f>
        <v>0</v>
      </c>
      <c r="AF303" s="1557">
        <f>Y303/1000</f>
        <v>0</v>
      </c>
      <c r="AG303" s="1580">
        <f>SUM(AG307)</f>
        <v>0</v>
      </c>
      <c r="AH303" s="1689">
        <f>SUM(AH304:AH307)</f>
        <v>0</v>
      </c>
      <c r="AI303" s="1597">
        <f>SUM(AI304:AI307)</f>
        <v>0</v>
      </c>
      <c r="AJ303" s="1597">
        <f>SUM(AJ304:AJ307)</f>
        <v>0</v>
      </c>
      <c r="AK303" s="1597">
        <f>SUM(AK304:AK307)</f>
        <v>0</v>
      </c>
      <c r="AL303" s="1577">
        <f>(AF303/AF7)</f>
        <v>0</v>
      </c>
      <c r="AM303" s="1598">
        <f>AG303/1000</f>
        <v>0</v>
      </c>
      <c r="AN303" s="1599">
        <f t="shared" ref="AN303:AU303" si="272">SUM(AN304:AN307)</f>
        <v>16638947000</v>
      </c>
      <c r="AO303" s="1600">
        <f t="shared" si="272"/>
        <v>16638947000</v>
      </c>
      <c r="AP303" s="1599">
        <f t="shared" si="272"/>
        <v>0</v>
      </c>
      <c r="AQ303" s="1601">
        <f t="shared" si="272"/>
        <v>0</v>
      </c>
      <c r="AR303" s="1600">
        <f t="shared" si="272"/>
        <v>0</v>
      </c>
      <c r="AS303" s="1600">
        <f t="shared" si="272"/>
        <v>0</v>
      </c>
      <c r="AT303" s="1600">
        <f t="shared" si="272"/>
        <v>0</v>
      </c>
      <c r="AU303" s="1602">
        <f t="shared" si="272"/>
        <v>16638947000</v>
      </c>
      <c r="AV303" s="1603">
        <f>AM303/$AM$7</f>
        <v>0</v>
      </c>
      <c r="AW303" s="1631">
        <f>+AW307</f>
        <v>10216380.5</v>
      </c>
      <c r="AX303" s="1592">
        <f>AW303/$AW$7</f>
        <v>0.19242489610501559</v>
      </c>
    </row>
    <row r="304" spans="1:50" ht="15" hidden="1" customHeight="1" x14ac:dyDescent="0.25">
      <c r="A304" s="1520" t="s">
        <v>355</v>
      </c>
      <c r="B304" s="2003" t="s">
        <v>356</v>
      </c>
      <c r="C304" s="2004"/>
      <c r="D304" s="1831">
        <f>+G304+Y304+AG304+AN304</f>
        <v>0</v>
      </c>
      <c r="E304" s="1552">
        <f>SUM(G304+Y304+AG304+AN304)</f>
        <v>0</v>
      </c>
      <c r="F304" s="1447">
        <f>+X304+AF304+AM304+AW304</f>
        <v>0</v>
      </c>
      <c r="G304" s="1514"/>
      <c r="H304" s="1514"/>
      <c r="I304" s="1514"/>
      <c r="J304" s="1514"/>
      <c r="K304" s="1514"/>
      <c r="L304" s="783"/>
      <c r="M304" s="777"/>
      <c r="N304" s="1514"/>
      <c r="O304" s="1514"/>
      <c r="P304" s="783"/>
      <c r="Q304" s="1514"/>
      <c r="R304" s="1825"/>
      <c r="S304" s="777"/>
      <c r="T304" s="777"/>
      <c r="U304" s="777"/>
      <c r="V304" s="777"/>
      <c r="W304" s="777"/>
      <c r="X304" s="1588">
        <f>G304/1000</f>
        <v>0</v>
      </c>
      <c r="Y304" s="1514"/>
      <c r="Z304" s="1514"/>
      <c r="AA304" s="1514"/>
      <c r="AB304" s="1514"/>
      <c r="AC304" s="1514"/>
      <c r="AD304" s="1514"/>
      <c r="AE304" s="1609">
        <f>X304/$X$7*100</f>
        <v>0</v>
      </c>
      <c r="AF304" s="1561">
        <f>Y304/1000</f>
        <v>0</v>
      </c>
      <c r="AG304" s="1580">
        <f>SUM(AH304:AJ304)</f>
        <v>0</v>
      </c>
      <c r="AH304" s="1601">
        <v>0</v>
      </c>
      <c r="AI304" s="1600">
        <v>0</v>
      </c>
      <c r="AJ304" s="1600">
        <v>0</v>
      </c>
      <c r="AK304" s="1600">
        <v>0</v>
      </c>
      <c r="AL304" s="1613" t="e">
        <f>(AF304/AF34)*100</f>
        <v>#DIV/0!</v>
      </c>
      <c r="AM304" s="1614">
        <f>AG304/1000</f>
        <v>0</v>
      </c>
      <c r="AN304" s="1599">
        <v>0</v>
      </c>
      <c r="AO304" s="1600">
        <v>0</v>
      </c>
      <c r="AP304" s="1599">
        <v>0</v>
      </c>
      <c r="AQ304" s="1601">
        <v>0</v>
      </c>
      <c r="AR304" s="1600">
        <v>0</v>
      </c>
      <c r="AS304" s="1600">
        <v>0</v>
      </c>
      <c r="AT304" s="1600">
        <v>0</v>
      </c>
      <c r="AU304" s="1616">
        <v>0</v>
      </c>
      <c r="AV304" s="1603">
        <f>AM304/$AM$7</f>
        <v>0</v>
      </c>
      <c r="AW304" s="1627">
        <f>AN304/1000</f>
        <v>0</v>
      </c>
      <c r="AX304" s="1592">
        <f>AW304/$AW$7</f>
        <v>0</v>
      </c>
    </row>
    <row r="305" spans="1:50" ht="15" hidden="1" customHeight="1" x14ac:dyDescent="0.25">
      <c r="A305" s="1520" t="s">
        <v>357</v>
      </c>
      <c r="B305" s="2003" t="s">
        <v>358</v>
      </c>
      <c r="C305" s="2004"/>
      <c r="D305" s="1831">
        <f>+G305+Y305+AG305+AN305</f>
        <v>0</v>
      </c>
      <c r="E305" s="1552">
        <f>SUM(G305+Y305+AG305+AN305)</f>
        <v>0</v>
      </c>
      <c r="F305" s="1447">
        <f>+X305+AF305+AM305+AW305</f>
        <v>0</v>
      </c>
      <c r="G305" s="1514"/>
      <c r="H305" s="1514"/>
      <c r="I305" s="1514"/>
      <c r="J305" s="1514"/>
      <c r="K305" s="1514"/>
      <c r="L305" s="783"/>
      <c r="M305" s="777"/>
      <c r="N305" s="1514"/>
      <c r="O305" s="1514"/>
      <c r="P305" s="783"/>
      <c r="Q305" s="1514"/>
      <c r="R305" s="1825"/>
      <c r="S305" s="777"/>
      <c r="T305" s="777"/>
      <c r="U305" s="777"/>
      <c r="V305" s="777"/>
      <c r="W305" s="777"/>
      <c r="X305" s="1588">
        <f>G305/1000</f>
        <v>0</v>
      </c>
      <c r="Y305" s="1514"/>
      <c r="Z305" s="1514"/>
      <c r="AA305" s="1514"/>
      <c r="AB305" s="1514"/>
      <c r="AC305" s="1514"/>
      <c r="AD305" s="1514"/>
      <c r="AE305" s="1609">
        <f>X305/$X$7*100</f>
        <v>0</v>
      </c>
      <c r="AF305" s="1561">
        <f>Y305/1000</f>
        <v>0</v>
      </c>
      <c r="AG305" s="1580">
        <f>SUM(AH305:AJ305)</f>
        <v>0</v>
      </c>
      <c r="AH305" s="1601">
        <v>0</v>
      </c>
      <c r="AI305" s="1600">
        <v>0</v>
      </c>
      <c r="AJ305" s="1600">
        <v>0</v>
      </c>
      <c r="AK305" s="1600">
        <v>0</v>
      </c>
      <c r="AL305" s="1613">
        <f>(AF305/AF35)*100</f>
        <v>0</v>
      </c>
      <c r="AM305" s="1614">
        <f>AG305/1000</f>
        <v>0</v>
      </c>
      <c r="AN305" s="1599">
        <v>0</v>
      </c>
      <c r="AO305" s="1600">
        <v>0</v>
      </c>
      <c r="AP305" s="1599">
        <v>0</v>
      </c>
      <c r="AQ305" s="1601">
        <v>0</v>
      </c>
      <c r="AR305" s="1600">
        <v>0</v>
      </c>
      <c r="AS305" s="1600">
        <v>0</v>
      </c>
      <c r="AT305" s="1600">
        <v>0</v>
      </c>
      <c r="AU305" s="1616">
        <v>0</v>
      </c>
      <c r="AV305" s="1603">
        <f>AM305/$AM$7</f>
        <v>0</v>
      </c>
      <c r="AW305" s="1627">
        <f>AN305/1000</f>
        <v>0</v>
      </c>
      <c r="AX305" s="1592">
        <f>AW305/$AW$7</f>
        <v>0</v>
      </c>
    </row>
    <row r="306" spans="1:50" ht="15" hidden="1" customHeight="1" x14ac:dyDescent="0.25">
      <c r="A306" s="1520" t="s">
        <v>359</v>
      </c>
      <c r="B306" s="2003" t="s">
        <v>360</v>
      </c>
      <c r="C306" s="2004"/>
      <c r="D306" s="1831">
        <f>+G306+Y306+AG306+AN306</f>
        <v>0</v>
      </c>
      <c r="E306" s="1552">
        <f>SUM(G306+Y306+AG306+AN306)</f>
        <v>0</v>
      </c>
      <c r="F306" s="1447">
        <f>+X306+AF306+AM306+AW306</f>
        <v>0</v>
      </c>
      <c r="G306" s="1514"/>
      <c r="H306" s="1514"/>
      <c r="I306" s="1514"/>
      <c r="J306" s="1514"/>
      <c r="K306" s="1514"/>
      <c r="L306" s="783"/>
      <c r="M306" s="777"/>
      <c r="N306" s="1514"/>
      <c r="O306" s="1514"/>
      <c r="P306" s="783"/>
      <c r="Q306" s="1514"/>
      <c r="R306" s="1825"/>
      <c r="S306" s="777"/>
      <c r="T306" s="777"/>
      <c r="U306" s="777"/>
      <c r="V306" s="777"/>
      <c r="W306" s="777"/>
      <c r="X306" s="1588">
        <f>G306/1000</f>
        <v>0</v>
      </c>
      <c r="Y306" s="1514"/>
      <c r="Z306" s="1514"/>
      <c r="AA306" s="1514"/>
      <c r="AB306" s="1514"/>
      <c r="AC306" s="1514"/>
      <c r="AD306" s="1514"/>
      <c r="AE306" s="1609">
        <f>X306/$X$7*100</f>
        <v>0</v>
      </c>
      <c r="AF306" s="1561">
        <f>Y306/1000</f>
        <v>0</v>
      </c>
      <c r="AG306" s="1580">
        <f>SUM(AH306:AJ306)</f>
        <v>0</v>
      </c>
      <c r="AH306" s="1601">
        <v>0</v>
      </c>
      <c r="AI306" s="1600">
        <v>0</v>
      </c>
      <c r="AJ306" s="1600">
        <v>0</v>
      </c>
      <c r="AK306" s="1600">
        <v>0</v>
      </c>
      <c r="AL306" s="1613" t="e">
        <f>(AF306/AF36)*100</f>
        <v>#DIV/0!</v>
      </c>
      <c r="AM306" s="1614">
        <f>AG306/1000</f>
        <v>0</v>
      </c>
      <c r="AN306" s="1599">
        <v>0</v>
      </c>
      <c r="AO306" s="1600">
        <v>0</v>
      </c>
      <c r="AP306" s="1599">
        <v>0</v>
      </c>
      <c r="AQ306" s="1601">
        <v>0</v>
      </c>
      <c r="AR306" s="1600">
        <v>0</v>
      </c>
      <c r="AS306" s="1600">
        <v>0</v>
      </c>
      <c r="AT306" s="1600">
        <v>0</v>
      </c>
      <c r="AU306" s="1616">
        <v>0</v>
      </c>
      <c r="AV306" s="1603">
        <f>AM306/$AM$7</f>
        <v>0</v>
      </c>
      <c r="AW306" s="1627">
        <f>AN306/1000</f>
        <v>0</v>
      </c>
      <c r="AX306" s="1592">
        <f>AW306/$AW$7</f>
        <v>0</v>
      </c>
    </row>
    <row r="307" spans="1:50" ht="15" customHeight="1" x14ac:dyDescent="0.25">
      <c r="A307" s="1520" t="s">
        <v>361</v>
      </c>
      <c r="B307" s="2003" t="s">
        <v>362</v>
      </c>
      <c r="C307" s="2004"/>
      <c r="D307" s="1831">
        <f>+G307+Y307+AG307+AN307</f>
        <v>16638947000</v>
      </c>
      <c r="E307" s="1552">
        <f>SUM(G307+Y307+AG307+AN307)</f>
        <v>16638947000</v>
      </c>
      <c r="F307" s="1447">
        <f>+X307+AF307+AM307+AW307</f>
        <v>10216380.5</v>
      </c>
      <c r="G307" s="1514"/>
      <c r="H307" s="1514"/>
      <c r="I307" s="1514"/>
      <c r="J307" s="1514"/>
      <c r="K307" s="1514"/>
      <c r="L307" s="783"/>
      <c r="M307" s="777"/>
      <c r="N307" s="1514"/>
      <c r="O307" s="1514"/>
      <c r="P307" s="783"/>
      <c r="Q307" s="1514"/>
      <c r="R307" s="1825"/>
      <c r="S307" s="777"/>
      <c r="T307" s="777"/>
      <c r="U307" s="777"/>
      <c r="V307" s="777"/>
      <c r="W307" s="777"/>
      <c r="X307" s="1588">
        <f>G307/1000</f>
        <v>0</v>
      </c>
      <c r="Y307" s="1561">
        <f>SUM(Z307:AD307)</f>
        <v>0</v>
      </c>
      <c r="Z307" s="1514"/>
      <c r="AA307" s="1514"/>
      <c r="AB307" s="1514"/>
      <c r="AC307" s="1514"/>
      <c r="AD307" s="1514"/>
      <c r="AE307" s="1609">
        <f>X307/$X$7</f>
        <v>0</v>
      </c>
      <c r="AF307" s="1561">
        <f>Y307/1000</f>
        <v>0</v>
      </c>
      <c r="AG307" s="1576">
        <f>SUM(AH307:AK307)</f>
        <v>0</v>
      </c>
      <c r="AH307" s="1601">
        <v>0</v>
      </c>
      <c r="AI307" s="1600">
        <v>0</v>
      </c>
      <c r="AJ307" s="1600">
        <v>0</v>
      </c>
      <c r="AK307" s="1600">
        <v>0</v>
      </c>
      <c r="AL307" s="1613">
        <f>(AF307/AF7)</f>
        <v>0</v>
      </c>
      <c r="AM307" s="1614">
        <f>AG307/1000</f>
        <v>0</v>
      </c>
      <c r="AN307" s="1615">
        <f>SUM(AO307+AP307)</f>
        <v>16638947000</v>
      </c>
      <c r="AO307" s="1600">
        <v>16638947000</v>
      </c>
      <c r="AP307" s="1738">
        <f>SUM(AQ307:AT307)</f>
        <v>0</v>
      </c>
      <c r="AQ307" s="1601">
        <v>0</v>
      </c>
      <c r="AR307" s="1600">
        <v>0</v>
      </c>
      <c r="AS307" s="1600">
        <v>0</v>
      </c>
      <c r="AT307" s="1600">
        <v>0</v>
      </c>
      <c r="AU307" s="1616">
        <f>SUM(AN307+AG307+Y307+G307)</f>
        <v>16638947000</v>
      </c>
      <c r="AV307" s="1617">
        <f>AM307/$AM$7</f>
        <v>0</v>
      </c>
      <c r="AW307" s="1627">
        <f>10216380500/1000</f>
        <v>10216380.5</v>
      </c>
      <c r="AX307" s="1619">
        <f>AW307/$AW$7</f>
        <v>0.19242489610501559</v>
      </c>
    </row>
    <row r="308" spans="1:50" x14ac:dyDescent="0.25">
      <c r="A308" s="1520"/>
      <c r="B308" s="1829"/>
      <c r="C308" s="1513"/>
      <c r="D308" s="1514"/>
      <c r="E308" s="1552"/>
      <c r="F308" s="1447"/>
      <c r="G308" s="1514"/>
      <c r="H308" s="1514"/>
      <c r="I308" s="1514"/>
      <c r="J308" s="1514"/>
      <c r="K308" s="1514"/>
      <c r="L308" s="783"/>
      <c r="M308" s="777"/>
      <c r="N308" s="1514"/>
      <c r="O308" s="1514"/>
      <c r="P308" s="783"/>
      <c r="Q308" s="1514"/>
      <c r="R308" s="1825"/>
      <c r="S308" s="777"/>
      <c r="T308" s="777"/>
      <c r="U308" s="777"/>
      <c r="V308" s="777"/>
      <c r="W308" s="777"/>
      <c r="X308" s="1588"/>
      <c r="Y308" s="1514"/>
      <c r="Z308" s="1514"/>
      <c r="AA308" s="1514"/>
      <c r="AB308" s="1514"/>
      <c r="AC308" s="1514"/>
      <c r="AD308" s="1514"/>
      <c r="AE308" s="1609"/>
      <c r="AF308" s="1561"/>
      <c r="AG308" s="1580"/>
      <c r="AH308" s="1601"/>
      <c r="AI308" s="1600"/>
      <c r="AJ308" s="1600"/>
      <c r="AK308" s="1600"/>
      <c r="AL308" s="1613"/>
      <c r="AM308" s="1614"/>
      <c r="AN308" s="1599"/>
      <c r="AO308" s="1600"/>
      <c r="AP308" s="1599"/>
      <c r="AQ308" s="1601"/>
      <c r="AR308" s="1600"/>
      <c r="AS308" s="1600"/>
      <c r="AT308" s="1600"/>
      <c r="AU308" s="1616"/>
      <c r="AV308" s="1603"/>
      <c r="AW308" s="1627"/>
      <c r="AX308" s="1592"/>
    </row>
    <row r="309" spans="1:50" ht="15.75" customHeight="1" x14ac:dyDescent="0.25">
      <c r="A309" s="1511">
        <v>9</v>
      </c>
      <c r="B309" s="2005" t="s">
        <v>363</v>
      </c>
      <c r="C309" s="2004"/>
      <c r="D309" s="1657">
        <f>+D311</f>
        <v>2207142465.7992001</v>
      </c>
      <c r="E309" s="1572">
        <f>SUM(E311)</f>
        <v>2207142465.7992001</v>
      </c>
      <c r="F309" s="1495">
        <f>+X309+AF309+AM309+AW309</f>
        <v>3350417.5040000002</v>
      </c>
      <c r="G309" s="1514"/>
      <c r="H309" s="1514"/>
      <c r="I309" s="1514"/>
      <c r="J309" s="1514"/>
      <c r="K309" s="1514"/>
      <c r="L309" s="783"/>
      <c r="M309" s="777"/>
      <c r="N309" s="1514"/>
      <c r="O309" s="1514"/>
      <c r="P309" s="783"/>
      <c r="Q309" s="1514"/>
      <c r="R309" s="1825"/>
      <c r="S309" s="777"/>
      <c r="T309" s="777"/>
      <c r="U309" s="777"/>
      <c r="V309" s="777"/>
      <c r="W309" s="777"/>
      <c r="X309" s="1628">
        <f>X311</f>
        <v>8400</v>
      </c>
      <c r="Y309" s="1832">
        <f t="shared" ref="Y309:AD309" si="273">SUM(Y311)</f>
        <v>292887803.04920006</v>
      </c>
      <c r="Z309" s="1832">
        <f t="shared" si="273"/>
        <v>0</v>
      </c>
      <c r="AA309" s="1832">
        <f t="shared" si="273"/>
        <v>292887803.04920006</v>
      </c>
      <c r="AB309" s="1832">
        <f t="shared" si="273"/>
        <v>0</v>
      </c>
      <c r="AC309" s="1832">
        <f t="shared" si="273"/>
        <v>0</v>
      </c>
      <c r="AD309" s="1832">
        <f t="shared" si="273"/>
        <v>0</v>
      </c>
      <c r="AE309" s="1575">
        <f>X309/$X$7</f>
        <v>1.9610612605279079E-3</v>
      </c>
      <c r="AF309" s="1557">
        <f>+AF311</f>
        <v>0</v>
      </c>
      <c r="AG309" s="1580">
        <f>SUM(AG311)</f>
        <v>135044644.78</v>
      </c>
      <c r="AH309" s="1689">
        <f>AH311</f>
        <v>135044644.78</v>
      </c>
      <c r="AI309" s="1597">
        <f>AI311</f>
        <v>0</v>
      </c>
      <c r="AJ309" s="1597">
        <f>AJ311</f>
        <v>0</v>
      </c>
      <c r="AK309" s="1597">
        <f>AK311</f>
        <v>0</v>
      </c>
      <c r="AL309" s="1577">
        <f>(AF309/AF7)</f>
        <v>0</v>
      </c>
      <c r="AM309" s="1598">
        <f>+AM311</f>
        <v>673319.93799999997</v>
      </c>
      <c r="AN309" s="1599">
        <f t="shared" ref="AN309:AU309" si="274">AN311</f>
        <v>1779210017.97</v>
      </c>
      <c r="AO309" s="1600">
        <f t="shared" si="274"/>
        <v>1779210017.97</v>
      </c>
      <c r="AP309" s="1599">
        <f t="shared" si="274"/>
        <v>0</v>
      </c>
      <c r="AQ309" s="1601">
        <f t="shared" si="274"/>
        <v>0</v>
      </c>
      <c r="AR309" s="1600">
        <f t="shared" si="274"/>
        <v>0</v>
      </c>
      <c r="AS309" s="1600">
        <f t="shared" si="274"/>
        <v>0</v>
      </c>
      <c r="AT309" s="1600">
        <f t="shared" si="274"/>
        <v>0</v>
      </c>
      <c r="AU309" s="1602">
        <f t="shared" si="274"/>
        <v>2207142465.7992001</v>
      </c>
      <c r="AV309" s="1603">
        <f>AM309/$AM$7</f>
        <v>0.1089407476446642</v>
      </c>
      <c r="AW309" s="1631">
        <f>+AW311</f>
        <v>2668697.5660000001</v>
      </c>
      <c r="AX309" s="1592">
        <f>AW309/$AW$7</f>
        <v>5.0264753928581457E-2</v>
      </c>
    </row>
    <row r="310" spans="1:50" x14ac:dyDescent="0.25">
      <c r="A310" s="1511"/>
      <c r="B310" s="1512"/>
      <c r="C310" s="1513"/>
      <c r="D310" s="777"/>
      <c r="E310" s="1552"/>
      <c r="F310" s="1447"/>
      <c r="G310" s="1514"/>
      <c r="H310" s="1514"/>
      <c r="I310" s="1514"/>
      <c r="J310" s="1514"/>
      <c r="K310" s="1514"/>
      <c r="L310" s="783"/>
      <c r="M310" s="777"/>
      <c r="N310" s="1514"/>
      <c r="O310" s="1514"/>
      <c r="P310" s="783"/>
      <c r="Q310" s="1514"/>
      <c r="R310" s="1825"/>
      <c r="S310" s="777"/>
      <c r="T310" s="777"/>
      <c r="U310" s="777"/>
      <c r="V310" s="777"/>
      <c r="W310" s="777"/>
      <c r="X310" s="1588"/>
      <c r="Y310" s="1833"/>
      <c r="Z310" s="1833"/>
      <c r="AA310" s="1833"/>
      <c r="AB310" s="1833"/>
      <c r="AC310" s="1833"/>
      <c r="AD310" s="1833"/>
      <c r="AE310" s="1609"/>
      <c r="AF310" s="1561"/>
      <c r="AG310" s="1580"/>
      <c r="AH310" s="1689"/>
      <c r="AI310" s="1597"/>
      <c r="AJ310" s="1597"/>
      <c r="AK310" s="1597"/>
      <c r="AL310" s="1577"/>
      <c r="AM310" s="1614"/>
      <c r="AN310" s="1599"/>
      <c r="AO310" s="1600"/>
      <c r="AP310" s="1599"/>
      <c r="AQ310" s="1601"/>
      <c r="AR310" s="1600"/>
      <c r="AS310" s="1600"/>
      <c r="AT310" s="1600"/>
      <c r="AU310" s="1602"/>
      <c r="AV310" s="1603"/>
      <c r="AW310" s="1627"/>
      <c r="AX310" s="1592"/>
    </row>
    <row r="311" spans="1:50" ht="15.75" customHeight="1" x14ac:dyDescent="0.25">
      <c r="A311" s="1517" t="s">
        <v>364</v>
      </c>
      <c r="B311" s="2005" t="s">
        <v>365</v>
      </c>
      <c r="C311" s="2004"/>
      <c r="D311" s="1657">
        <f>+D312+D313</f>
        <v>2207142465.7992001</v>
      </c>
      <c r="E311" s="1552">
        <f>SUM(E313)</f>
        <v>2207142465.7992001</v>
      </c>
      <c r="F311" s="1495">
        <f>+X311+AF311+AM311+AW311</f>
        <v>3350417.5040000002</v>
      </c>
      <c r="G311" s="1514"/>
      <c r="H311" s="1514"/>
      <c r="I311" s="1514"/>
      <c r="J311" s="1514"/>
      <c r="K311" s="1514"/>
      <c r="L311" s="783"/>
      <c r="M311" s="777"/>
      <c r="N311" s="1514"/>
      <c r="O311" s="1514"/>
      <c r="P311" s="783"/>
      <c r="Q311" s="1514"/>
      <c r="R311" s="1825"/>
      <c r="S311" s="777"/>
      <c r="T311" s="777"/>
      <c r="U311" s="777"/>
      <c r="V311" s="777"/>
      <c r="W311" s="777"/>
      <c r="X311" s="1628">
        <f>X313</f>
        <v>8400</v>
      </c>
      <c r="Y311" s="1834">
        <f t="shared" ref="Y311:AD311" si="275">SUM(Y313)</f>
        <v>292887803.04920006</v>
      </c>
      <c r="Z311" s="1834">
        <f t="shared" si="275"/>
        <v>0</v>
      </c>
      <c r="AA311" s="1834">
        <f t="shared" si="275"/>
        <v>292887803.04920006</v>
      </c>
      <c r="AB311" s="1834">
        <f t="shared" si="275"/>
        <v>0</v>
      </c>
      <c r="AC311" s="1834">
        <f t="shared" si="275"/>
        <v>0</v>
      </c>
      <c r="AD311" s="1834">
        <f t="shared" si="275"/>
        <v>0</v>
      </c>
      <c r="AE311" s="1575">
        <f>X311/$X$7</f>
        <v>1.9610612605279079E-3</v>
      </c>
      <c r="AF311" s="1557">
        <f>+AF313</f>
        <v>0</v>
      </c>
      <c r="AG311" s="1580">
        <f>SUM(AG312:AG313)</f>
        <v>135044644.78</v>
      </c>
      <c r="AH311" s="1689">
        <f>SUM(AH312:AH313)</f>
        <v>135044644.78</v>
      </c>
      <c r="AI311" s="1597">
        <f>SUM(AI312:AI313)</f>
        <v>0</v>
      </c>
      <c r="AJ311" s="1597">
        <f>SUM(AJ312:AJ313)</f>
        <v>0</v>
      </c>
      <c r="AK311" s="1597">
        <f>SUM(AK312:AK313)</f>
        <v>0</v>
      </c>
      <c r="AL311" s="1577">
        <f>(AF311/AF7)</f>
        <v>0</v>
      </c>
      <c r="AM311" s="1598">
        <f>+AM313</f>
        <v>673319.93799999997</v>
      </c>
      <c r="AN311" s="1599">
        <f t="shared" ref="AN311:AU311" si="276">SUM(AN312:AN313)</f>
        <v>1779210017.97</v>
      </c>
      <c r="AO311" s="1600">
        <f t="shared" si="276"/>
        <v>1779210017.97</v>
      </c>
      <c r="AP311" s="1599">
        <f t="shared" si="276"/>
        <v>0</v>
      </c>
      <c r="AQ311" s="1601">
        <f t="shared" si="276"/>
        <v>0</v>
      </c>
      <c r="AR311" s="1600">
        <f t="shared" si="276"/>
        <v>0</v>
      </c>
      <c r="AS311" s="1600">
        <f t="shared" si="276"/>
        <v>0</v>
      </c>
      <c r="AT311" s="1600">
        <f t="shared" si="276"/>
        <v>0</v>
      </c>
      <c r="AU311" s="1602">
        <f t="shared" si="276"/>
        <v>2207142465.7992001</v>
      </c>
      <c r="AV311" s="1603">
        <f>AM311/$AM$7</f>
        <v>0.1089407476446642</v>
      </c>
      <c r="AW311" s="1631">
        <f>+AW313</f>
        <v>2668697.5660000001</v>
      </c>
      <c r="AX311" s="1592">
        <f>AW311/$AW$7</f>
        <v>5.0264753928581457E-2</v>
      </c>
    </row>
    <row r="312" spans="1:50" ht="15" hidden="1" customHeight="1" x14ac:dyDescent="0.25">
      <c r="A312" s="1520" t="s">
        <v>366</v>
      </c>
      <c r="B312" s="2003" t="s">
        <v>367</v>
      </c>
      <c r="C312" s="2004"/>
      <c r="D312" s="1831">
        <f>+G312+Y312+AG312+AN312</f>
        <v>0</v>
      </c>
      <c r="E312" s="1552">
        <f>SUM(G312+Y312+AG312+AN312)</f>
        <v>0</v>
      </c>
      <c r="F312" s="1447">
        <f>+X312+AF312+AM312+AW312</f>
        <v>0</v>
      </c>
      <c r="G312" s="1514"/>
      <c r="H312" s="1514"/>
      <c r="I312" s="1514"/>
      <c r="J312" s="1514"/>
      <c r="K312" s="1514"/>
      <c r="L312" s="783"/>
      <c r="M312" s="777"/>
      <c r="N312" s="1514"/>
      <c r="O312" s="1514"/>
      <c r="P312" s="783"/>
      <c r="Q312" s="1514"/>
      <c r="R312" s="1825"/>
      <c r="S312" s="777"/>
      <c r="T312" s="777"/>
      <c r="U312" s="777"/>
      <c r="V312" s="777"/>
      <c r="W312" s="777"/>
      <c r="X312" s="1588">
        <f>G312/1000</f>
        <v>0</v>
      </c>
      <c r="Y312" s="1561">
        <f>SUM(Z312:AD312)</f>
        <v>0</v>
      </c>
      <c r="Z312" s="1833"/>
      <c r="AA312" s="1833"/>
      <c r="AB312" s="1833"/>
      <c r="AC312" s="1833"/>
      <c r="AD312" s="1833"/>
      <c r="AE312" s="1609">
        <f>X312/$X$7*100</f>
        <v>0</v>
      </c>
      <c r="AF312" s="1561">
        <f>Y312/1000</f>
        <v>0</v>
      </c>
      <c r="AG312" s="1576">
        <f>SUM(AH312:AK312)</f>
        <v>0</v>
      </c>
      <c r="AH312" s="1601">
        <v>0</v>
      </c>
      <c r="AI312" s="1600"/>
      <c r="AJ312" s="1600"/>
      <c r="AK312" s="1600"/>
      <c r="AL312" s="1613"/>
      <c r="AM312" s="1614">
        <f>AG312/1000</f>
        <v>0</v>
      </c>
      <c r="AN312" s="1615">
        <f>SUM(AO312+AP312)</f>
        <v>0</v>
      </c>
      <c r="AO312" s="1600"/>
      <c r="AP312" s="1738">
        <f>SUM(AQ312:AT312)</f>
        <v>0</v>
      </c>
      <c r="AQ312" s="1601"/>
      <c r="AR312" s="1600"/>
      <c r="AS312" s="1600"/>
      <c r="AT312" s="1600"/>
      <c r="AU312" s="1616">
        <f>SUM(AN312+AG312+Y312+G312)</f>
        <v>0</v>
      </c>
      <c r="AV312" s="1603">
        <f>AM312/$AM$7</f>
        <v>0</v>
      </c>
      <c r="AW312" s="1627">
        <f>AN312/1000</f>
        <v>0</v>
      </c>
      <c r="AX312" s="1592">
        <f>AW312/$AW$7</f>
        <v>0</v>
      </c>
    </row>
    <row r="313" spans="1:50" ht="13.8" thickBot="1" x14ac:dyDescent="0.3">
      <c r="A313" s="1708" t="s">
        <v>368</v>
      </c>
      <c r="B313" s="1999" t="s">
        <v>369</v>
      </c>
      <c r="C313" s="2000"/>
      <c r="D313" s="1711">
        <f>SUM(G313+Y313+AG313+AN313)</f>
        <v>2207142465.7992001</v>
      </c>
      <c r="E313" s="1711">
        <f>SUM(G313+Y313+AG313+AN313)</f>
        <v>2207142465.7992001</v>
      </c>
      <c r="F313" s="1507">
        <f>+X313+AF313+AM313+AW313</f>
        <v>3350417.5040000002</v>
      </c>
      <c r="G313" s="1711"/>
      <c r="H313" s="1711"/>
      <c r="I313" s="1711"/>
      <c r="J313" s="1711"/>
      <c r="K313" s="1711"/>
      <c r="L313" s="1712"/>
      <c r="M313" s="1711"/>
      <c r="N313" s="1711"/>
      <c r="O313" s="1711"/>
      <c r="P313" s="1712"/>
      <c r="Q313" s="1711"/>
      <c r="R313" s="1711"/>
      <c r="S313" s="1711"/>
      <c r="T313" s="1711"/>
      <c r="U313" s="1711"/>
      <c r="V313" s="1711"/>
      <c r="W313" s="1711"/>
      <c r="X313" s="1714">
        <f>8400000/1000</f>
        <v>8400</v>
      </c>
      <c r="Y313" s="1715">
        <f>SUM(Z313:AD313)</f>
        <v>292887803.04920006</v>
      </c>
      <c r="Z313" s="1711">
        <f>'[4]Ingresos en colones'!D161</f>
        <v>0</v>
      </c>
      <c r="AA313" s="1711">
        <f>'[4]Ingresos en colones'!C161</f>
        <v>292887803.04920006</v>
      </c>
      <c r="AB313" s="1711">
        <f>'[4]Ingresos en colones'!F161</f>
        <v>0</v>
      </c>
      <c r="AC313" s="1711">
        <f>'[4]Ingresos en colones'!G161</f>
        <v>0</v>
      </c>
      <c r="AD313" s="1711" t="str">
        <f>'[4]Ingresos en colones'!H161</f>
        <v xml:space="preserve"> </v>
      </c>
      <c r="AE313" s="1716">
        <f>X313/$X$7</f>
        <v>1.9610612605279079E-3</v>
      </c>
      <c r="AF313" s="1715">
        <v>0</v>
      </c>
      <c r="AG313" s="1717">
        <f>SUM(AH313:AK313)</f>
        <v>135044644.78</v>
      </c>
      <c r="AH313" s="595">
        <f>129044644.96+5999999.82</f>
        <v>135044644.78</v>
      </c>
      <c r="AI313" s="595"/>
      <c r="AJ313" s="593"/>
      <c r="AK313" s="593"/>
      <c r="AL313" s="1835">
        <f>(AF313/AF7)</f>
        <v>0</v>
      </c>
      <c r="AM313" s="1721">
        <f>673319938/1000</f>
        <v>673319.93799999997</v>
      </c>
      <c r="AN313" s="1722">
        <f>SUM(AO313+AP313)</f>
        <v>1779210017.97</v>
      </c>
      <c r="AO313" s="595">
        <v>1779210017.97</v>
      </c>
      <c r="AP313" s="1836">
        <f>SUM(AQ313:AT313)</f>
        <v>0</v>
      </c>
      <c r="AQ313" s="593"/>
      <c r="AR313" s="593"/>
      <c r="AS313" s="593"/>
      <c r="AT313" s="593"/>
      <c r="AU313" s="1723">
        <f>SUM(AN313+AG313+Y313+G313)</f>
        <v>2207142465.7992001</v>
      </c>
      <c r="AV313" s="1724">
        <f>AM313/$AM$7</f>
        <v>0.1089407476446642</v>
      </c>
      <c r="AW313" s="1725">
        <f>2668697566/1000</f>
        <v>2668697.5660000001</v>
      </c>
      <c r="AX313" s="1726">
        <f>AW313/$AW$7</f>
        <v>5.0264753928581457E-2</v>
      </c>
    </row>
    <row r="314" spans="1:50" x14ac:dyDescent="0.25">
      <c r="A314" s="1837"/>
      <c r="B314" s="1837"/>
      <c r="C314" s="1837"/>
      <c r="D314" s="844"/>
      <c r="E314" s="1837"/>
      <c r="F314" s="1838"/>
      <c r="G314" s="1837"/>
      <c r="H314" s="1837"/>
      <c r="I314" s="1837"/>
      <c r="J314" s="1837"/>
      <c r="K314" s="1837"/>
      <c r="L314" s="1839"/>
      <c r="M314" s="1840"/>
      <c r="N314" s="1837"/>
      <c r="O314" s="1837"/>
      <c r="P314" s="1839"/>
      <c r="Q314" s="1837"/>
      <c r="R314" s="1841"/>
      <c r="S314" s="1840"/>
      <c r="T314" s="1840"/>
      <c r="U314" s="1840"/>
      <c r="V314" s="1840"/>
      <c r="W314" s="1840"/>
      <c r="X314" s="1842"/>
      <c r="Y314" s="1837"/>
      <c r="Z314" s="1837"/>
      <c r="AA314" s="1837"/>
      <c r="AB314" s="1837"/>
      <c r="AC314" s="1837"/>
      <c r="AD314" s="1837"/>
      <c r="AE314" s="1843"/>
      <c r="AF314" s="1838"/>
      <c r="AG314" s="1837"/>
      <c r="AH314" s="1837"/>
      <c r="AI314" s="1837"/>
      <c r="AJ314" s="1837"/>
      <c r="AK314" s="1837"/>
      <c r="AL314" s="1837"/>
      <c r="AM314" s="1838"/>
      <c r="AN314" s="1844"/>
      <c r="AO314" s="1837"/>
      <c r="AP314" s="1845"/>
      <c r="AQ314" s="1837"/>
      <c r="AR314" s="1837"/>
      <c r="AS314" s="1837"/>
      <c r="AT314" s="1837"/>
      <c r="AU314" s="1840"/>
      <c r="AV314" s="1843"/>
      <c r="AW314" s="1838"/>
      <c r="AX314" s="1843"/>
    </row>
    <row r="315" spans="1:50" x14ac:dyDescent="0.25">
      <c r="D315" s="583">
        <f>'[4]Ingresos en colones'!C155</f>
        <v>1488294844.2392001</v>
      </c>
    </row>
    <row r="316" spans="1:50" x14ac:dyDescent="0.25">
      <c r="D316" s="582">
        <f>D315-1018175039.27</f>
        <v>470119804.96920013</v>
      </c>
      <c r="O316" s="1427">
        <f>8307069.48+1310160+4568888.21+438746.38</f>
        <v>14624864.070000002</v>
      </c>
      <c r="AN316" s="1850">
        <f>50143080905.31-AN7-AN9</f>
        <v>-7923955152.4100046</v>
      </c>
      <c r="AO316" s="1427">
        <f>45113086246.95-46946406766.47</f>
        <v>-1833320519.5200043</v>
      </c>
    </row>
    <row r="317" spans="1:50" x14ac:dyDescent="0.25">
      <c r="D317" s="1851"/>
      <c r="O317" s="1427">
        <v>1197776.3700000001</v>
      </c>
      <c r="Y317" s="1852"/>
      <c r="Z317" s="1852"/>
      <c r="AA317" s="1852"/>
      <c r="AB317" s="1852"/>
      <c r="AC317" s="1852"/>
      <c r="AD317" s="1852"/>
      <c r="AF317" s="1853"/>
    </row>
    <row r="318" spans="1:50" x14ac:dyDescent="0.25">
      <c r="D318" s="1851"/>
      <c r="K318" s="1427">
        <f>106600000+7400000+22000000</f>
        <v>136000000</v>
      </c>
      <c r="O318" s="1427">
        <f>SUM(O316:O317)</f>
        <v>15822640.440000001</v>
      </c>
      <c r="AG318" s="1427">
        <f>SUM(AG313+AN313+AA313)</f>
        <v>2207142465.7992001</v>
      </c>
    </row>
    <row r="319" spans="1:50" x14ac:dyDescent="0.25">
      <c r="D319" s="1851"/>
      <c r="N319" s="1427">
        <f>1900000+2000000+9000000+1500000</f>
        <v>14400000</v>
      </c>
      <c r="O319" s="1427">
        <v>1318025.95</v>
      </c>
    </row>
    <row r="320" spans="1:50" x14ac:dyDescent="0.25">
      <c r="D320" s="1851"/>
      <c r="O320" s="1427">
        <v>4773690.6500000004</v>
      </c>
      <c r="Y320" s="1852"/>
      <c r="Z320" s="1852"/>
      <c r="AA320" s="1852"/>
      <c r="AB320" s="1852"/>
      <c r="AC320" s="1852"/>
      <c r="AD320" s="1852"/>
      <c r="AF320" s="1853"/>
      <c r="AI320" s="1427">
        <f>408174765.52-AI7</f>
        <v>-6162917491.2299995</v>
      </c>
    </row>
    <row r="321" spans="4:46" x14ac:dyDescent="0.25">
      <c r="D321" s="1851"/>
      <c r="O321" s="1427">
        <f>SUM(O318:O320)</f>
        <v>21914357.039999999</v>
      </c>
      <c r="V321" s="1529">
        <f>136241812.06-87686812.06</f>
        <v>48555000</v>
      </c>
      <c r="AJ321" s="1427">
        <f>352945846.75-AJ7</f>
        <v>244065610.42000002</v>
      </c>
      <c r="AK321" s="1427">
        <f>352945846.75-AK7</f>
        <v>-2174134623.8699999</v>
      </c>
      <c r="AO321" s="1427">
        <f t="shared" ref="AO321:AT321" si="277">352945846.75-AO7</f>
        <v>-46533460919.720001</v>
      </c>
      <c r="AP321" s="1569">
        <f t="shared" si="277"/>
        <v>-10137085327.860001</v>
      </c>
      <c r="AQ321" s="1427">
        <f t="shared" si="277"/>
        <v>232521292.12</v>
      </c>
      <c r="AR321" s="1427">
        <f t="shared" si="277"/>
        <v>228251304.19999999</v>
      </c>
      <c r="AS321" s="1427">
        <f t="shared" si="277"/>
        <v>288146736.34000003</v>
      </c>
      <c r="AT321" s="1427">
        <f t="shared" si="277"/>
        <v>-9827167120.2700005</v>
      </c>
    </row>
    <row r="322" spans="4:46" x14ac:dyDescent="0.25">
      <c r="D322" s="1851"/>
    </row>
    <row r="323" spans="4:46" x14ac:dyDescent="0.25">
      <c r="D323" s="1851"/>
      <c r="N323" s="1852">
        <f>546218499.96-157908103.24</f>
        <v>388310396.72000003</v>
      </c>
    </row>
    <row r="324" spans="4:46" x14ac:dyDescent="0.25">
      <c r="D324" s="1851"/>
      <c r="N324" s="1852">
        <v>488970253.60000002</v>
      </c>
      <c r="O324" s="1427">
        <f>300000+100000+350000+100000+100000</f>
        <v>950000</v>
      </c>
    </row>
    <row r="325" spans="4:46" x14ac:dyDescent="0.25">
      <c r="D325" s="1851"/>
      <c r="N325" s="1852">
        <f>SUM(N323-N324)</f>
        <v>-100659856.88</v>
      </c>
      <c r="O325" s="1427">
        <f>200000+150000+100000</f>
        <v>450000</v>
      </c>
    </row>
    <row r="326" spans="4:46" x14ac:dyDescent="0.25">
      <c r="D326" s="1851"/>
      <c r="N326" s="1852"/>
    </row>
    <row r="327" spans="4:46" x14ac:dyDescent="0.25">
      <c r="D327" s="1851"/>
      <c r="N327" s="1852"/>
      <c r="O327" s="1427">
        <f>SUM(O324:O326)</f>
        <v>1400000</v>
      </c>
    </row>
    <row r="328" spans="4:46" x14ac:dyDescent="0.25">
      <c r="D328" s="1851"/>
      <c r="N328" s="1852"/>
    </row>
    <row r="329" spans="4:46" x14ac:dyDescent="0.25">
      <c r="D329" s="1851"/>
    </row>
    <row r="330" spans="4:46" x14ac:dyDescent="0.25">
      <c r="N330" s="1427">
        <f>198071455.44+14860364.4+182578576.88</f>
        <v>395510396.72000003</v>
      </c>
    </row>
    <row r="331" spans="4:46" x14ac:dyDescent="0.25">
      <c r="D331" s="1427">
        <f>60944090829.37*2%</f>
        <v>1218881816.5874002</v>
      </c>
    </row>
    <row r="332" spans="4:46" x14ac:dyDescent="0.25">
      <c r="N332" s="1427">
        <f>SUM(N323-N330)</f>
        <v>-7200000</v>
      </c>
    </row>
    <row r="336" spans="4:46" x14ac:dyDescent="0.25">
      <c r="N336" s="1427">
        <f>70866.67+99424512+520000+1560000+1600000+94376076.8+520000</f>
        <v>198071455.47</v>
      </c>
    </row>
    <row r="337" spans="14:15" x14ac:dyDescent="0.25">
      <c r="N337" s="1427">
        <f>260000+104000+2600000+2600000+520000+112000+120000+3810284.4+4326400+260000+147680</f>
        <v>14860364.4</v>
      </c>
    </row>
    <row r="338" spans="14:15" x14ac:dyDescent="0.25">
      <c r="N338" s="1427">
        <f>6240000+4160000+55918720+15600000+93459856.88</f>
        <v>175378576.88</v>
      </c>
      <c r="O338" s="1427">
        <v>182578576.88</v>
      </c>
    </row>
  </sheetData>
  <mergeCells count="191">
    <mergeCell ref="A1:AX1"/>
    <mergeCell ref="A2:AX2"/>
    <mergeCell ref="A3:AX3"/>
    <mergeCell ref="A4:AN4"/>
    <mergeCell ref="B6:C6"/>
    <mergeCell ref="B7:C7"/>
    <mergeCell ref="B24:C24"/>
    <mergeCell ref="B19:C19"/>
    <mergeCell ref="B11:C11"/>
    <mergeCell ref="B12:C12"/>
    <mergeCell ref="B9:C9"/>
    <mergeCell ref="B14:C14"/>
    <mergeCell ref="B13:C13"/>
    <mergeCell ref="B18:C18"/>
    <mergeCell ref="B21:C21"/>
    <mergeCell ref="B15:C15"/>
    <mergeCell ref="B20:C20"/>
    <mergeCell ref="B23:C23"/>
    <mergeCell ref="B49:C49"/>
    <mergeCell ref="B52:C52"/>
    <mergeCell ref="B45:C45"/>
    <mergeCell ref="B48:C48"/>
    <mergeCell ref="B46:C46"/>
    <mergeCell ref="B17:C17"/>
    <mergeCell ref="B47:C47"/>
    <mergeCell ref="B55:C55"/>
    <mergeCell ref="B65:C65"/>
    <mergeCell ref="B42:C42"/>
    <mergeCell ref="B38:C38"/>
    <mergeCell ref="B40:C40"/>
    <mergeCell ref="B39:C39"/>
    <mergeCell ref="B25:C25"/>
    <mergeCell ref="B30:C30"/>
    <mergeCell ref="B36:C36"/>
    <mergeCell ref="B41:C41"/>
    <mergeCell ref="B35:C35"/>
    <mergeCell ref="B37:C37"/>
    <mergeCell ref="B33:C33"/>
    <mergeCell ref="B29:C29"/>
    <mergeCell ref="B32:C32"/>
    <mergeCell ref="B28:C28"/>
    <mergeCell ref="B26:C26"/>
    <mergeCell ref="B66:C66"/>
    <mergeCell ref="B56:C56"/>
    <mergeCell ref="B63:C63"/>
    <mergeCell ref="B50:C50"/>
    <mergeCell ref="B53:C53"/>
    <mergeCell ref="B75:C75"/>
    <mergeCell ref="B77:C77"/>
    <mergeCell ref="B76:C76"/>
    <mergeCell ref="B68:C68"/>
    <mergeCell ref="B67:C67"/>
    <mergeCell ref="B73:C73"/>
    <mergeCell ref="B78:C78"/>
    <mergeCell ref="B70:C70"/>
    <mergeCell ref="B74:C74"/>
    <mergeCell ref="B80:C80"/>
    <mergeCell ref="B86:C86"/>
    <mergeCell ref="B81:C81"/>
    <mergeCell ref="B82:C82"/>
    <mergeCell ref="B84:C84"/>
    <mergeCell ref="B83:C83"/>
    <mergeCell ref="B98:C98"/>
    <mergeCell ref="B99:C99"/>
    <mergeCell ref="B85:C85"/>
    <mergeCell ref="B92:C92"/>
    <mergeCell ref="B90:C90"/>
    <mergeCell ref="B89:C89"/>
    <mergeCell ref="B88:C88"/>
    <mergeCell ref="B97:C97"/>
    <mergeCell ref="B95:C95"/>
    <mergeCell ref="B91:C91"/>
    <mergeCell ref="B94:C94"/>
    <mergeCell ref="B93:C93"/>
    <mergeCell ref="B100:C100"/>
    <mergeCell ref="B103:C103"/>
    <mergeCell ref="B104:C104"/>
    <mergeCell ref="B101:C101"/>
    <mergeCell ref="B153:C153"/>
    <mergeCell ref="B105:C105"/>
    <mergeCell ref="B106:C106"/>
    <mergeCell ref="B109:C109"/>
    <mergeCell ref="B140:C140"/>
    <mergeCell ref="B123:C123"/>
    <mergeCell ref="B125:C125"/>
    <mergeCell ref="B110:C110"/>
    <mergeCell ref="B116:C116"/>
    <mergeCell ref="B111:C111"/>
    <mergeCell ref="B128:C128"/>
    <mergeCell ref="B121:C121"/>
    <mergeCell ref="B124:C124"/>
    <mergeCell ref="B127:C127"/>
    <mergeCell ref="B120:C120"/>
    <mergeCell ref="B141:C141"/>
    <mergeCell ref="B135:C135"/>
    <mergeCell ref="B108:C108"/>
    <mergeCell ref="B142:C142"/>
    <mergeCell ref="B133:C133"/>
    <mergeCell ref="B132:C132"/>
    <mergeCell ref="B143:C143"/>
    <mergeCell ref="B147:C147"/>
    <mergeCell ref="B122:C122"/>
    <mergeCell ref="B119:C119"/>
    <mergeCell ref="B179:C179"/>
    <mergeCell ref="B177:C177"/>
    <mergeCell ref="B146:C146"/>
    <mergeCell ref="B144:C144"/>
    <mergeCell ref="B168:C168"/>
    <mergeCell ref="B160:C160"/>
    <mergeCell ref="B118:C118"/>
    <mergeCell ref="B134:C134"/>
    <mergeCell ref="B138:C138"/>
    <mergeCell ref="B129:C129"/>
    <mergeCell ref="B149:C149"/>
    <mergeCell ref="B165:C165"/>
    <mergeCell ref="B152:C152"/>
    <mergeCell ref="B181:C181"/>
    <mergeCell ref="B209:C209"/>
    <mergeCell ref="B194:C194"/>
    <mergeCell ref="B156:C156"/>
    <mergeCell ref="B159:C159"/>
    <mergeCell ref="B163:C163"/>
    <mergeCell ref="B178:C178"/>
    <mergeCell ref="B150:C150"/>
    <mergeCell ref="B155:C155"/>
    <mergeCell ref="B166:C166"/>
    <mergeCell ref="B173:C173"/>
    <mergeCell ref="B169:C169"/>
    <mergeCell ref="B167:C167"/>
    <mergeCell ref="B162:C162"/>
    <mergeCell ref="B158:C158"/>
    <mergeCell ref="B154:C154"/>
    <mergeCell ref="B151:C151"/>
    <mergeCell ref="B180:C180"/>
    <mergeCell ref="B273:C273"/>
    <mergeCell ref="B276:C276"/>
    <mergeCell ref="B197:C197"/>
    <mergeCell ref="B184:C184"/>
    <mergeCell ref="B175:C175"/>
    <mergeCell ref="B170:C170"/>
    <mergeCell ref="B185:C185"/>
    <mergeCell ref="B257:C257"/>
    <mergeCell ref="B260:C260"/>
    <mergeCell ref="B259:C259"/>
    <mergeCell ref="B248:C248"/>
    <mergeCell ref="B210:C210"/>
    <mergeCell ref="B217:C217"/>
    <mergeCell ref="B219:C219"/>
    <mergeCell ref="B214:C214"/>
    <mergeCell ref="B243:C243"/>
    <mergeCell ref="B211:C211"/>
    <mergeCell ref="B212:C212"/>
    <mergeCell ref="B196:C196"/>
    <mergeCell ref="B246:C246"/>
    <mergeCell ref="B216:C216"/>
    <mergeCell ref="B213:C213"/>
    <mergeCell ref="B176:C176"/>
    <mergeCell ref="B182:C182"/>
    <mergeCell ref="B215:C215"/>
    <mergeCell ref="B266:C266"/>
    <mergeCell ref="B265:C265"/>
    <mergeCell ref="B261:C261"/>
    <mergeCell ref="B264:C264"/>
    <mergeCell ref="B252:C252"/>
    <mergeCell ref="B245:C245"/>
    <mergeCell ref="B267:C267"/>
    <mergeCell ref="B271:C271"/>
    <mergeCell ref="B207:C207"/>
    <mergeCell ref="B301:C301"/>
    <mergeCell ref="B292:C292"/>
    <mergeCell ref="B282:C282"/>
    <mergeCell ref="B269:C269"/>
    <mergeCell ref="B279:C279"/>
    <mergeCell ref="B272:C272"/>
    <mergeCell ref="B291:C291"/>
    <mergeCell ref="B297:C297"/>
    <mergeCell ref="B284:C284"/>
    <mergeCell ref="B277:C277"/>
    <mergeCell ref="B275:C275"/>
    <mergeCell ref="B280:C280"/>
    <mergeCell ref="B251:C251"/>
    <mergeCell ref="B247:C247"/>
    <mergeCell ref="B313:C313"/>
    <mergeCell ref="B303:C303"/>
    <mergeCell ref="B305:C305"/>
    <mergeCell ref="B312:C312"/>
    <mergeCell ref="B309:C309"/>
    <mergeCell ref="B306:C306"/>
    <mergeCell ref="B311:C311"/>
    <mergeCell ref="B307:C307"/>
    <mergeCell ref="B304:C304"/>
  </mergeCells>
  <pageMargins left="0.35433070866141736" right="0.35433070866141736" top="0.59055118110236227" bottom="0.59055118110236227" header="0" footer="0"/>
  <pageSetup scale="55" orientation="landscape" horizontalDpi="360" verticalDpi="360" r:id="rId1"/>
  <headerFooter alignWithMargins="0">
    <oddHeader>&amp;L&amp;G&amp;R&amp;6&amp;F/&amp;A</oddHeader>
    <oddFooter>&amp;L&amp;6Esta información es propiedad del Instituto Nacional de Vivienda y Urbanismo. Se autoriza su utilización, pero no su alteración. Recuerde que puede acceder a los archivos PDF para verificación.&amp;R&amp;6&amp;P</oddFooter>
  </headerFooter>
  <legacy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B1:E92"/>
  <sheetViews>
    <sheetView topLeftCell="A50" workbookViewId="0">
      <selection activeCell="B62" sqref="B62:D62"/>
    </sheetView>
  </sheetViews>
  <sheetFormatPr baseColWidth="10" defaultColWidth="11.44140625" defaultRowHeight="13.2" x14ac:dyDescent="0.25"/>
  <cols>
    <col min="1" max="2" width="11.44140625" style="872"/>
    <col min="3" max="3" width="39.33203125" style="872" customWidth="1"/>
    <col min="4" max="4" width="25.6640625" style="872" customWidth="1"/>
    <col min="5" max="16384" width="11.44140625" style="872"/>
  </cols>
  <sheetData>
    <row r="1" spans="2:5" ht="10.5" customHeight="1" x14ac:dyDescent="0.25">
      <c r="B1" s="2028" t="s">
        <v>816</v>
      </c>
      <c r="C1" s="2028"/>
      <c r="D1" s="2028"/>
    </row>
    <row r="2" spans="2:5" ht="10.5" customHeight="1" x14ac:dyDescent="0.25">
      <c r="B2" s="2028" t="s">
        <v>1040</v>
      </c>
      <c r="C2" s="2028"/>
      <c r="D2" s="2028"/>
    </row>
    <row r="3" spans="2:5" ht="16.5" customHeight="1" x14ac:dyDescent="0.25">
      <c r="B3" s="2028" t="s">
        <v>1039</v>
      </c>
      <c r="C3" s="2028"/>
      <c r="D3" s="2028"/>
    </row>
    <row r="4" spans="2:5" ht="10.5" customHeight="1" thickBot="1" x14ac:dyDescent="0.3">
      <c r="B4" s="2029" t="s">
        <v>762</v>
      </c>
      <c r="C4" s="2029"/>
      <c r="D4" s="2029"/>
    </row>
    <row r="5" spans="2:5" ht="13.8" thickBot="1" x14ac:dyDescent="0.3">
      <c r="B5" s="1879" t="s">
        <v>1038</v>
      </c>
      <c r="C5" s="1880" t="s">
        <v>14</v>
      </c>
      <c r="D5" s="1881" t="s">
        <v>1037</v>
      </c>
      <c r="E5" s="871"/>
    </row>
    <row r="6" spans="2:5" x14ac:dyDescent="0.25">
      <c r="B6" s="900"/>
      <c r="C6" s="888" t="s">
        <v>950</v>
      </c>
      <c r="D6" s="891">
        <f>D8+D27+D48+D60</f>
        <v>65065338341</v>
      </c>
    </row>
    <row r="7" spans="2:5" x14ac:dyDescent="0.25">
      <c r="B7" s="900"/>
      <c r="C7" s="887"/>
      <c r="D7" s="890"/>
    </row>
    <row r="8" spans="2:5" ht="13.5" customHeight="1" x14ac:dyDescent="0.25">
      <c r="B8" s="899">
        <v>1</v>
      </c>
      <c r="C8" s="896" t="s">
        <v>675</v>
      </c>
      <c r="D8" s="895">
        <f>D10+D18+D22</f>
        <v>11310358718</v>
      </c>
    </row>
    <row r="9" spans="2:5" ht="12.75" customHeight="1" x14ac:dyDescent="0.25">
      <c r="B9" s="899"/>
      <c r="C9" s="896"/>
      <c r="D9" s="890"/>
    </row>
    <row r="10" spans="2:5" x14ac:dyDescent="0.25">
      <c r="B10" s="892" t="s">
        <v>1036</v>
      </c>
      <c r="C10" s="888" t="s">
        <v>1035</v>
      </c>
      <c r="D10" s="891">
        <f>D12+D16</f>
        <v>9626856658</v>
      </c>
    </row>
    <row r="11" spans="2:5" x14ac:dyDescent="0.25">
      <c r="B11" s="892"/>
      <c r="C11" s="888"/>
      <c r="D11" s="890"/>
    </row>
    <row r="12" spans="2:5" x14ac:dyDescent="0.25">
      <c r="B12" s="892" t="s">
        <v>1</v>
      </c>
      <c r="C12" s="888" t="s">
        <v>22</v>
      </c>
      <c r="D12" s="891">
        <f>D13+D14</f>
        <v>3788630245</v>
      </c>
    </row>
    <row r="13" spans="2:5" x14ac:dyDescent="0.25">
      <c r="B13" s="889" t="s">
        <v>1034</v>
      </c>
      <c r="C13" s="887" t="s">
        <v>1033</v>
      </c>
      <c r="D13" s="890">
        <f>1310966064+49246128+1606428957</f>
        <v>2966641149</v>
      </c>
    </row>
    <row r="14" spans="2:5" x14ac:dyDescent="0.25">
      <c r="B14" s="889" t="s">
        <v>1032</v>
      </c>
      <c r="C14" s="887" t="s">
        <v>1031</v>
      </c>
      <c r="D14" s="890">
        <f>453950403+368038693</f>
        <v>821989096</v>
      </c>
    </row>
    <row r="15" spans="2:5" x14ac:dyDescent="0.25">
      <c r="B15" s="898"/>
      <c r="C15" s="893"/>
      <c r="D15" s="890"/>
    </row>
    <row r="16" spans="2:5" x14ac:dyDescent="0.25">
      <c r="B16" s="892" t="s">
        <v>1030</v>
      </c>
      <c r="C16" s="888" t="s">
        <v>1029</v>
      </c>
      <c r="D16" s="891">
        <f>18450000+206850000+2055239500+2464511713+36928300+699557600+36450000+186020000+1850000+42540466+4550000+31300000+5895000+48083834</f>
        <v>5838226413</v>
      </c>
    </row>
    <row r="17" spans="2:4" x14ac:dyDescent="0.25">
      <c r="B17" s="892"/>
      <c r="C17" s="888"/>
      <c r="D17" s="890"/>
    </row>
    <row r="18" spans="2:4" x14ac:dyDescent="0.25">
      <c r="B18" s="892" t="s">
        <v>1028</v>
      </c>
      <c r="C18" s="888" t="s">
        <v>1027</v>
      </c>
      <c r="D18" s="891">
        <f>D19+D20</f>
        <v>719495680</v>
      </c>
    </row>
    <row r="19" spans="2:4" x14ac:dyDescent="0.25">
      <c r="B19" s="889" t="s">
        <v>2</v>
      </c>
      <c r="C19" s="887" t="s">
        <v>1026</v>
      </c>
      <c r="D19" s="890">
        <v>719495680</v>
      </c>
    </row>
    <row r="20" spans="2:4" hidden="1" x14ac:dyDescent="0.25">
      <c r="B20" s="889" t="s">
        <v>1025</v>
      </c>
      <c r="C20" s="887" t="s">
        <v>1024</v>
      </c>
      <c r="D20" s="890">
        <v>0</v>
      </c>
    </row>
    <row r="21" spans="2:4" x14ac:dyDescent="0.25">
      <c r="B21" s="894"/>
      <c r="C21" s="893"/>
      <c r="D21" s="890"/>
    </row>
    <row r="22" spans="2:4" x14ac:dyDescent="0.25">
      <c r="B22" s="892" t="s">
        <v>1023</v>
      </c>
      <c r="C22" s="888" t="s">
        <v>1022</v>
      </c>
      <c r="D22" s="891">
        <f>D23+D24+D25</f>
        <v>964006380</v>
      </c>
    </row>
    <row r="23" spans="2:4" x14ac:dyDescent="0.25">
      <c r="B23" s="889" t="s">
        <v>3</v>
      </c>
      <c r="C23" s="887" t="s">
        <v>1021</v>
      </c>
      <c r="D23" s="890">
        <f>133000000+7430000</f>
        <v>140430000</v>
      </c>
    </row>
    <row r="24" spans="2:4" x14ac:dyDescent="0.25">
      <c r="B24" s="889" t="s">
        <v>1020</v>
      </c>
      <c r="C24" s="887" t="s">
        <v>1019</v>
      </c>
      <c r="D24" s="890">
        <f>98264035+355994345+339318000</f>
        <v>793576380</v>
      </c>
    </row>
    <row r="25" spans="2:4" ht="15" customHeight="1" x14ac:dyDescent="0.25">
      <c r="B25" s="889" t="s">
        <v>1018</v>
      </c>
      <c r="C25" s="887" t="s">
        <v>1017</v>
      </c>
      <c r="D25" s="890">
        <v>30000000</v>
      </c>
    </row>
    <row r="26" spans="2:4" x14ac:dyDescent="0.25">
      <c r="B26" s="894"/>
      <c r="C26" s="893"/>
      <c r="D26" s="890"/>
    </row>
    <row r="27" spans="2:4" x14ac:dyDescent="0.25">
      <c r="B27" s="897">
        <v>2</v>
      </c>
      <c r="C27" s="896" t="s">
        <v>1016</v>
      </c>
      <c r="D27" s="895">
        <f>D29+D36+D43</f>
        <v>9436181619</v>
      </c>
    </row>
    <row r="28" spans="2:4" x14ac:dyDescent="0.25">
      <c r="B28" s="894"/>
      <c r="C28" s="893"/>
      <c r="D28" s="890"/>
    </row>
    <row r="29" spans="2:4" x14ac:dyDescent="0.25">
      <c r="B29" s="892" t="s">
        <v>1015</v>
      </c>
      <c r="C29" s="888" t="s">
        <v>1014</v>
      </c>
      <c r="D29" s="891">
        <f>D30+D31+D32+D33+D34</f>
        <v>1010500000</v>
      </c>
    </row>
    <row r="30" spans="2:4" hidden="1" x14ac:dyDescent="0.25">
      <c r="B30" s="889" t="s">
        <v>1006</v>
      </c>
      <c r="C30" s="887" t="s">
        <v>1013</v>
      </c>
      <c r="D30" s="890">
        <v>0</v>
      </c>
    </row>
    <row r="31" spans="2:4" x14ac:dyDescent="0.25">
      <c r="B31" s="889" t="s">
        <v>1004</v>
      </c>
      <c r="C31" s="887" t="s">
        <v>1012</v>
      </c>
      <c r="D31" s="890">
        <v>10000000</v>
      </c>
    </row>
    <row r="32" spans="2:4" x14ac:dyDescent="0.25">
      <c r="B32" s="889" t="s">
        <v>1003</v>
      </c>
      <c r="C32" s="887" t="s">
        <v>1011</v>
      </c>
      <c r="D32" s="890">
        <v>990500000</v>
      </c>
    </row>
    <row r="33" spans="2:4" hidden="1" x14ac:dyDescent="0.25">
      <c r="B33" s="889" t="s">
        <v>1001</v>
      </c>
      <c r="C33" s="887" t="s">
        <v>1010</v>
      </c>
      <c r="D33" s="890">
        <v>0</v>
      </c>
    </row>
    <row r="34" spans="2:4" x14ac:dyDescent="0.25">
      <c r="B34" s="889" t="s">
        <v>999</v>
      </c>
      <c r="C34" s="887" t="s">
        <v>1009</v>
      </c>
      <c r="D34" s="890">
        <v>10000000</v>
      </c>
    </row>
    <row r="35" spans="2:4" x14ac:dyDescent="0.25">
      <c r="B35" s="894"/>
      <c r="C35" s="893"/>
      <c r="D35" s="890"/>
    </row>
    <row r="36" spans="2:4" x14ac:dyDescent="0.25">
      <c r="B36" s="892" t="s">
        <v>1008</v>
      </c>
      <c r="C36" s="888" t="s">
        <v>1007</v>
      </c>
      <c r="D36" s="891">
        <f>D37+D38+D39+D40+D41</f>
        <v>2519460000</v>
      </c>
    </row>
    <row r="37" spans="2:4" x14ac:dyDescent="0.25">
      <c r="B37" s="889" t="s">
        <v>1006</v>
      </c>
      <c r="C37" s="887" t="s">
        <v>1005</v>
      </c>
      <c r="D37" s="890">
        <v>390660000</v>
      </c>
    </row>
    <row r="38" spans="2:4" x14ac:dyDescent="0.25">
      <c r="B38" s="889" t="s">
        <v>1004</v>
      </c>
      <c r="C38" s="887" t="s">
        <v>311</v>
      </c>
      <c r="D38" s="878">
        <v>1780000000</v>
      </c>
    </row>
    <row r="39" spans="2:4" hidden="1" x14ac:dyDescent="0.25">
      <c r="B39" s="889" t="s">
        <v>1003</v>
      </c>
      <c r="C39" s="887" t="s">
        <v>1002</v>
      </c>
      <c r="D39" s="878">
        <v>0</v>
      </c>
    </row>
    <row r="40" spans="2:4" x14ac:dyDescent="0.25">
      <c r="B40" s="889" t="s">
        <v>1001</v>
      </c>
      <c r="C40" s="887" t="s">
        <v>1000</v>
      </c>
      <c r="D40" s="878">
        <v>348800000</v>
      </c>
    </row>
    <row r="41" spans="2:4" hidden="1" x14ac:dyDescent="0.25">
      <c r="B41" s="889" t="s">
        <v>999</v>
      </c>
      <c r="C41" s="887" t="s">
        <v>998</v>
      </c>
      <c r="D41" s="878">
        <v>0</v>
      </c>
    </row>
    <row r="42" spans="2:4" x14ac:dyDescent="0.25">
      <c r="B42" s="880"/>
      <c r="C42" s="879"/>
      <c r="D42" s="878"/>
    </row>
    <row r="43" spans="2:4" x14ac:dyDescent="0.25">
      <c r="B43" s="883" t="s">
        <v>997</v>
      </c>
      <c r="C43" s="888" t="s">
        <v>996</v>
      </c>
      <c r="D43" s="881">
        <f>D44+D45+D46</f>
        <v>5906221619</v>
      </c>
    </row>
    <row r="44" spans="2:4" x14ac:dyDescent="0.25">
      <c r="B44" s="869" t="s">
        <v>995</v>
      </c>
      <c r="C44" s="887" t="s">
        <v>994</v>
      </c>
      <c r="D44" s="878">
        <v>40000000</v>
      </c>
    </row>
    <row r="45" spans="2:4" x14ac:dyDescent="0.25">
      <c r="B45" s="869" t="s">
        <v>993</v>
      </c>
      <c r="C45" s="887" t="s">
        <v>992</v>
      </c>
      <c r="D45" s="878">
        <v>5866221619</v>
      </c>
    </row>
    <row r="46" spans="2:4" ht="17.25" hidden="1" customHeight="1" x14ac:dyDescent="0.25">
      <c r="B46" s="869" t="s">
        <v>991</v>
      </c>
      <c r="C46" s="886" t="s">
        <v>990</v>
      </c>
      <c r="D46" s="878">
        <v>0</v>
      </c>
    </row>
    <row r="47" spans="2:4" x14ac:dyDescent="0.25">
      <c r="B47" s="880"/>
      <c r="C47" s="879"/>
      <c r="D47" s="878"/>
    </row>
    <row r="48" spans="2:4" x14ac:dyDescent="0.25">
      <c r="B48" s="870">
        <v>3</v>
      </c>
      <c r="C48" s="885" t="s">
        <v>989</v>
      </c>
      <c r="D48" s="881">
        <f>D50+D52+D54+D58</f>
        <v>40968380500</v>
      </c>
    </row>
    <row r="49" spans="2:4" x14ac:dyDescent="0.25">
      <c r="B49" s="880"/>
      <c r="C49" s="879"/>
      <c r="D49" s="878"/>
    </row>
    <row r="50" spans="2:4" x14ac:dyDescent="0.25">
      <c r="B50" s="883" t="s">
        <v>814</v>
      </c>
      <c r="C50" s="882" t="s">
        <v>988</v>
      </c>
      <c r="D50" s="881">
        <v>30752000000</v>
      </c>
    </row>
    <row r="51" spans="2:4" x14ac:dyDescent="0.25">
      <c r="B51" s="880"/>
      <c r="C51" s="879"/>
      <c r="D51" s="878"/>
    </row>
    <row r="52" spans="2:4" hidden="1" x14ac:dyDescent="0.25">
      <c r="B52" s="883" t="s">
        <v>987</v>
      </c>
      <c r="C52" s="882" t="s">
        <v>986</v>
      </c>
      <c r="D52" s="878">
        <v>0</v>
      </c>
    </row>
    <row r="53" spans="2:4" hidden="1" x14ac:dyDescent="0.25">
      <c r="B53" s="880"/>
      <c r="C53" s="879"/>
      <c r="D53" s="878"/>
    </row>
    <row r="54" spans="2:4" x14ac:dyDescent="0.25">
      <c r="B54" s="883" t="s">
        <v>985</v>
      </c>
      <c r="C54" s="882" t="s">
        <v>984</v>
      </c>
      <c r="D54" s="881">
        <f>D55+D56</f>
        <v>10216380500</v>
      </c>
    </row>
    <row r="55" spans="2:4" x14ac:dyDescent="0.25">
      <c r="B55" s="869" t="s">
        <v>983</v>
      </c>
      <c r="C55" s="884" t="s">
        <v>982</v>
      </c>
      <c r="D55" s="878">
        <v>10216380500</v>
      </c>
    </row>
    <row r="56" spans="2:4" hidden="1" x14ac:dyDescent="0.25">
      <c r="B56" s="869" t="s">
        <v>981</v>
      </c>
      <c r="C56" s="884" t="s">
        <v>980</v>
      </c>
      <c r="D56" s="878"/>
    </row>
    <row r="57" spans="2:4" x14ac:dyDescent="0.25">
      <c r="B57" s="880"/>
      <c r="C57" s="879"/>
      <c r="D57" s="878"/>
    </row>
    <row r="58" spans="2:4" x14ac:dyDescent="0.25">
      <c r="B58" s="883" t="s">
        <v>979</v>
      </c>
      <c r="C58" s="882" t="s">
        <v>978</v>
      </c>
      <c r="D58" s="881">
        <v>0</v>
      </c>
    </row>
    <row r="59" spans="2:4" x14ac:dyDescent="0.25">
      <c r="B59" s="880"/>
      <c r="C59" s="879"/>
      <c r="D59" s="878"/>
    </row>
    <row r="60" spans="2:4" ht="12.75" customHeight="1" thickBot="1" x14ac:dyDescent="0.3">
      <c r="B60" s="877">
        <v>4</v>
      </c>
      <c r="C60" s="876" t="s">
        <v>977</v>
      </c>
      <c r="D60" s="875">
        <f>3350417504</f>
        <v>3350417504</v>
      </c>
    </row>
    <row r="61" spans="2:4" ht="12.75" customHeight="1" x14ac:dyDescent="0.25">
      <c r="B61" s="2031"/>
      <c r="C61" s="2032"/>
      <c r="D61" s="2033"/>
    </row>
    <row r="62" spans="2:4" ht="26.25" customHeight="1" x14ac:dyDescent="0.25">
      <c r="B62" s="2030" t="s">
        <v>976</v>
      </c>
      <c r="C62" s="2030"/>
      <c r="D62" s="2030"/>
    </row>
    <row r="63" spans="2:4" x14ac:dyDescent="0.25">
      <c r="B63" s="873"/>
      <c r="D63" s="874"/>
    </row>
    <row r="64" spans="2:4" x14ac:dyDescent="0.25">
      <c r="B64" s="873"/>
      <c r="D64" s="874"/>
    </row>
    <row r="65" spans="2:4" x14ac:dyDescent="0.25">
      <c r="B65" s="873"/>
      <c r="D65" s="874"/>
    </row>
    <row r="66" spans="2:4" x14ac:dyDescent="0.25">
      <c r="B66" s="873"/>
      <c r="D66" s="874"/>
    </row>
    <row r="67" spans="2:4" x14ac:dyDescent="0.25">
      <c r="B67" s="873"/>
      <c r="D67" s="874"/>
    </row>
    <row r="68" spans="2:4" x14ac:dyDescent="0.25">
      <c r="B68" s="873"/>
      <c r="D68" s="874"/>
    </row>
    <row r="69" spans="2:4" x14ac:dyDescent="0.25">
      <c r="B69" s="873"/>
      <c r="D69" s="874"/>
    </row>
    <row r="70" spans="2:4" x14ac:dyDescent="0.25">
      <c r="B70" s="873"/>
    </row>
    <row r="71" spans="2:4" x14ac:dyDescent="0.25">
      <c r="B71" s="873"/>
    </row>
    <row r="72" spans="2:4" x14ac:dyDescent="0.25">
      <c r="B72" s="873"/>
    </row>
    <row r="73" spans="2:4" x14ac:dyDescent="0.25">
      <c r="B73" s="873"/>
    </row>
    <row r="74" spans="2:4" x14ac:dyDescent="0.25">
      <c r="B74" s="873"/>
    </row>
    <row r="75" spans="2:4" x14ac:dyDescent="0.25">
      <c r="B75" s="873"/>
    </row>
    <row r="76" spans="2:4" x14ac:dyDescent="0.25">
      <c r="B76" s="873"/>
    </row>
    <row r="77" spans="2:4" x14ac:dyDescent="0.25">
      <c r="B77" s="873"/>
    </row>
    <row r="78" spans="2:4" x14ac:dyDescent="0.25">
      <c r="B78" s="873"/>
    </row>
    <row r="79" spans="2:4" x14ac:dyDescent="0.25">
      <c r="B79" s="873"/>
    </row>
    <row r="80" spans="2:4" x14ac:dyDescent="0.25">
      <c r="B80" s="873"/>
    </row>
    <row r="81" spans="2:2" x14ac:dyDescent="0.25">
      <c r="B81" s="873"/>
    </row>
    <row r="82" spans="2:2" x14ac:dyDescent="0.25">
      <c r="B82" s="873"/>
    </row>
    <row r="83" spans="2:2" x14ac:dyDescent="0.25">
      <c r="B83" s="873"/>
    </row>
    <row r="84" spans="2:2" x14ac:dyDescent="0.25">
      <c r="B84" s="873"/>
    </row>
    <row r="85" spans="2:2" x14ac:dyDescent="0.25">
      <c r="B85" s="873"/>
    </row>
    <row r="86" spans="2:2" x14ac:dyDescent="0.25">
      <c r="B86" s="873"/>
    </row>
    <row r="87" spans="2:2" x14ac:dyDescent="0.25">
      <c r="B87" s="873"/>
    </row>
    <row r="88" spans="2:2" x14ac:dyDescent="0.25">
      <c r="B88" s="873"/>
    </row>
    <row r="89" spans="2:2" x14ac:dyDescent="0.25">
      <c r="B89" s="873"/>
    </row>
    <row r="90" spans="2:2" x14ac:dyDescent="0.25">
      <c r="B90" s="873"/>
    </row>
    <row r="91" spans="2:2" x14ac:dyDescent="0.25">
      <c r="B91" s="873"/>
    </row>
    <row r="92" spans="2:2" x14ac:dyDescent="0.25">
      <c r="B92" s="873"/>
    </row>
  </sheetData>
  <mergeCells count="5">
    <mergeCell ref="B1:D1"/>
    <mergeCell ref="B3:D3"/>
    <mergeCell ref="B4:D4"/>
    <mergeCell ref="B2:D2"/>
    <mergeCell ref="B62:D62"/>
  </mergeCells>
  <printOptions horizontalCentered="1" verticalCentered="1"/>
  <pageMargins left="0.39370078740157483" right="0.35433070866141736" top="0.27559055118110237" bottom="0.27559055118110237" header="0.11811023622047245" footer="0.11811023622047245"/>
  <pageSetup orientation="portrait" r:id="rId1"/>
  <headerFooter>
    <oddHeader>&amp;L&amp;G&amp;R&amp;6&amp;F/&amp;A</oddHeader>
    <oddFooter>&amp;L&amp;6Esta información es propiedad del Instituto Nacional de Vivienda y Urbanismo. Se autoriza su utilización, pero no su alteración. Recuerde que puede acceder a los archivos PDF para verificación.&amp;R&amp;6&amp;P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C24"/>
  <sheetViews>
    <sheetView workbookViewId="0">
      <selection activeCell="B28" sqref="B28"/>
    </sheetView>
  </sheetViews>
  <sheetFormatPr baseColWidth="10" defaultColWidth="37.88671875" defaultRowHeight="13.2" x14ac:dyDescent="0.25"/>
  <cols>
    <col min="1" max="1" width="5.5546875" style="997" customWidth="1"/>
    <col min="2" max="2" width="70.5546875" style="177" customWidth="1"/>
    <col min="3" max="3" width="21.33203125" style="177" customWidth="1"/>
    <col min="4" max="16384" width="37.88671875" style="177"/>
  </cols>
  <sheetData>
    <row r="1" spans="1:3" ht="13.8" thickBot="1" x14ac:dyDescent="0.3">
      <c r="A1" s="1882" t="s">
        <v>518</v>
      </c>
      <c r="B1" s="1883"/>
      <c r="C1" s="1883"/>
    </row>
    <row r="2" spans="1:3" ht="13.8" thickBot="1" x14ac:dyDescent="0.3">
      <c r="A2" s="1882" t="s">
        <v>780</v>
      </c>
      <c r="B2" s="1883"/>
      <c r="C2" s="1883"/>
    </row>
    <row r="3" spans="1:3" x14ac:dyDescent="0.25">
      <c r="A3" s="1882" t="s">
        <v>740</v>
      </c>
      <c r="B3" s="1883"/>
      <c r="C3" s="1883"/>
    </row>
    <row r="4" spans="1:3" ht="13.8" thickBot="1" x14ac:dyDescent="0.3">
      <c r="A4" s="74"/>
      <c r="B4" s="72"/>
      <c r="C4" s="72"/>
    </row>
    <row r="5" spans="1:3" ht="27" thickBot="1" x14ac:dyDescent="0.3">
      <c r="A5" s="979"/>
      <c r="B5" s="980" t="s">
        <v>579</v>
      </c>
      <c r="C5" s="981" t="s">
        <v>779</v>
      </c>
    </row>
    <row r="6" spans="1:3" ht="41.25" customHeight="1" thickTop="1" x14ac:dyDescent="0.25">
      <c r="A6" s="982" t="s">
        <v>580</v>
      </c>
      <c r="B6" s="286" t="s">
        <v>1041</v>
      </c>
      <c r="C6" s="983">
        <v>61995977370</v>
      </c>
    </row>
    <row r="7" spans="1:3" x14ac:dyDescent="0.25">
      <c r="A7" s="982"/>
      <c r="B7" s="292"/>
      <c r="C7" s="984"/>
    </row>
    <row r="8" spans="1:3" x14ac:dyDescent="0.25">
      <c r="A8" s="982" t="s">
        <v>581</v>
      </c>
      <c r="B8" s="985" t="s">
        <v>582</v>
      </c>
      <c r="C8" s="986">
        <f>'Ingresos -2018'!C6</f>
        <v>65065338341</v>
      </c>
    </row>
    <row r="9" spans="1:3" x14ac:dyDescent="0.25">
      <c r="A9" s="982"/>
      <c r="B9" s="292"/>
      <c r="C9" s="984"/>
    </row>
    <row r="10" spans="1:3" x14ac:dyDescent="0.25">
      <c r="A10" s="982"/>
      <c r="B10" s="987" t="s">
        <v>583</v>
      </c>
      <c r="C10" s="984"/>
    </row>
    <row r="11" spans="1:3" x14ac:dyDescent="0.25">
      <c r="A11" s="982"/>
      <c r="B11" s="987"/>
      <c r="C11" s="988">
        <f>SUM(C12:C14)</f>
        <v>3069360971</v>
      </c>
    </row>
    <row r="12" spans="1:3" x14ac:dyDescent="0.25">
      <c r="A12" s="982" t="s">
        <v>584</v>
      </c>
      <c r="B12" s="989" t="s">
        <v>640</v>
      </c>
      <c r="C12" s="990">
        <f>'Ingresos -2018'!C157</f>
        <v>1100000000</v>
      </c>
    </row>
    <row r="13" spans="1:3" x14ac:dyDescent="0.25">
      <c r="A13" s="982"/>
      <c r="B13" s="989" t="s">
        <v>736</v>
      </c>
      <c r="C13" s="990">
        <f>'Ingresos -2018'!C158</f>
        <v>467360971</v>
      </c>
    </row>
    <row r="14" spans="1:3" x14ac:dyDescent="0.25">
      <c r="A14" s="982"/>
      <c r="B14" s="292" t="s">
        <v>637</v>
      </c>
      <c r="C14" s="991">
        <v>1502000000</v>
      </c>
    </row>
    <row r="15" spans="1:3" hidden="1" x14ac:dyDescent="0.25">
      <c r="A15" s="982"/>
      <c r="B15" s="989" t="s">
        <v>341</v>
      </c>
      <c r="C15" s="990"/>
    </row>
    <row r="16" spans="1:3" x14ac:dyDescent="0.25">
      <c r="A16" s="982"/>
      <c r="B16" s="292"/>
      <c r="C16" s="991"/>
    </row>
    <row r="17" spans="1:3" x14ac:dyDescent="0.25">
      <c r="A17" s="982" t="s">
        <v>585</v>
      </c>
      <c r="B17" s="987" t="s">
        <v>755</v>
      </c>
      <c r="C17" s="988">
        <f>SUM(C11)</f>
        <v>3069360971</v>
      </c>
    </row>
    <row r="18" spans="1:3" x14ac:dyDescent="0.25">
      <c r="A18" s="982"/>
      <c r="B18" s="292"/>
      <c r="C18" s="991"/>
    </row>
    <row r="19" spans="1:3" x14ac:dyDescent="0.25">
      <c r="A19" s="982" t="s">
        <v>586</v>
      </c>
      <c r="B19" s="987" t="s">
        <v>756</v>
      </c>
      <c r="C19" s="988">
        <f>C8-C17</f>
        <v>61995977370</v>
      </c>
    </row>
    <row r="20" spans="1:3" x14ac:dyDescent="0.25">
      <c r="A20" s="982" t="s">
        <v>0</v>
      </c>
      <c r="B20" s="292"/>
      <c r="C20" s="991"/>
    </row>
    <row r="21" spans="1:3" ht="13.8" thickBot="1" x14ac:dyDescent="0.3">
      <c r="A21" s="992" t="s">
        <v>587</v>
      </c>
      <c r="B21" s="993" t="s">
        <v>757</v>
      </c>
      <c r="C21" s="994">
        <f>C6-C19</f>
        <v>0</v>
      </c>
    </row>
    <row r="22" spans="1:3" x14ac:dyDescent="0.25">
      <c r="A22" s="995"/>
      <c r="C22" s="996"/>
    </row>
    <row r="23" spans="1:3" x14ac:dyDescent="0.25">
      <c r="C23" s="996"/>
    </row>
    <row r="24" spans="1:3" x14ac:dyDescent="0.25">
      <c r="A24" s="995"/>
    </row>
  </sheetData>
  <mergeCells count="3">
    <mergeCell ref="A1:C1"/>
    <mergeCell ref="A2:C2"/>
    <mergeCell ref="A3:C3"/>
  </mergeCells>
  <phoneticPr fontId="24" type="noConversion"/>
  <printOptions horizontalCentered="1"/>
  <pageMargins left="0" right="0" top="1.5748031496062993" bottom="0" header="0" footer="0"/>
  <pageSetup scale="80" orientation="portrait" r:id="rId1"/>
  <headerFooter alignWithMargins="0">
    <oddHeader>&amp;L&amp;G&amp;R&amp;6&amp;F/&amp;A</oddHeader>
    <oddFooter>&amp;L&amp;6Esta información es propiedad del Instituto Nacional de Vivienda y Urbanismo. Se autoriza su utilización, pero no su alteración. Recuerde que puede acceder a los archivos PDF para verificación.&amp;R&amp;6&amp;P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  <pageSetUpPr fitToPage="1"/>
  </sheetPr>
  <dimension ref="A1:M548"/>
  <sheetViews>
    <sheetView tabSelected="1" zoomScale="75" workbookViewId="0">
      <selection activeCell="F29" sqref="F29"/>
    </sheetView>
  </sheetViews>
  <sheetFormatPr baseColWidth="10" defaultColWidth="11.44140625" defaultRowHeight="13.2" x14ac:dyDescent="0.25"/>
  <cols>
    <col min="1" max="1" width="24" style="177" customWidth="1"/>
    <col min="2" max="2" width="50.5546875" style="177" customWidth="1"/>
    <col min="3" max="3" width="23" style="1369" customWidth="1"/>
    <col min="4" max="4" width="40.33203125" style="1370" customWidth="1"/>
    <col min="5" max="6" width="22.6640625" style="184" customWidth="1"/>
    <col min="7" max="7" width="22" style="176" customWidth="1"/>
    <col min="8" max="8" width="22.109375" style="176" customWidth="1"/>
    <col min="9" max="9" width="23.109375" style="187" customWidth="1"/>
    <col min="10" max="10" width="22" style="188" customWidth="1"/>
    <col min="11" max="11" width="28.109375" style="185" customWidth="1"/>
    <col min="12" max="12" width="28.109375" style="377" customWidth="1"/>
    <col min="13" max="13" width="25.109375" style="184" customWidth="1"/>
    <col min="14" max="16384" width="11.44140625" style="177"/>
  </cols>
  <sheetData>
    <row r="1" spans="1:13" x14ac:dyDescent="0.25">
      <c r="A1" s="1891" t="s">
        <v>518</v>
      </c>
      <c r="B1" s="1891"/>
      <c r="C1" s="1891"/>
      <c r="D1" s="1891"/>
      <c r="E1" s="1891"/>
      <c r="F1" s="1891"/>
      <c r="G1" s="1891"/>
      <c r="H1" s="1891"/>
      <c r="I1" s="1891"/>
      <c r="J1" s="1891"/>
      <c r="K1" s="1891"/>
      <c r="L1" s="1891"/>
      <c r="M1" s="1891"/>
    </row>
    <row r="2" spans="1:13" x14ac:dyDescent="0.25">
      <c r="A2" s="1891" t="s">
        <v>663</v>
      </c>
      <c r="B2" s="1891"/>
      <c r="C2" s="1891"/>
      <c r="D2" s="1891"/>
      <c r="E2" s="1891"/>
      <c r="F2" s="1891"/>
      <c r="G2" s="1891"/>
      <c r="H2" s="1891"/>
      <c r="I2" s="1891"/>
      <c r="J2" s="1891"/>
      <c r="K2" s="1891"/>
      <c r="L2" s="1891"/>
      <c r="M2" s="1891"/>
    </row>
    <row r="3" spans="1:13" x14ac:dyDescent="0.25">
      <c r="A3" s="1891" t="s">
        <v>787</v>
      </c>
      <c r="B3" s="1891"/>
      <c r="C3" s="1891"/>
      <c r="D3" s="1891"/>
      <c r="E3" s="1891"/>
      <c r="F3" s="1891"/>
      <c r="G3" s="1891"/>
      <c r="H3" s="1891"/>
      <c r="I3" s="1891"/>
      <c r="J3" s="1891"/>
      <c r="K3" s="1891"/>
      <c r="L3" s="1891"/>
      <c r="M3" s="1891"/>
    </row>
    <row r="4" spans="1:13" ht="13.8" thickBot="1" x14ac:dyDescent="0.3">
      <c r="A4" s="1892" t="s">
        <v>760</v>
      </c>
      <c r="B4" s="1892"/>
      <c r="C4" s="1892"/>
      <c r="D4" s="1892"/>
      <c r="E4" s="1893"/>
      <c r="F4" s="1893"/>
      <c r="G4" s="1892"/>
      <c r="H4" s="1892"/>
      <c r="I4" s="1892"/>
      <c r="J4" s="1892"/>
      <c r="K4" s="1892"/>
      <c r="L4" s="1892"/>
      <c r="M4" s="1892"/>
    </row>
    <row r="5" spans="1:13" ht="13.8" thickBot="1" x14ac:dyDescent="0.3">
      <c r="A5" s="998"/>
      <c r="B5" s="999" t="s">
        <v>799</v>
      </c>
      <c r="C5" s="1000"/>
      <c r="D5" s="1001"/>
      <c r="E5" s="1002" t="s">
        <v>798</v>
      </c>
      <c r="F5" s="1003"/>
      <c r="G5" s="1898" t="s">
        <v>800</v>
      </c>
      <c r="H5" s="1899"/>
      <c r="I5" s="1899"/>
      <c r="J5" s="1899"/>
      <c r="K5" s="1899"/>
      <c r="L5" s="1899"/>
      <c r="M5" s="1900"/>
    </row>
    <row r="6" spans="1:13" ht="66.599999999999994" thickBot="1" x14ac:dyDescent="0.3">
      <c r="A6" s="1371"/>
      <c r="B6" s="1372"/>
      <c r="C6" s="1373" t="s">
        <v>664</v>
      </c>
      <c r="D6" s="1374"/>
      <c r="E6" s="1375" t="s">
        <v>664</v>
      </c>
      <c r="F6" s="1375"/>
      <c r="G6" s="1376" t="s">
        <v>665</v>
      </c>
      <c r="H6" s="1377" t="s">
        <v>666</v>
      </c>
      <c r="I6" s="1378" t="s">
        <v>667</v>
      </c>
      <c r="J6" s="1376" t="s">
        <v>668</v>
      </c>
      <c r="K6" s="1376" t="s">
        <v>669</v>
      </c>
      <c r="L6" s="1379"/>
      <c r="M6" s="1380" t="s">
        <v>670</v>
      </c>
    </row>
    <row r="7" spans="1:13" x14ac:dyDescent="0.25">
      <c r="A7" s="1004"/>
      <c r="B7" s="1005"/>
      <c r="C7" s="1006"/>
      <c r="D7" s="1007"/>
      <c r="E7" s="1008"/>
      <c r="F7" s="1008"/>
      <c r="G7" s="1009"/>
      <c r="H7" s="1010"/>
      <c r="I7" s="1011"/>
      <c r="J7" s="1008"/>
      <c r="K7" s="1008"/>
      <c r="L7" s="1012"/>
      <c r="M7" s="1013"/>
    </row>
    <row r="8" spans="1:13" x14ac:dyDescent="0.25">
      <c r="A8" s="398"/>
      <c r="B8" s="1014" t="s">
        <v>671</v>
      </c>
      <c r="C8" s="1015">
        <f>C10</f>
        <v>65065338341</v>
      </c>
      <c r="D8" s="1014" t="s">
        <v>672</v>
      </c>
      <c r="E8" s="1015">
        <f t="shared" ref="E8:M8" si="0">E10</f>
        <v>65065338341</v>
      </c>
      <c r="F8" s="1015"/>
      <c r="G8" s="1015">
        <f t="shared" si="0"/>
        <v>4283395001</v>
      </c>
      <c r="H8" s="1015">
        <f t="shared" si="0"/>
        <v>1508515764</v>
      </c>
      <c r="I8" s="1015">
        <f t="shared" si="0"/>
        <v>6180606913</v>
      </c>
      <c r="J8" s="1016">
        <f t="shared" si="0"/>
        <v>53092820663</v>
      </c>
      <c r="K8" s="1015">
        <f t="shared" si="0"/>
        <v>43987597647</v>
      </c>
      <c r="L8" s="1017"/>
      <c r="M8" s="1018">
        <f t="shared" si="0"/>
        <v>9105223016</v>
      </c>
    </row>
    <row r="9" spans="1:13" x14ac:dyDescent="0.25">
      <c r="A9" s="1019"/>
      <c r="B9" s="1020"/>
      <c r="C9" s="1021"/>
      <c r="D9" s="1020"/>
      <c r="E9" s="1022" t="s">
        <v>0</v>
      </c>
      <c r="F9" s="1022"/>
      <c r="G9" s="1023" t="s">
        <v>0</v>
      </c>
      <c r="H9" s="1024" t="s">
        <v>0</v>
      </c>
      <c r="I9" s="1025" t="s">
        <v>0</v>
      </c>
      <c r="J9" s="1023"/>
      <c r="K9" s="1023"/>
      <c r="L9" s="1026"/>
      <c r="M9" s="1027"/>
    </row>
    <row r="10" spans="1:13" x14ac:dyDescent="0.25">
      <c r="A10" s="1028"/>
      <c r="B10" s="1029" t="s">
        <v>673</v>
      </c>
      <c r="C10" s="1030">
        <f>SUM(C12+C84+C113)</f>
        <v>65065338341</v>
      </c>
      <c r="D10" s="1031" t="s">
        <v>674</v>
      </c>
      <c r="E10" s="1032">
        <f>SUM(E12+E84+E113)</f>
        <v>65065338341</v>
      </c>
      <c r="F10" s="1032"/>
      <c r="G10" s="1032">
        <f>SUM(G12+G84+G113)</f>
        <v>4283395001</v>
      </c>
      <c r="H10" s="1032">
        <f>SUM(H12+H84+H113)</f>
        <v>1508515764</v>
      </c>
      <c r="I10" s="1032">
        <f>SUM(I12+I84+I113)</f>
        <v>6180606913</v>
      </c>
      <c r="J10" s="1016">
        <f>SUM(K10+M10)</f>
        <v>53092820663</v>
      </c>
      <c r="K10" s="1032">
        <f>SUM(K12+K84+K113)</f>
        <v>43987597647</v>
      </c>
      <c r="L10" s="1033"/>
      <c r="M10" s="1034">
        <f>SUM(M12+M84+M122)</f>
        <v>9105223016</v>
      </c>
    </row>
    <row r="11" spans="1:13" x14ac:dyDescent="0.25">
      <c r="A11" s="1019"/>
      <c r="B11" s="1035"/>
      <c r="C11" s="1021"/>
      <c r="D11" s="1036"/>
      <c r="E11" s="1037"/>
      <c r="F11" s="1037"/>
      <c r="G11" s="1037"/>
      <c r="H11" s="1038"/>
      <c r="I11" s="1037" t="s">
        <v>0</v>
      </c>
      <c r="J11" s="1016"/>
      <c r="K11" s="1037"/>
      <c r="L11" s="1039"/>
      <c r="M11" s="1040"/>
    </row>
    <row r="12" spans="1:13" x14ac:dyDescent="0.25">
      <c r="A12" s="1041" t="s">
        <v>382</v>
      </c>
      <c r="B12" s="1042" t="s">
        <v>383</v>
      </c>
      <c r="C12" s="1043">
        <f>SUM(C14)</f>
        <v>19572167504</v>
      </c>
      <c r="D12" s="1044" t="s">
        <v>675</v>
      </c>
      <c r="E12" s="1043">
        <f>SUM(E14)</f>
        <v>19572167504</v>
      </c>
      <c r="F12" s="1045"/>
      <c r="G12" s="1045">
        <f t="shared" ref="G12:M12" si="1">SUM(G14)</f>
        <v>1633318884</v>
      </c>
      <c r="H12" s="1046">
        <f t="shared" si="1"/>
        <v>1009788233</v>
      </c>
      <c r="I12" s="1043">
        <f>SUM(I14)</f>
        <v>68080848</v>
      </c>
      <c r="J12" s="1043">
        <f t="shared" si="1"/>
        <v>16860979539</v>
      </c>
      <c r="K12" s="1043">
        <f t="shared" si="1"/>
        <v>16614325426</v>
      </c>
      <c r="L12" s="1047"/>
      <c r="M12" s="1048">
        <f t="shared" si="1"/>
        <v>246654113</v>
      </c>
    </row>
    <row r="13" spans="1:13" x14ac:dyDescent="0.25">
      <c r="A13" s="253"/>
      <c r="B13" s="1049"/>
      <c r="C13" s="159" t="s">
        <v>0</v>
      </c>
      <c r="D13" s="1050"/>
      <c r="E13" s="1025"/>
      <c r="F13" s="1051"/>
      <c r="G13" s="1052"/>
      <c r="H13" s="1053"/>
      <c r="I13" s="1032"/>
      <c r="J13" s="1016"/>
      <c r="K13" s="1032"/>
      <c r="L13" s="1033"/>
      <c r="M13" s="1034"/>
    </row>
    <row r="14" spans="1:13" x14ac:dyDescent="0.25">
      <c r="A14" s="1054" t="s">
        <v>384</v>
      </c>
      <c r="B14" s="1055" t="s">
        <v>385</v>
      </c>
      <c r="C14" s="1015">
        <f>SUM(C16+C44+C70+C76)</f>
        <v>19572167504</v>
      </c>
      <c r="D14" s="1056">
        <f>D16+D44+D70</f>
        <v>0</v>
      </c>
      <c r="E14" s="1015">
        <f>SUM(E22+E23+E24+E25+E26+E30+E33+E34+E37+E38+E41+E48+E50+E52+E55+E56+E57+E62+E64+E72+E74+E78)</f>
        <v>19572167504</v>
      </c>
      <c r="F14" s="1057"/>
      <c r="G14" s="1057">
        <f>SUM(G32+G46+G53+G60+G70)</f>
        <v>1633318884</v>
      </c>
      <c r="H14" s="1015">
        <f>SUM(H32+H46+H55+H60+H70)</f>
        <v>1009788233</v>
      </c>
      <c r="I14" s="1015">
        <f>SUM(I22+I23+I24+I25+I26+I30+I33+I34+I37+I38+I41+I48+I50+I52+I55+I56+I57+I62+I64+I72+I74+I78)</f>
        <v>68080848</v>
      </c>
      <c r="J14" s="1015">
        <f>SUM(J16+J44+J70+J76)</f>
        <v>16860979539</v>
      </c>
      <c r="K14" s="1015">
        <f>SUM(K16+K44+K70+K76)</f>
        <v>16614325426</v>
      </c>
      <c r="L14" s="1058"/>
      <c r="M14" s="1059">
        <f>SUM(M72+M76)</f>
        <v>246654113</v>
      </c>
    </row>
    <row r="15" spans="1:13" x14ac:dyDescent="0.25">
      <c r="A15" s="1060"/>
      <c r="B15" s="1061"/>
      <c r="C15" s="1021"/>
      <c r="D15" s="1062"/>
      <c r="E15" s="1063"/>
      <c r="F15" s="1064"/>
      <c r="G15" s="1052"/>
      <c r="H15" s="1053"/>
      <c r="I15" s="1032"/>
      <c r="J15" s="1016"/>
      <c r="K15" s="1032"/>
      <c r="L15" s="1033"/>
      <c r="M15" s="1034"/>
    </row>
    <row r="16" spans="1:13" s="147" customFormat="1" x14ac:dyDescent="0.25">
      <c r="A16" s="1065" t="s">
        <v>386</v>
      </c>
      <c r="B16" s="1066" t="s">
        <v>387</v>
      </c>
      <c r="C16" s="1043">
        <f>SUM(C21+C29+C32+C40)</f>
        <v>3040322530</v>
      </c>
      <c r="D16" s="1067"/>
      <c r="E16" s="1043">
        <f>SUM(E21+E29+E32+E40)</f>
        <v>3040322530</v>
      </c>
      <c r="F16" s="1043"/>
      <c r="G16" s="1043">
        <f t="shared" ref="G16:M16" si="2">SUM(G21+G29+G32+G40)</f>
        <v>161763983</v>
      </c>
      <c r="H16" s="1046">
        <f t="shared" si="2"/>
        <v>1009788233</v>
      </c>
      <c r="I16" s="1043">
        <f t="shared" si="2"/>
        <v>18720000</v>
      </c>
      <c r="J16" s="1068">
        <f t="shared" ref="J16:J20" si="3">SUM(K16+M16)</f>
        <v>1850050314</v>
      </c>
      <c r="K16" s="1043">
        <f t="shared" si="2"/>
        <v>1850050314</v>
      </c>
      <c r="L16" s="1047"/>
      <c r="M16" s="1048">
        <f t="shared" si="2"/>
        <v>0</v>
      </c>
    </row>
    <row r="17" spans="1:13" x14ac:dyDescent="0.25">
      <c r="A17" s="1069"/>
      <c r="B17" s="1070"/>
      <c r="C17" s="1071"/>
      <c r="D17" s="1072"/>
      <c r="E17" s="1063"/>
      <c r="F17" s="1063"/>
      <c r="G17" s="1063"/>
      <c r="H17" s="1073"/>
      <c r="I17" s="1063"/>
      <c r="J17" s="1074"/>
      <c r="K17" s="1063"/>
      <c r="L17" s="1075"/>
      <c r="M17" s="1076"/>
    </row>
    <row r="18" spans="1:13" hidden="1" x14ac:dyDescent="0.25">
      <c r="A18" s="1054" t="s">
        <v>388</v>
      </c>
      <c r="B18" s="1055" t="s">
        <v>676</v>
      </c>
      <c r="C18" s="1015">
        <f>C19</f>
        <v>0</v>
      </c>
      <c r="D18" s="1036"/>
      <c r="E18" s="1032">
        <f>E19</f>
        <v>0</v>
      </c>
      <c r="F18" s="1032"/>
      <c r="G18" s="1037">
        <f>G19</f>
        <v>0</v>
      </c>
      <c r="H18" s="1038">
        <f>H19</f>
        <v>0</v>
      </c>
      <c r="I18" s="1037">
        <f>I19</f>
        <v>0</v>
      </c>
      <c r="J18" s="1016">
        <f t="shared" si="3"/>
        <v>0</v>
      </c>
      <c r="K18" s="1037">
        <f>K19</f>
        <v>0</v>
      </c>
      <c r="L18" s="1039"/>
      <c r="M18" s="1040">
        <f>M19</f>
        <v>0</v>
      </c>
    </row>
    <row r="19" spans="1:13" hidden="1" x14ac:dyDescent="0.25">
      <c r="A19" s="1077" t="s">
        <v>390</v>
      </c>
      <c r="B19" s="1078" t="s">
        <v>677</v>
      </c>
      <c r="C19" s="159"/>
      <c r="D19" s="1079" t="s">
        <v>678</v>
      </c>
      <c r="E19" s="1021"/>
      <c r="F19" s="1021"/>
      <c r="G19" s="1021"/>
      <c r="H19" s="1080"/>
      <c r="I19" s="1021"/>
      <c r="J19" s="1016">
        <f t="shared" si="3"/>
        <v>0</v>
      </c>
      <c r="K19" s="1021"/>
      <c r="L19" s="1081"/>
      <c r="M19" s="1082"/>
    </row>
    <row r="20" spans="1:13" hidden="1" x14ac:dyDescent="0.25">
      <c r="A20" s="1077"/>
      <c r="B20" s="1078"/>
      <c r="C20" s="159"/>
      <c r="D20" s="1079"/>
      <c r="E20" s="1021"/>
      <c r="F20" s="1021"/>
      <c r="G20" s="1021"/>
      <c r="H20" s="1080"/>
      <c r="I20" s="1021"/>
      <c r="J20" s="1016">
        <f t="shared" si="3"/>
        <v>0</v>
      </c>
      <c r="K20" s="1021"/>
      <c r="L20" s="1081"/>
      <c r="M20" s="1082"/>
    </row>
    <row r="21" spans="1:13" x14ac:dyDescent="0.25">
      <c r="A21" s="1083" t="s">
        <v>394</v>
      </c>
      <c r="B21" s="1084" t="s">
        <v>395</v>
      </c>
      <c r="C21" s="1043">
        <f>SUM(C22)</f>
        <v>1796297230</v>
      </c>
      <c r="D21" s="1085"/>
      <c r="E21" s="1043">
        <f>SUM(E22:E27)</f>
        <v>1796297230</v>
      </c>
      <c r="F21" s="1043"/>
      <c r="G21" s="1086">
        <f>SUM(G22:G22)</f>
        <v>0</v>
      </c>
      <c r="H21" s="1087">
        <f>SUM(H22:H22)</f>
        <v>0</v>
      </c>
      <c r="I21" s="1086">
        <f>SUM(I22:I22)</f>
        <v>0</v>
      </c>
      <c r="J21" s="1043">
        <f>SUM(J22:J27)</f>
        <v>1796297230</v>
      </c>
      <c r="K21" s="1086">
        <f>SUM(K22+K23+K24+K25+K26)</f>
        <v>1796297230</v>
      </c>
      <c r="L21" s="1088"/>
      <c r="M21" s="1089">
        <f>SUM(M22:M22)</f>
        <v>0</v>
      </c>
    </row>
    <row r="22" spans="1:13" x14ac:dyDescent="0.25">
      <c r="A22" s="1077" t="s">
        <v>396</v>
      </c>
      <c r="B22" s="1078" t="s">
        <v>679</v>
      </c>
      <c r="C22" s="159">
        <f>'Ingresos -2018'!C19</f>
        <v>1796297230</v>
      </c>
      <c r="D22" s="1079" t="s">
        <v>680</v>
      </c>
      <c r="E22" s="1021">
        <f t="shared" ref="E22:E26" si="4">G22+H22+I22+J22</f>
        <v>178232020</v>
      </c>
      <c r="F22" s="1021"/>
      <c r="G22" s="1021"/>
      <c r="H22" s="1080"/>
      <c r="I22" s="1021"/>
      <c r="J22" s="1023">
        <f t="shared" ref="J22:J26" si="5">SUM(K22+M22)</f>
        <v>178232020</v>
      </c>
      <c r="K22" s="1021">
        <v>178232020</v>
      </c>
      <c r="L22" s="1081"/>
      <c r="M22" s="1082"/>
    </row>
    <row r="23" spans="1:13" x14ac:dyDescent="0.25">
      <c r="A23" s="1077"/>
      <c r="B23" s="1078"/>
      <c r="C23" s="159"/>
      <c r="D23" s="1079" t="s">
        <v>685</v>
      </c>
      <c r="E23" s="1021">
        <f t="shared" si="4"/>
        <v>1503622000</v>
      </c>
      <c r="F23" s="1021"/>
      <c r="G23" s="1021"/>
      <c r="H23" s="1080"/>
      <c r="I23" s="1021"/>
      <c r="J23" s="1023">
        <f t="shared" si="5"/>
        <v>1503622000</v>
      </c>
      <c r="K23" s="1021">
        <f>3240348671-250000000-619678259-101048412-570000000-196000000</f>
        <v>1503622000</v>
      </c>
      <c r="L23" s="1081"/>
      <c r="M23" s="1082"/>
    </row>
    <row r="24" spans="1:13" x14ac:dyDescent="0.25">
      <c r="A24" s="1077"/>
      <c r="B24" s="1078"/>
      <c r="C24" s="159"/>
      <c r="D24" s="1079" t="s">
        <v>686</v>
      </c>
      <c r="E24" s="1021">
        <f t="shared" si="4"/>
        <v>4880000</v>
      </c>
      <c r="F24" s="1021"/>
      <c r="G24" s="1021"/>
      <c r="H24" s="1080"/>
      <c r="I24" s="1021"/>
      <c r="J24" s="1023">
        <f t="shared" si="5"/>
        <v>4880000</v>
      </c>
      <c r="K24" s="1021">
        <v>4880000</v>
      </c>
      <c r="L24" s="1081"/>
      <c r="M24" s="1082"/>
    </row>
    <row r="25" spans="1:13" x14ac:dyDescent="0.25">
      <c r="A25" s="1077"/>
      <c r="B25" s="1078"/>
      <c r="C25" s="159"/>
      <c r="D25" s="1079" t="s">
        <v>731</v>
      </c>
      <c r="E25" s="1021">
        <f t="shared" si="4"/>
        <v>7600000</v>
      </c>
      <c r="F25" s="1021"/>
      <c r="G25" s="1021"/>
      <c r="H25" s="1080"/>
      <c r="I25" s="1021"/>
      <c r="J25" s="1023">
        <f t="shared" si="5"/>
        <v>7600000</v>
      </c>
      <c r="K25" s="1021">
        <v>7600000</v>
      </c>
      <c r="L25" s="1081"/>
      <c r="M25" s="1082"/>
    </row>
    <row r="26" spans="1:13" x14ac:dyDescent="0.25">
      <c r="A26" s="1077"/>
      <c r="B26" s="1078"/>
      <c r="C26" s="159"/>
      <c r="D26" s="1079" t="s">
        <v>681</v>
      </c>
      <c r="E26" s="1021">
        <f t="shared" si="4"/>
        <v>101963210</v>
      </c>
      <c r="F26" s="1021"/>
      <c r="G26" s="1021"/>
      <c r="H26" s="1080"/>
      <c r="I26" s="1021"/>
      <c r="J26" s="1023">
        <f t="shared" si="5"/>
        <v>101963210</v>
      </c>
      <c r="K26" s="1021">
        <v>101963210</v>
      </c>
      <c r="L26" s="1081"/>
      <c r="M26" s="1082"/>
    </row>
    <row r="27" spans="1:13" x14ac:dyDescent="0.25">
      <c r="A27" s="1090"/>
      <c r="B27" s="1091"/>
      <c r="C27" s="1092"/>
      <c r="D27" s="1093"/>
      <c r="E27" s="1094"/>
      <c r="F27" s="1094"/>
      <c r="G27" s="1094"/>
      <c r="H27" s="1095"/>
      <c r="I27" s="1094"/>
      <c r="J27" s="1096"/>
      <c r="K27" s="1094"/>
      <c r="L27" s="1097"/>
      <c r="M27" s="1098"/>
    </row>
    <row r="28" spans="1:13" x14ac:dyDescent="0.25">
      <c r="A28" s="1077"/>
      <c r="B28" s="1078"/>
      <c r="C28" s="159"/>
      <c r="D28" s="1079"/>
      <c r="E28" s="1021"/>
      <c r="F28" s="1021"/>
      <c r="G28" s="1021"/>
      <c r="H28" s="1080"/>
      <c r="I28" s="1021"/>
      <c r="J28" s="1023"/>
      <c r="K28" s="1021"/>
      <c r="L28" s="1081"/>
      <c r="M28" s="1082"/>
    </row>
    <row r="29" spans="1:13" s="147" customFormat="1" x14ac:dyDescent="0.25">
      <c r="A29" s="252" t="s">
        <v>398</v>
      </c>
      <c r="B29" s="1099" t="s">
        <v>99</v>
      </c>
      <c r="C29" s="1015">
        <f>SUM(C30)</f>
        <v>7200000</v>
      </c>
      <c r="D29" s="1079"/>
      <c r="E29" s="1030">
        <f>SUM(E30)</f>
        <v>7200000</v>
      </c>
      <c r="F29" s="1030"/>
      <c r="G29" s="1030"/>
      <c r="H29" s="1100"/>
      <c r="I29" s="1030">
        <f>SUM(I30)</f>
        <v>7200000</v>
      </c>
      <c r="J29" s="1016"/>
      <c r="K29" s="1030"/>
      <c r="L29" s="1101"/>
      <c r="M29" s="1102"/>
    </row>
    <row r="30" spans="1:13" x14ac:dyDescent="0.25">
      <c r="A30" s="253" t="s">
        <v>399</v>
      </c>
      <c r="B30" s="1103" t="s">
        <v>770</v>
      </c>
      <c r="C30" s="159">
        <f>'Ingresos -2018'!C22</f>
        <v>7200000</v>
      </c>
      <c r="D30" s="1079" t="s">
        <v>680</v>
      </c>
      <c r="E30" s="1021">
        <f>G30+H30+I30+J30</f>
        <v>7200000</v>
      </c>
      <c r="F30" s="1021"/>
      <c r="G30" s="1021"/>
      <c r="H30" s="1080"/>
      <c r="I30" s="1021">
        <v>7200000</v>
      </c>
      <c r="J30" s="1023"/>
      <c r="K30" s="1021"/>
      <c r="L30" s="1081"/>
      <c r="M30" s="1082"/>
    </row>
    <row r="31" spans="1:13" x14ac:dyDescent="0.25">
      <c r="A31" s="1090"/>
      <c r="B31" s="1091"/>
      <c r="C31" s="1092"/>
      <c r="D31" s="1093"/>
      <c r="E31" s="1094"/>
      <c r="F31" s="1094"/>
      <c r="G31" s="1094"/>
      <c r="H31" s="1095"/>
      <c r="I31" s="1094"/>
      <c r="J31" s="1074"/>
      <c r="K31" s="1094"/>
      <c r="L31" s="1097"/>
      <c r="M31" s="1098"/>
    </row>
    <row r="32" spans="1:13" ht="27" customHeight="1" x14ac:dyDescent="0.25">
      <c r="A32" s="1104" t="s">
        <v>400</v>
      </c>
      <c r="B32" s="1084" t="s">
        <v>401</v>
      </c>
      <c r="C32" s="1043">
        <f>SUM(C33+C34+C37)</f>
        <v>1225305300</v>
      </c>
      <c r="D32" s="1085"/>
      <c r="E32" s="1086">
        <f>SUM(E33:E38)</f>
        <v>1225305300</v>
      </c>
      <c r="F32" s="1086"/>
      <c r="G32" s="1086">
        <f>SUM(G33:G38)</f>
        <v>161763983</v>
      </c>
      <c r="H32" s="1087">
        <f>SUM(H34:H41)</f>
        <v>1009788233</v>
      </c>
      <c r="I32" s="1086">
        <f>SUM(I33:I38)</f>
        <v>0</v>
      </c>
      <c r="J32" s="1068">
        <f>SUM(J33:J38)</f>
        <v>53753084</v>
      </c>
      <c r="K32" s="1086">
        <f>SUM(K33:K38)</f>
        <v>53753084</v>
      </c>
      <c r="L32" s="1088"/>
      <c r="M32" s="1105"/>
    </row>
    <row r="33" spans="1:13" ht="21" customHeight="1" x14ac:dyDescent="0.25">
      <c r="A33" s="1077"/>
      <c r="B33" s="1078" t="s">
        <v>682</v>
      </c>
      <c r="C33" s="159">
        <f>'Ingresos -2018'!C25</f>
        <v>161763983</v>
      </c>
      <c r="D33" s="1079" t="s">
        <v>684</v>
      </c>
      <c r="E33" s="1021">
        <f>SUM(G33:J33)</f>
        <v>161763983</v>
      </c>
      <c r="F33" s="1021"/>
      <c r="G33" s="1021">
        <v>161763983</v>
      </c>
      <c r="H33" s="1080"/>
      <c r="I33" s="1021"/>
      <c r="J33" s="1016"/>
      <c r="K33" s="1021"/>
      <c r="L33" s="1081"/>
      <c r="M33" s="1082"/>
    </row>
    <row r="34" spans="1:13" ht="18" customHeight="1" x14ac:dyDescent="0.25">
      <c r="A34" s="1077"/>
      <c r="B34" s="1078" t="s">
        <v>683</v>
      </c>
      <c r="C34" s="159">
        <f>'Ingresos -2018'!C26</f>
        <v>1009788233</v>
      </c>
      <c r="D34" s="1079" t="s">
        <v>684</v>
      </c>
      <c r="E34" s="1021">
        <f>SUM(G34:J34)</f>
        <v>750363848</v>
      </c>
      <c r="F34" s="1021"/>
      <c r="G34" s="1021"/>
      <c r="H34" s="1080">
        <v>750363848</v>
      </c>
      <c r="I34" s="1021"/>
      <c r="J34" s="1016"/>
      <c r="K34" s="1021"/>
      <c r="L34" s="1081"/>
      <c r="M34" s="1082"/>
    </row>
    <row r="35" spans="1:13" hidden="1" x14ac:dyDescent="0.25">
      <c r="A35" s="1077"/>
      <c r="B35" s="1078"/>
      <c r="C35" s="159"/>
      <c r="D35" s="1079"/>
      <c r="E35" s="1021">
        <f t="shared" ref="E35:E37" si="6">SUM(G35:J35)</f>
        <v>0</v>
      </c>
      <c r="F35" s="1021"/>
      <c r="G35" s="1021"/>
      <c r="H35" s="1080"/>
      <c r="I35" s="1021"/>
      <c r="J35" s="1016"/>
      <c r="K35" s="1021"/>
      <c r="L35" s="1081"/>
      <c r="M35" s="1082"/>
    </row>
    <row r="36" spans="1:13" hidden="1" x14ac:dyDescent="0.25">
      <c r="A36" s="1077"/>
      <c r="B36" s="1078"/>
      <c r="C36" s="159"/>
      <c r="D36" s="1079"/>
      <c r="E36" s="1021">
        <f t="shared" si="6"/>
        <v>0</v>
      </c>
      <c r="F36" s="1021"/>
      <c r="G36" s="1021"/>
      <c r="H36" s="1080"/>
      <c r="I36" s="1021"/>
      <c r="J36" s="1016">
        <f>SUM(K36+M36)</f>
        <v>0</v>
      </c>
      <c r="K36" s="1021"/>
      <c r="L36" s="1081"/>
      <c r="M36" s="1082"/>
    </row>
    <row r="37" spans="1:13" x14ac:dyDescent="0.25">
      <c r="A37" s="1077"/>
      <c r="B37" s="1078" t="s">
        <v>408</v>
      </c>
      <c r="C37" s="159">
        <f>'Ingresos -2018'!C27</f>
        <v>53753084</v>
      </c>
      <c r="D37" s="1079" t="s">
        <v>685</v>
      </c>
      <c r="E37" s="1021">
        <f t="shared" si="6"/>
        <v>259424385</v>
      </c>
      <c r="F37" s="1021"/>
      <c r="G37" s="1021"/>
      <c r="H37" s="1080">
        <f>1009788233-750363848</f>
        <v>259424385</v>
      </c>
      <c r="I37" s="1021"/>
      <c r="J37" s="1016"/>
      <c r="K37" s="1021"/>
      <c r="L37" s="1081"/>
      <c r="M37" s="1082"/>
    </row>
    <row r="38" spans="1:13" x14ac:dyDescent="0.25">
      <c r="A38" s="1077"/>
      <c r="B38" s="1078"/>
      <c r="C38" s="159"/>
      <c r="D38" s="1079" t="s">
        <v>789</v>
      </c>
      <c r="E38" s="1021">
        <f t="shared" ref="E38" si="7">G38+H38+I38+J38</f>
        <v>53753084</v>
      </c>
      <c r="F38" s="1021"/>
      <c r="G38" s="1021"/>
      <c r="H38" s="1080"/>
      <c r="I38" s="1021"/>
      <c r="J38" s="1016">
        <f>SUM(K38)</f>
        <v>53753084</v>
      </c>
      <c r="K38" s="1021">
        <v>53753084</v>
      </c>
      <c r="L38" s="1081"/>
      <c r="M38" s="1082"/>
    </row>
    <row r="39" spans="1:13" x14ac:dyDescent="0.25">
      <c r="A39" s="1077"/>
      <c r="B39" s="1078"/>
      <c r="C39" s="159"/>
      <c r="D39" s="1079"/>
      <c r="E39" s="1021"/>
      <c r="F39" s="1021"/>
      <c r="G39" s="1021"/>
      <c r="H39" s="1080"/>
      <c r="I39" s="1021"/>
      <c r="J39" s="1016"/>
      <c r="K39" s="1021"/>
      <c r="L39" s="1081"/>
      <c r="M39" s="1082"/>
    </row>
    <row r="40" spans="1:13" x14ac:dyDescent="0.25">
      <c r="A40" s="254" t="s">
        <v>573</v>
      </c>
      <c r="B40" s="1106" t="s">
        <v>402</v>
      </c>
      <c r="C40" s="1043">
        <f>SUM(C41)</f>
        <v>11520000</v>
      </c>
      <c r="D40" s="1085"/>
      <c r="E40" s="1086">
        <f>SUM(E41)</f>
        <v>11520000</v>
      </c>
      <c r="F40" s="1086"/>
      <c r="G40" s="1086"/>
      <c r="H40" s="1087"/>
      <c r="I40" s="1086">
        <f>SUM(I41)</f>
        <v>11520000</v>
      </c>
      <c r="J40" s="1068"/>
      <c r="K40" s="1107"/>
      <c r="L40" s="1108"/>
      <c r="M40" s="1105"/>
    </row>
    <row r="41" spans="1:13" x14ac:dyDescent="0.25">
      <c r="A41" s="255" t="s">
        <v>575</v>
      </c>
      <c r="B41" s="1109" t="s">
        <v>763</v>
      </c>
      <c r="C41" s="1092">
        <f>'Ingresos -2018'!C31</f>
        <v>11520000</v>
      </c>
      <c r="D41" s="1093" t="s">
        <v>684</v>
      </c>
      <c r="E41" s="1094">
        <f>G41+H41+I41+J41</f>
        <v>11520000</v>
      </c>
      <c r="F41" s="1094"/>
      <c r="G41" s="1094"/>
      <c r="H41" s="1095"/>
      <c r="I41" s="1094">
        <v>11520000</v>
      </c>
      <c r="J41" s="1074"/>
      <c r="K41" s="1094"/>
      <c r="L41" s="1097"/>
      <c r="M41" s="1098"/>
    </row>
    <row r="42" spans="1:13" x14ac:dyDescent="0.25">
      <c r="A42" s="1077"/>
      <c r="B42" s="1078"/>
      <c r="C42" s="159"/>
      <c r="D42" s="1079"/>
      <c r="E42" s="1021"/>
      <c r="F42" s="1021"/>
      <c r="G42" s="1021"/>
      <c r="H42" s="1080"/>
      <c r="I42" s="1021"/>
      <c r="J42" s="1016"/>
      <c r="K42" s="1021"/>
      <c r="L42" s="1081"/>
      <c r="M42" s="1082"/>
    </row>
    <row r="43" spans="1:13" hidden="1" x14ac:dyDescent="0.25">
      <c r="A43" s="1077"/>
      <c r="B43" s="1078"/>
      <c r="C43" s="159"/>
      <c r="D43" s="1079"/>
      <c r="E43" s="1021"/>
      <c r="F43" s="1021"/>
      <c r="G43" s="1021"/>
      <c r="H43" s="1080"/>
      <c r="I43" s="1021"/>
      <c r="J43" s="1016"/>
      <c r="K43" s="1021"/>
      <c r="L43" s="1081"/>
      <c r="M43" s="1082"/>
    </row>
    <row r="44" spans="1:13" x14ac:dyDescent="0.25">
      <c r="A44" s="1110" t="s">
        <v>404</v>
      </c>
      <c r="B44" s="1111" t="s">
        <v>405</v>
      </c>
      <c r="C44" s="1015">
        <f>SUM(C46+C53+C60)</f>
        <v>14996603342</v>
      </c>
      <c r="D44" s="1112"/>
      <c r="E44" s="1015">
        <f t="shared" ref="E44:K44" si="8">SUM(E46+E53+E60)</f>
        <v>14996603342</v>
      </c>
      <c r="F44" s="1015"/>
      <c r="G44" s="1015">
        <f t="shared" si="8"/>
        <v>1365554901</v>
      </c>
      <c r="H44" s="1058">
        <f t="shared" si="8"/>
        <v>0</v>
      </c>
      <c r="I44" s="1015">
        <f t="shared" si="8"/>
        <v>0</v>
      </c>
      <c r="J44" s="1015">
        <f t="shared" si="8"/>
        <v>13631048441</v>
      </c>
      <c r="K44" s="1015">
        <f t="shared" si="8"/>
        <v>13631048441</v>
      </c>
      <c r="L44" s="1017"/>
      <c r="M44" s="1018">
        <f>M47+M53+M60</f>
        <v>0</v>
      </c>
    </row>
    <row r="45" spans="1:13" x14ac:dyDescent="0.25">
      <c r="A45" s="1110"/>
      <c r="B45" s="1111"/>
      <c r="C45" s="1015"/>
      <c r="D45" s="1112"/>
      <c r="E45" s="1113"/>
      <c r="F45" s="1113"/>
      <c r="G45" s="1015"/>
      <c r="H45" s="1058"/>
      <c r="I45" s="1015"/>
      <c r="J45" s="1016">
        <f>SUM(K45+M45)</f>
        <v>0</v>
      </c>
      <c r="K45" s="1015"/>
      <c r="L45" s="1017"/>
      <c r="M45" s="1018"/>
    </row>
    <row r="46" spans="1:13" x14ac:dyDescent="0.25">
      <c r="A46" s="1083" t="s">
        <v>406</v>
      </c>
      <c r="B46" s="1084" t="s">
        <v>687</v>
      </c>
      <c r="C46" s="1043">
        <f>C47</f>
        <v>7226261433</v>
      </c>
      <c r="D46" s="1114"/>
      <c r="E46" s="1115">
        <f>SUM(E48:E52)</f>
        <v>7226261433</v>
      </c>
      <c r="F46" s="1115"/>
      <c r="G46" s="1115">
        <f>SUM(G48)</f>
        <v>190151585</v>
      </c>
      <c r="H46" s="1116"/>
      <c r="I46" s="1043"/>
      <c r="J46" s="1068">
        <f>SUM(J47:J52)</f>
        <v>7036109848</v>
      </c>
      <c r="K46" s="1115">
        <f>SUM(K47:K52)</f>
        <v>7036109848</v>
      </c>
      <c r="L46" s="1117"/>
      <c r="M46" s="1118"/>
    </row>
    <row r="47" spans="1:13" x14ac:dyDescent="0.25">
      <c r="A47" s="1077" t="s">
        <v>487</v>
      </c>
      <c r="B47" s="1078" t="s">
        <v>688</v>
      </c>
      <c r="C47" s="159">
        <f>SUM(C48+C50)</f>
        <v>7226261433</v>
      </c>
      <c r="D47" s="1079"/>
      <c r="E47" s="1113"/>
      <c r="F47" s="1113"/>
      <c r="G47" s="1113"/>
      <c r="H47" s="1119"/>
      <c r="I47" s="159"/>
      <c r="J47" s="1016"/>
      <c r="K47" s="1113"/>
      <c r="L47" s="1120"/>
      <c r="M47" s="1121">
        <f>SUM(M50:M50)</f>
        <v>0</v>
      </c>
    </row>
    <row r="48" spans="1:13" x14ac:dyDescent="0.25">
      <c r="A48" s="1077"/>
      <c r="B48" s="1078" t="s">
        <v>660</v>
      </c>
      <c r="C48" s="159">
        <f>'Ingresos -2018'!D36</f>
        <v>190151585</v>
      </c>
      <c r="D48" s="1079" t="s">
        <v>684</v>
      </c>
      <c r="E48" s="1021">
        <f>G48+H48+I48+J48</f>
        <v>190151585</v>
      </c>
      <c r="F48" s="1021"/>
      <c r="G48" s="1021">
        <v>190151585</v>
      </c>
      <c r="H48" s="1080"/>
      <c r="I48" s="159"/>
      <c r="J48" s="1016"/>
      <c r="K48" s="1122"/>
      <c r="L48" s="1123"/>
      <c r="M48" s="1124">
        <v>0</v>
      </c>
    </row>
    <row r="49" spans="1:13" x14ac:dyDescent="0.25">
      <c r="A49" s="1077"/>
      <c r="B49" s="1078"/>
      <c r="C49" s="159"/>
      <c r="D49" s="1079"/>
      <c r="E49" s="1021"/>
      <c r="F49" s="1021"/>
      <c r="G49" s="1021"/>
      <c r="H49" s="1080"/>
      <c r="I49" s="159"/>
      <c r="J49" s="1016"/>
      <c r="K49" s="1122"/>
      <c r="L49" s="1123"/>
      <c r="M49" s="1124"/>
    </row>
    <row r="50" spans="1:13" x14ac:dyDescent="0.25">
      <c r="A50" s="1077"/>
      <c r="B50" s="1078" t="s">
        <v>689</v>
      </c>
      <c r="C50" s="159">
        <f>'Ingresos -2018'!C40</f>
        <v>7036109848</v>
      </c>
      <c r="D50" s="1079" t="s">
        <v>696</v>
      </c>
      <c r="E50" s="1021">
        <f>G50+H50+I50+J50</f>
        <v>665742596</v>
      </c>
      <c r="F50" s="1021"/>
      <c r="G50" s="1021"/>
      <c r="H50" s="1080"/>
      <c r="I50" s="1021"/>
      <c r="J50" s="1016">
        <f>SUM(K50+M50)</f>
        <v>665742596</v>
      </c>
      <c r="K50" s="1021">
        <f>719495680-53753084</f>
        <v>665742596</v>
      </c>
      <c r="L50" s="1081"/>
      <c r="M50" s="1082"/>
    </row>
    <row r="51" spans="1:13" x14ac:dyDescent="0.25">
      <c r="A51" s="1077"/>
      <c r="B51" s="1078"/>
      <c r="C51" s="159"/>
      <c r="D51" s="1079"/>
      <c r="E51" s="1021"/>
      <c r="F51" s="1021"/>
      <c r="G51" s="1021"/>
      <c r="H51" s="1080"/>
      <c r="I51" s="1021"/>
      <c r="J51" s="1016"/>
      <c r="K51" s="1021"/>
      <c r="L51" s="1081"/>
      <c r="M51" s="1082"/>
    </row>
    <row r="52" spans="1:13" ht="13.8" thickBot="1" x14ac:dyDescent="0.3">
      <c r="A52" s="1077"/>
      <c r="B52" s="1078"/>
      <c r="C52" s="159"/>
      <c r="D52" s="1079" t="s">
        <v>690</v>
      </c>
      <c r="E52" s="1021">
        <f>G52+H52+I52+J52</f>
        <v>6370367252</v>
      </c>
      <c r="F52" s="1021"/>
      <c r="G52" s="1021"/>
      <c r="H52" s="1080"/>
      <c r="I52" s="1021"/>
      <c r="J52" s="1016">
        <f>SUM(K52+M52)</f>
        <v>6370367252</v>
      </c>
      <c r="K52" s="1021">
        <f>7036109848-665742596</f>
        <v>6370367252</v>
      </c>
      <c r="L52" s="1081"/>
      <c r="M52" s="1082"/>
    </row>
    <row r="53" spans="1:13" s="1132" customFormat="1" x14ac:dyDescent="0.25">
      <c r="A53" s="1125" t="s">
        <v>691</v>
      </c>
      <c r="B53" s="1126" t="s">
        <v>692</v>
      </c>
      <c r="C53" s="1127">
        <f>C54</f>
        <v>7511661908</v>
      </c>
      <c r="D53" s="1128"/>
      <c r="E53" s="1127">
        <f>SUM(E54:E58)</f>
        <v>7511661908</v>
      </c>
      <c r="F53" s="1127"/>
      <c r="G53" s="1127">
        <f>SUM(G54:G58)</f>
        <v>1091455710</v>
      </c>
      <c r="H53" s="1129">
        <f>SUM(H54:H55)</f>
        <v>0</v>
      </c>
      <c r="I53" s="1127">
        <f>I54</f>
        <v>0</v>
      </c>
      <c r="J53" s="1127">
        <f>SUM(J55:J57)</f>
        <v>6420206198</v>
      </c>
      <c r="K53" s="1127">
        <f>SUM(K56:K57)</f>
        <v>6420206198</v>
      </c>
      <c r="L53" s="1130"/>
      <c r="M53" s="1131">
        <f>M54</f>
        <v>0</v>
      </c>
    </row>
    <row r="54" spans="1:13" s="180" customFormat="1" ht="21.75" customHeight="1" x14ac:dyDescent="0.25">
      <c r="A54" s="289" t="s">
        <v>411</v>
      </c>
      <c r="B54" s="1110" t="s">
        <v>693</v>
      </c>
      <c r="C54" s="159">
        <f>SUM(C55+C57)</f>
        <v>7511661908</v>
      </c>
      <c r="D54" s="1112"/>
      <c r="E54" s="159"/>
      <c r="F54" s="159"/>
      <c r="G54" s="159"/>
      <c r="H54" s="1133"/>
      <c r="I54" s="159"/>
      <c r="J54" s="1016"/>
      <c r="K54" s="1134"/>
      <c r="L54" s="1135"/>
      <c r="M54" s="1136">
        <f>SUM(M56:M59)</f>
        <v>0</v>
      </c>
    </row>
    <row r="55" spans="1:13" s="1138" customFormat="1" ht="42" customHeight="1" x14ac:dyDescent="0.25">
      <c r="A55" s="1137"/>
      <c r="B55" s="1077" t="s">
        <v>694</v>
      </c>
      <c r="C55" s="159">
        <f>'Ingresos -2018'!D46</f>
        <v>1091455710</v>
      </c>
      <c r="D55" s="1079" t="s">
        <v>684</v>
      </c>
      <c r="E55" s="1021">
        <f>G55+H55+I55+J55</f>
        <v>1091455710</v>
      </c>
      <c r="F55" s="1021"/>
      <c r="G55" s="1122">
        <v>1091455710</v>
      </c>
      <c r="H55" s="1119"/>
      <c r="I55" s="159"/>
      <c r="J55" s="1016"/>
      <c r="K55" s="1113"/>
      <c r="L55" s="1120"/>
      <c r="M55" s="1121"/>
    </row>
    <row r="56" spans="1:13" s="180" customFormat="1" ht="52.8" x14ac:dyDescent="0.25">
      <c r="A56" s="1139"/>
      <c r="B56" s="1104"/>
      <c r="C56" s="1140"/>
      <c r="D56" s="1085" t="s">
        <v>685</v>
      </c>
      <c r="E56" s="1107">
        <f>G56+H56+I56+J56</f>
        <v>603500000</v>
      </c>
      <c r="F56" s="1107"/>
      <c r="G56" s="1141"/>
      <c r="H56" s="1142"/>
      <c r="I56" s="1140"/>
      <c r="J56" s="1068">
        <f>SUM(K56:M56)</f>
        <v>603500000</v>
      </c>
      <c r="K56" s="1141">
        <f>196000000+250000000+157500000</f>
        <v>603500000</v>
      </c>
      <c r="L56" s="1143" t="s">
        <v>1043</v>
      </c>
      <c r="M56" s="1118"/>
    </row>
    <row r="57" spans="1:13" s="1154" customFormat="1" ht="22.5" customHeight="1" thickBot="1" x14ac:dyDescent="0.3">
      <c r="A57" s="1144" t="s">
        <v>490</v>
      </c>
      <c r="B57" s="1145" t="s">
        <v>695</v>
      </c>
      <c r="C57" s="1146">
        <f>'Ingresos -2018'!C55</f>
        <v>6420206198</v>
      </c>
      <c r="D57" s="1147" t="s">
        <v>690</v>
      </c>
      <c r="E57" s="1148">
        <f>G57+H57+I57+J57</f>
        <v>5816706198</v>
      </c>
      <c r="F57" s="1148"/>
      <c r="G57" s="1149">
        <v>0</v>
      </c>
      <c r="H57" s="1150"/>
      <c r="I57" s="1148"/>
      <c r="J57" s="1151">
        <f>SUM(K57+M57)</f>
        <v>5816706198</v>
      </c>
      <c r="K57" s="1148">
        <v>5816706198</v>
      </c>
      <c r="L57" s="1152" t="s">
        <v>1044</v>
      </c>
      <c r="M57" s="1153"/>
    </row>
    <row r="58" spans="1:13" s="180" customFormat="1" x14ac:dyDescent="0.25">
      <c r="A58" s="1155"/>
      <c r="B58" s="1078"/>
      <c r="C58" s="159"/>
      <c r="D58" s="1156"/>
      <c r="E58" s="1021"/>
      <c r="F58" s="1021"/>
      <c r="G58" s="1122"/>
      <c r="H58" s="1080"/>
      <c r="I58" s="1021"/>
      <c r="J58" s="1023"/>
      <c r="K58" s="1021"/>
      <c r="L58" s="1081"/>
      <c r="M58" s="1082"/>
    </row>
    <row r="59" spans="1:13" hidden="1" x14ac:dyDescent="0.25">
      <c r="A59" s="1155"/>
      <c r="B59" s="1078"/>
      <c r="C59" s="159"/>
      <c r="D59" s="1079"/>
      <c r="E59" s="1021"/>
      <c r="F59" s="1021"/>
      <c r="G59" s="1122"/>
      <c r="H59" s="1080"/>
      <c r="I59" s="1021"/>
      <c r="J59" s="1016">
        <f>SUM(K59+M59)</f>
        <v>0</v>
      </c>
      <c r="K59" s="1021"/>
      <c r="L59" s="1081"/>
      <c r="M59" s="1082"/>
    </row>
    <row r="60" spans="1:13" ht="19.5" customHeight="1" x14ac:dyDescent="0.25">
      <c r="A60" s="1110" t="s">
        <v>414</v>
      </c>
      <c r="B60" s="1111" t="s">
        <v>415</v>
      </c>
      <c r="C60" s="1015">
        <f>C61</f>
        <v>258680001</v>
      </c>
      <c r="D60" s="1112"/>
      <c r="E60" s="1030">
        <f>SUM(E62:E65)</f>
        <v>258680001</v>
      </c>
      <c r="F60" s="1030"/>
      <c r="G60" s="1113">
        <f>SUM(G62)</f>
        <v>83947606</v>
      </c>
      <c r="H60" s="1119">
        <f>SUM(H62:H64)</f>
        <v>0</v>
      </c>
      <c r="I60" s="1015">
        <f>SUM(I62)</f>
        <v>0</v>
      </c>
      <c r="J60" s="1016">
        <f>SUM(K60+M60)</f>
        <v>174732395</v>
      </c>
      <c r="K60" s="1113">
        <f>SUM(K61:K65)</f>
        <v>174732395</v>
      </c>
      <c r="L60" s="1120"/>
      <c r="M60" s="1121">
        <f>SUM(M61:M65)</f>
        <v>0</v>
      </c>
    </row>
    <row r="61" spans="1:13" x14ac:dyDescent="0.25">
      <c r="A61" s="1077" t="s">
        <v>416</v>
      </c>
      <c r="B61" s="1157" t="s">
        <v>697</v>
      </c>
      <c r="C61" s="1158">
        <f>SUM(C62:C67)</f>
        <v>258680001</v>
      </c>
      <c r="D61" s="1079"/>
      <c r="E61" s="1021"/>
      <c r="F61" s="1021"/>
      <c r="G61" s="1122"/>
      <c r="H61" s="1119"/>
      <c r="I61" s="159"/>
      <c r="J61" s="1016"/>
      <c r="K61" s="1122"/>
      <c r="L61" s="1123"/>
      <c r="M61" s="1124"/>
    </row>
    <row r="62" spans="1:13" x14ac:dyDescent="0.25">
      <c r="A62" s="1077"/>
      <c r="B62" s="1078" t="s">
        <v>660</v>
      </c>
      <c r="C62" s="1021">
        <f>'Ingresos -2018'!D58</f>
        <v>83947606</v>
      </c>
      <c r="D62" s="1079" t="s">
        <v>684</v>
      </c>
      <c r="E62" s="1021">
        <f>G62+H62+I62+J62</f>
        <v>83947606</v>
      </c>
      <c r="F62" s="1021"/>
      <c r="G62" s="1122">
        <v>83947606</v>
      </c>
      <c r="H62" s="1119"/>
      <c r="I62" s="159"/>
      <c r="J62" s="1016"/>
      <c r="K62" s="1122"/>
      <c r="L62" s="1123"/>
      <c r="M62" s="1124"/>
    </row>
    <row r="63" spans="1:13" hidden="1" x14ac:dyDescent="0.25">
      <c r="A63" s="1077"/>
      <c r="B63" s="1078"/>
      <c r="C63" s="1021"/>
      <c r="D63" s="1079"/>
      <c r="E63" s="1021"/>
      <c r="F63" s="1021"/>
      <c r="G63" s="1122"/>
      <c r="H63" s="1119"/>
      <c r="I63" s="159"/>
      <c r="J63" s="1016"/>
      <c r="K63" s="1122"/>
      <c r="L63" s="1123"/>
      <c r="M63" s="1124"/>
    </row>
    <row r="64" spans="1:13" x14ac:dyDescent="0.25">
      <c r="A64" s="1090"/>
      <c r="B64" s="1091" t="s">
        <v>689</v>
      </c>
      <c r="C64" s="1094">
        <f>'Ingresos -2018'!C66</f>
        <v>174732395</v>
      </c>
      <c r="D64" s="1093" t="s">
        <v>690</v>
      </c>
      <c r="E64" s="1094">
        <f>G64+H64+I64+J64</f>
        <v>174732395</v>
      </c>
      <c r="F64" s="1094"/>
      <c r="G64" s="1159"/>
      <c r="H64" s="1160"/>
      <c r="I64" s="1092"/>
      <c r="J64" s="1074">
        <f>SUM(K64+M64)</f>
        <v>174732395</v>
      </c>
      <c r="K64" s="1159">
        <v>174732395</v>
      </c>
      <c r="L64" s="1161"/>
      <c r="M64" s="1162"/>
    </row>
    <row r="65" spans="1:13" x14ac:dyDescent="0.25">
      <c r="A65" s="1163"/>
      <c r="B65" s="1163"/>
      <c r="C65" s="1108"/>
      <c r="D65" s="1164"/>
      <c r="E65" s="1108"/>
      <c r="F65" s="1108"/>
      <c r="G65" s="1165"/>
      <c r="H65" s="1165"/>
      <c r="I65" s="1166"/>
      <c r="J65" s="1167"/>
      <c r="K65" s="1165"/>
      <c r="L65" s="1165"/>
      <c r="M65" s="1165"/>
    </row>
    <row r="66" spans="1:13" ht="13.8" hidden="1" thickBot="1" x14ac:dyDescent="0.3">
      <c r="A66" s="1168"/>
      <c r="B66" s="1168"/>
      <c r="C66" s="1169"/>
      <c r="D66" s="1170"/>
      <c r="E66" s="1169"/>
      <c r="F66" s="1169"/>
      <c r="G66" s="1171"/>
      <c r="H66" s="1171"/>
      <c r="I66" s="1172"/>
      <c r="J66" s="1173"/>
      <c r="K66" s="1171"/>
      <c r="L66" s="1171"/>
      <c r="M66" s="1171"/>
    </row>
    <row r="67" spans="1:13" hidden="1" x14ac:dyDescent="0.25">
      <c r="A67" s="1174"/>
      <c r="B67" s="1174"/>
      <c r="C67" s="1081"/>
      <c r="D67" s="1175"/>
      <c r="E67" s="1081"/>
      <c r="F67" s="1081"/>
      <c r="G67" s="1123"/>
      <c r="H67" s="1123"/>
      <c r="I67" s="1176"/>
      <c r="J67" s="1177"/>
      <c r="K67" s="1123"/>
      <c r="L67" s="1123"/>
      <c r="M67" s="1123"/>
    </row>
    <row r="68" spans="1:13" x14ac:dyDescent="0.25">
      <c r="A68" s="1174"/>
      <c r="B68" s="1174"/>
      <c r="C68" s="1081"/>
      <c r="D68" s="1175"/>
      <c r="E68" s="1081"/>
      <c r="F68" s="1081"/>
      <c r="G68" s="1123"/>
      <c r="H68" s="1123"/>
      <c r="I68" s="1176"/>
      <c r="J68" s="1177"/>
      <c r="K68" s="1123"/>
      <c r="L68" s="1123"/>
      <c r="M68" s="1123"/>
    </row>
    <row r="69" spans="1:13" ht="13.8" thickBot="1" x14ac:dyDescent="0.3">
      <c r="A69" s="1168"/>
      <c r="B69" s="1168"/>
      <c r="C69" s="1169"/>
      <c r="D69" s="1178"/>
      <c r="E69" s="1169"/>
      <c r="F69" s="1169"/>
      <c r="G69" s="1171"/>
      <c r="H69" s="1171"/>
      <c r="I69" s="1172"/>
      <c r="J69" s="1173"/>
      <c r="K69" s="1171"/>
      <c r="L69" s="1171"/>
      <c r="M69" s="1171"/>
    </row>
    <row r="70" spans="1:13" ht="15.75" customHeight="1" x14ac:dyDescent="0.25">
      <c r="A70" s="1126" t="s">
        <v>423</v>
      </c>
      <c r="B70" s="1179" t="s">
        <v>698</v>
      </c>
      <c r="C70" s="1180">
        <f>C71</f>
        <v>1418226671</v>
      </c>
      <c r="D70" s="1181"/>
      <c r="E70" s="1180">
        <f>SUM(E72:E74)</f>
        <v>1418226671</v>
      </c>
      <c r="F70" s="1180"/>
      <c r="G70" s="1180">
        <f>SUM(G72)</f>
        <v>106000000</v>
      </c>
      <c r="H70" s="1182">
        <f>SUM(H72:H76)</f>
        <v>0</v>
      </c>
      <c r="I70" s="1180">
        <f>SUM(I71:I73)</f>
        <v>0</v>
      </c>
      <c r="J70" s="1183">
        <f>SUM(K70+M70)</f>
        <v>1312226671</v>
      </c>
      <c r="K70" s="1180">
        <f>SUM(K71:K74)</f>
        <v>1133226671</v>
      </c>
      <c r="L70" s="1184"/>
      <c r="M70" s="1185">
        <f>SUM(M71:M74)</f>
        <v>179000000</v>
      </c>
    </row>
    <row r="71" spans="1:13" ht="15.75" customHeight="1" x14ac:dyDescent="0.25">
      <c r="A71" s="1077" t="s">
        <v>699</v>
      </c>
      <c r="B71" s="1078" t="s">
        <v>700</v>
      </c>
      <c r="C71" s="1021">
        <f>SUM(C72+C74)</f>
        <v>1418226671</v>
      </c>
      <c r="D71" s="1079"/>
      <c r="E71" s="1021"/>
      <c r="F71" s="1021"/>
      <c r="G71" s="1122"/>
      <c r="H71" s="1119"/>
      <c r="I71" s="159"/>
      <c r="J71" s="1016"/>
      <c r="K71" s="1122"/>
      <c r="L71" s="1123"/>
      <c r="M71" s="1124"/>
    </row>
    <row r="72" spans="1:13" s="181" customFormat="1" x14ac:dyDescent="0.25">
      <c r="A72" s="1186"/>
      <c r="B72" s="1187" t="s">
        <v>701</v>
      </c>
      <c r="C72" s="1188">
        <f>'Ingresos -2018'!C75</f>
        <v>285000000</v>
      </c>
      <c r="D72" s="1079" t="s">
        <v>685</v>
      </c>
      <c r="E72" s="1189">
        <f>G72+H72+I72+J72</f>
        <v>285000000</v>
      </c>
      <c r="F72" s="1189"/>
      <c r="G72" s="1190">
        <v>106000000</v>
      </c>
      <c r="H72" s="1191"/>
      <c r="I72" s="1188"/>
      <c r="J72" s="1023">
        <f>SUM(K72+M72)</f>
        <v>179000000</v>
      </c>
      <c r="K72" s="1190"/>
      <c r="L72" s="1192"/>
      <c r="M72" s="1193">
        <v>179000000</v>
      </c>
    </row>
    <row r="73" spans="1:13" s="181" customFormat="1" hidden="1" x14ac:dyDescent="0.25">
      <c r="A73" s="1186"/>
      <c r="B73" s="1187"/>
      <c r="C73" s="1189"/>
      <c r="D73" s="1194"/>
      <c r="E73" s="1189"/>
      <c r="F73" s="1189"/>
      <c r="G73" s="1190"/>
      <c r="H73" s="1191"/>
      <c r="I73" s="1188"/>
      <c r="J73" s="1023"/>
      <c r="K73" s="1190"/>
      <c r="L73" s="1192"/>
      <c r="M73" s="1193"/>
    </row>
    <row r="74" spans="1:13" s="181" customFormat="1" ht="13.8" thickBot="1" x14ac:dyDescent="0.3">
      <c r="A74" s="1195"/>
      <c r="B74" s="1196" t="s">
        <v>408</v>
      </c>
      <c r="C74" s="1197">
        <f>'Ingresos -2018'!C76</f>
        <v>1133226671</v>
      </c>
      <c r="D74" s="1198" t="s">
        <v>685</v>
      </c>
      <c r="E74" s="1199">
        <f>G74+H74+I74+J74</f>
        <v>1133226671</v>
      </c>
      <c r="F74" s="1199"/>
      <c r="G74" s="1199"/>
      <c r="H74" s="1200"/>
      <c r="I74" s="1199"/>
      <c r="J74" s="1151">
        <f>SUM(K74+M74)</f>
        <v>1133226671</v>
      </c>
      <c r="K74" s="1199">
        <f>619678259-157500000+101048412+570000000</f>
        <v>1133226671</v>
      </c>
      <c r="L74" s="1201"/>
      <c r="M74" s="1202"/>
    </row>
    <row r="75" spans="1:13" s="181" customFormat="1" ht="13.8" thickBot="1" x14ac:dyDescent="0.3">
      <c r="A75" s="1203"/>
      <c r="B75" s="1204"/>
      <c r="C75" s="1205"/>
      <c r="D75" s="1206"/>
      <c r="E75" s="1207"/>
      <c r="F75" s="1207"/>
      <c r="G75" s="1207"/>
      <c r="H75" s="1207"/>
      <c r="I75" s="1207"/>
      <c r="J75" s="1183"/>
      <c r="K75" s="1208"/>
      <c r="L75" s="1208"/>
      <c r="M75" s="1209"/>
    </row>
    <row r="76" spans="1:13" x14ac:dyDescent="0.25">
      <c r="A76" s="1110" t="s">
        <v>552</v>
      </c>
      <c r="B76" s="1111" t="s">
        <v>702</v>
      </c>
      <c r="C76" s="1030">
        <f>SUM(C77:C79)</f>
        <v>117014961</v>
      </c>
      <c r="D76" s="1079"/>
      <c r="E76" s="1030">
        <f>SUM(E78:E79)</f>
        <v>117014961</v>
      </c>
      <c r="F76" s="1030"/>
      <c r="G76" s="1030">
        <f>SUM(G77:G79)</f>
        <v>0</v>
      </c>
      <c r="H76" s="1100"/>
      <c r="I76" s="1030">
        <f>SUM(I77:I79)</f>
        <v>49360848</v>
      </c>
      <c r="J76" s="1030">
        <f t="shared" ref="J76:M76" si="9">SUM(J77:J79)</f>
        <v>67654113</v>
      </c>
      <c r="K76" s="1180">
        <f t="shared" si="9"/>
        <v>0</v>
      </c>
      <c r="L76" s="1182"/>
      <c r="M76" s="1210">
        <f t="shared" si="9"/>
        <v>67654113</v>
      </c>
    </row>
    <row r="77" spans="1:13" x14ac:dyDescent="0.25">
      <c r="A77" s="1211"/>
      <c r="B77" s="1078"/>
      <c r="C77" s="1021"/>
      <c r="D77" s="1079"/>
      <c r="E77" s="1021"/>
      <c r="F77" s="1021"/>
      <c r="G77" s="1122"/>
      <c r="H77" s="1119"/>
      <c r="I77" s="159"/>
      <c r="J77" s="1016"/>
      <c r="K77" s="1122"/>
      <c r="L77" s="1123"/>
      <c r="M77" s="1124"/>
    </row>
    <row r="78" spans="1:13" x14ac:dyDescent="0.25">
      <c r="A78" s="1212" t="s">
        <v>705</v>
      </c>
      <c r="B78" s="1157" t="s">
        <v>706</v>
      </c>
      <c r="C78" s="1021">
        <f>'Ingresos -2018'!C83</f>
        <v>117014961</v>
      </c>
      <c r="D78" s="1079" t="s">
        <v>684</v>
      </c>
      <c r="E78" s="1021">
        <f>SUM(G78:J78)</f>
        <v>117014961</v>
      </c>
      <c r="F78" s="1021"/>
      <c r="G78" s="1122"/>
      <c r="H78" s="1119"/>
      <c r="I78" s="159">
        <f>117014961-67654113</f>
        <v>49360848</v>
      </c>
      <c r="J78" s="1016">
        <f>SUM(K78:M78)</f>
        <v>67654113</v>
      </c>
      <c r="K78" s="1122"/>
      <c r="L78" s="1123"/>
      <c r="M78" s="1124">
        <v>67654113</v>
      </c>
    </row>
    <row r="79" spans="1:13" x14ac:dyDescent="0.25">
      <c r="A79" s="1211"/>
      <c r="B79" s="1078"/>
      <c r="C79" s="1021"/>
      <c r="D79" s="1079"/>
      <c r="E79" s="1021"/>
      <c r="F79" s="1021"/>
      <c r="G79" s="1122"/>
      <c r="H79" s="1119"/>
      <c r="I79" s="159"/>
      <c r="J79" s="1016"/>
      <c r="K79" s="1122"/>
      <c r="L79" s="1123"/>
      <c r="M79" s="1124"/>
    </row>
    <row r="80" spans="1:13" x14ac:dyDescent="0.25">
      <c r="A80" s="1213"/>
      <c r="B80" s="1214"/>
      <c r="C80" s="1092"/>
      <c r="D80" s="1093"/>
      <c r="E80" s="1215"/>
      <c r="F80" s="1215"/>
      <c r="G80" s="1215"/>
      <c r="H80" s="1216"/>
      <c r="I80" s="1215"/>
      <c r="J80" s="1074"/>
      <c r="K80" s="1215"/>
      <c r="L80" s="1217"/>
      <c r="M80" s="1218"/>
    </row>
    <row r="81" spans="1:13" s="183" customFormat="1" ht="51" hidden="1" customHeight="1" x14ac:dyDescent="0.25">
      <c r="A81" s="1219" t="s">
        <v>703</v>
      </c>
      <c r="B81" s="1220" t="s">
        <v>704</v>
      </c>
      <c r="C81" s="1107"/>
      <c r="D81" s="1085" t="s">
        <v>684</v>
      </c>
      <c r="E81" s="1107">
        <f>SUM(G81:J81)</f>
        <v>0</v>
      </c>
      <c r="F81" s="1107"/>
      <c r="G81" s="1086"/>
      <c r="H81" s="1087"/>
      <c r="I81" s="1107"/>
      <c r="J81" s="1068">
        <f>SUM(K81+M81)</f>
        <v>0</v>
      </c>
      <c r="K81" s="1086"/>
      <c r="L81" s="1088"/>
      <c r="M81" s="1089"/>
    </row>
    <row r="82" spans="1:13" hidden="1" x14ac:dyDescent="0.25">
      <c r="A82" s="1077"/>
      <c r="B82" s="1078"/>
      <c r="C82" s="1021"/>
      <c r="D82" s="1079" t="s">
        <v>685</v>
      </c>
      <c r="E82" s="1221">
        <f>SUM(G82:J82)</f>
        <v>0</v>
      </c>
      <c r="F82" s="1221"/>
      <c r="G82" s="159"/>
      <c r="H82" s="189"/>
      <c r="I82" s="159"/>
      <c r="J82" s="1016">
        <f>SUM(K82+M82)</f>
        <v>0</v>
      </c>
      <c r="K82" s="1030"/>
      <c r="L82" s="1101"/>
      <c r="M82" s="1102"/>
    </row>
    <row r="83" spans="1:13" x14ac:dyDescent="0.25">
      <c r="A83" s="1104"/>
      <c r="B83" s="1078"/>
      <c r="C83" s="159"/>
      <c r="D83" s="1222"/>
      <c r="E83" s="1021"/>
      <c r="F83" s="1021"/>
      <c r="G83" s="1021"/>
      <c r="H83" s="1080"/>
      <c r="I83" s="1021"/>
      <c r="J83" s="1016"/>
      <c r="K83" s="1021"/>
      <c r="L83" s="1081"/>
      <c r="M83" s="1082"/>
    </row>
    <row r="84" spans="1:13" x14ac:dyDescent="0.25">
      <c r="A84" s="1223" t="s">
        <v>426</v>
      </c>
      <c r="B84" s="1224" t="s">
        <v>427</v>
      </c>
      <c r="C84" s="1015">
        <f>SUM(C85+C92+C106)</f>
        <v>21768629677</v>
      </c>
      <c r="D84" s="1225" t="s">
        <v>707</v>
      </c>
      <c r="E84" s="1015">
        <f>SUM(E88+E89+E90+E94+E99+E100+E107+E109)</f>
        <v>21768629677</v>
      </c>
      <c r="F84" s="1015"/>
      <c r="G84" s="1015">
        <f>SUM(G87+G92)</f>
        <v>563785000</v>
      </c>
      <c r="H84" s="1058">
        <f>SUM(H87+H92+H106)</f>
        <v>153000000</v>
      </c>
      <c r="I84" s="1015">
        <f>SUM(I88+I90+I107+I109)</f>
        <v>1818899938</v>
      </c>
      <c r="J84" s="1015">
        <f>SUM(J87+J92+J106)</f>
        <v>19232944739</v>
      </c>
      <c r="K84" s="1015">
        <f>SUM(K87+K92+K106)</f>
        <v>15822739091</v>
      </c>
      <c r="L84" s="1058"/>
      <c r="M84" s="1059">
        <f>SUM(M87+M106)</f>
        <v>3410205648</v>
      </c>
    </row>
    <row r="85" spans="1:13" x14ac:dyDescent="0.25">
      <c r="A85" s="1110" t="s">
        <v>428</v>
      </c>
      <c r="B85" s="1111" t="s">
        <v>429</v>
      </c>
      <c r="C85" s="1015">
        <f>C87</f>
        <v>1143717011</v>
      </c>
      <c r="D85" s="1222"/>
      <c r="E85" s="1021"/>
      <c r="F85" s="1021"/>
      <c r="G85" s="1021"/>
      <c r="H85" s="1080"/>
      <c r="I85" s="1021"/>
      <c r="J85" s="1016">
        <f>SUM(K85+M85)</f>
        <v>0</v>
      </c>
      <c r="K85" s="1021"/>
      <c r="L85" s="1081"/>
      <c r="M85" s="1082"/>
    </row>
    <row r="86" spans="1:13" x14ac:dyDescent="0.25">
      <c r="A86" s="1226"/>
      <c r="B86" s="1227"/>
      <c r="C86" s="159"/>
      <c r="D86" s="1222"/>
      <c r="E86" s="1021"/>
      <c r="F86" s="1021"/>
      <c r="G86" s="1021"/>
      <c r="H86" s="1080"/>
      <c r="I86" s="1021"/>
      <c r="J86" s="1016">
        <f>SUM(K86+M86)</f>
        <v>0</v>
      </c>
      <c r="K86" s="1021"/>
      <c r="L86" s="1081"/>
      <c r="M86" s="1082"/>
    </row>
    <row r="87" spans="1:13" x14ac:dyDescent="0.25">
      <c r="A87" s="1104" t="s">
        <v>708</v>
      </c>
      <c r="B87" s="1084" t="s">
        <v>431</v>
      </c>
      <c r="C87" s="1043">
        <f>C88+C90</f>
        <v>1143717011</v>
      </c>
      <c r="D87" s="1228"/>
      <c r="E87" s="1086">
        <f>SUM(E88:E90)</f>
        <v>1143717011</v>
      </c>
      <c r="F87" s="1086"/>
      <c r="G87" s="1086">
        <f>G88+G90</f>
        <v>257322073</v>
      </c>
      <c r="H87" s="1087">
        <f>H88+H90</f>
        <v>153000000</v>
      </c>
      <c r="I87" s="1086">
        <f>SUM(I88:I90)</f>
        <v>705894938</v>
      </c>
      <c r="J87" s="1068">
        <f>SUM(J88:J90)</f>
        <v>27500000</v>
      </c>
      <c r="K87" s="1086"/>
      <c r="L87" s="1088"/>
      <c r="M87" s="1089">
        <f>SUM(M88:M89)</f>
        <v>27500000</v>
      </c>
    </row>
    <row r="88" spans="1:13" s="182" customFormat="1" x14ac:dyDescent="0.25">
      <c r="A88" s="1229" t="s">
        <v>709</v>
      </c>
      <c r="B88" s="1230" t="s">
        <v>710</v>
      </c>
      <c r="C88" s="1158">
        <f>'Ingresos -2018'!C97</f>
        <v>1143717011</v>
      </c>
      <c r="D88" s="1231" t="s">
        <v>711</v>
      </c>
      <c r="E88" s="1221">
        <f>SUM(I88+H88+J88+G88)</f>
        <v>445397073</v>
      </c>
      <c r="F88" s="1221"/>
      <c r="G88" s="1221">
        <f>563785000-306462927</f>
        <v>257322073</v>
      </c>
      <c r="H88" s="1232">
        <v>153000000</v>
      </c>
      <c r="I88" s="1221">
        <f>11975000+10000000+10000000+600000</f>
        <v>32575000</v>
      </c>
      <c r="J88" s="1016">
        <f t="shared" ref="J88:J163" si="10">SUM(K88+M88)</f>
        <v>2500000</v>
      </c>
      <c r="K88" s="1221"/>
      <c r="L88" s="1233"/>
      <c r="M88" s="1234">
        <v>2500000</v>
      </c>
    </row>
    <row r="89" spans="1:13" s="182" customFormat="1" x14ac:dyDescent="0.25">
      <c r="A89" s="1229"/>
      <c r="B89" s="1230"/>
      <c r="C89" s="1158"/>
      <c r="D89" s="1231" t="s">
        <v>761</v>
      </c>
      <c r="E89" s="1221">
        <f>SUM(I89+H89+J89+G89)</f>
        <v>25000000</v>
      </c>
      <c r="F89" s="1221"/>
      <c r="G89" s="1221"/>
      <c r="H89" s="1232"/>
      <c r="I89" s="1221"/>
      <c r="J89" s="1016">
        <f t="shared" si="10"/>
        <v>25000000</v>
      </c>
      <c r="K89" s="1221"/>
      <c r="L89" s="1233"/>
      <c r="M89" s="1234">
        <v>25000000</v>
      </c>
    </row>
    <row r="90" spans="1:13" x14ac:dyDescent="0.25">
      <c r="A90" s="1077"/>
      <c r="B90" s="1078"/>
      <c r="C90" s="159"/>
      <c r="D90" s="1079" t="s">
        <v>715</v>
      </c>
      <c r="E90" s="1221">
        <f>SUM(I90+H90+J90+G90)</f>
        <v>673319938</v>
      </c>
      <c r="F90" s="1221"/>
      <c r="G90" s="1021"/>
      <c r="H90" s="1080"/>
      <c r="I90" s="1021">
        <v>673319938</v>
      </c>
      <c r="J90" s="1016"/>
      <c r="K90" s="1021"/>
      <c r="L90" s="1081"/>
      <c r="M90" s="1082"/>
    </row>
    <row r="91" spans="1:13" x14ac:dyDescent="0.25">
      <c r="A91" s="1090"/>
      <c r="B91" s="1091"/>
      <c r="C91" s="1092"/>
      <c r="D91" s="1093"/>
      <c r="E91" s="1094"/>
      <c r="F91" s="1094"/>
      <c r="G91" s="1094"/>
      <c r="H91" s="1095"/>
      <c r="I91" s="1094"/>
      <c r="J91" s="1074"/>
      <c r="K91" s="1094"/>
      <c r="L91" s="1097"/>
      <c r="M91" s="1098"/>
    </row>
    <row r="92" spans="1:13" x14ac:dyDescent="0.25">
      <c r="A92" s="1083" t="s">
        <v>433</v>
      </c>
      <c r="B92" s="1084" t="s">
        <v>434</v>
      </c>
      <c r="C92" s="1043">
        <f>C93</f>
        <v>16129202018</v>
      </c>
      <c r="D92" s="1114"/>
      <c r="E92" s="1086">
        <f>SUM(E94:E102)</f>
        <v>16129202018</v>
      </c>
      <c r="F92" s="1086"/>
      <c r="G92" s="1086">
        <f t="shared" ref="G92:M92" si="11">SUM(G94:G102)</f>
        <v>306462927</v>
      </c>
      <c r="H92" s="1087">
        <f t="shared" si="11"/>
        <v>0</v>
      </c>
      <c r="I92" s="1086">
        <f t="shared" si="11"/>
        <v>0</v>
      </c>
      <c r="J92" s="1086">
        <f t="shared" si="11"/>
        <v>15822739091</v>
      </c>
      <c r="K92" s="1086">
        <f t="shared" si="11"/>
        <v>15822739091</v>
      </c>
      <c r="L92" s="1088"/>
      <c r="M92" s="1089">
        <f t="shared" si="11"/>
        <v>0</v>
      </c>
    </row>
    <row r="93" spans="1:13" s="182" customFormat="1" x14ac:dyDescent="0.25">
      <c r="A93" s="1229" t="s">
        <v>435</v>
      </c>
      <c r="B93" s="1235" t="s">
        <v>712</v>
      </c>
      <c r="C93" s="1236">
        <f>SUM(C94:C99)</f>
        <v>16129202018</v>
      </c>
      <c r="D93" s="1237">
        <f>SUM(D94:D99)</f>
        <v>0</v>
      </c>
      <c r="E93" s="1236"/>
      <c r="F93" s="1236"/>
      <c r="G93" s="1236"/>
      <c r="H93" s="1238"/>
      <c r="I93" s="1236"/>
      <c r="J93" s="1016"/>
      <c r="K93" s="1016"/>
      <c r="L93" s="1177"/>
      <c r="M93" s="1239"/>
    </row>
    <row r="94" spans="1:13" x14ac:dyDescent="0.25">
      <c r="A94" s="1077"/>
      <c r="B94" s="1078" t="s">
        <v>713</v>
      </c>
      <c r="C94" s="159">
        <f>'Ingresos -2018'!D100</f>
        <v>306462927</v>
      </c>
      <c r="D94" s="1231" t="s">
        <v>711</v>
      </c>
      <c r="E94" s="1240">
        <f>G94+H94+I94+J94</f>
        <v>306462927</v>
      </c>
      <c r="F94" s="1240"/>
      <c r="G94" s="1021">
        <v>306462927</v>
      </c>
      <c r="H94" s="1080">
        <v>0</v>
      </c>
      <c r="I94" s="1021"/>
      <c r="J94" s="1016">
        <f t="shared" si="10"/>
        <v>0</v>
      </c>
      <c r="K94" s="1021"/>
      <c r="L94" s="1081"/>
      <c r="M94" s="1082"/>
    </row>
    <row r="95" spans="1:13" x14ac:dyDescent="0.25">
      <c r="A95" s="1077"/>
      <c r="B95" s="1078"/>
      <c r="C95" s="159"/>
      <c r="D95" s="1079"/>
      <c r="E95" s="1240"/>
      <c r="F95" s="1240"/>
      <c r="G95" s="1021"/>
      <c r="H95" s="1080"/>
      <c r="I95" s="1021"/>
      <c r="J95" s="1016">
        <f t="shared" si="10"/>
        <v>0</v>
      </c>
      <c r="K95" s="1021"/>
      <c r="L95" s="1081"/>
      <c r="M95" s="1082"/>
    </row>
    <row r="96" spans="1:13" x14ac:dyDescent="0.25">
      <c r="A96" s="1077"/>
      <c r="B96" s="1078"/>
      <c r="C96" s="159"/>
      <c r="D96" s="1079"/>
      <c r="E96" s="1240"/>
      <c r="F96" s="1240"/>
      <c r="G96" s="1021"/>
      <c r="H96" s="1080"/>
      <c r="I96" s="1021"/>
      <c r="J96" s="1016">
        <f t="shared" si="10"/>
        <v>0</v>
      </c>
      <c r="K96" s="1021"/>
      <c r="L96" s="1081"/>
      <c r="M96" s="1082"/>
    </row>
    <row r="97" spans="1:13" hidden="1" x14ac:dyDescent="0.25">
      <c r="A97" s="1077"/>
      <c r="B97" s="1078"/>
      <c r="C97" s="159"/>
      <c r="D97" s="1241"/>
      <c r="E97" s="1240"/>
      <c r="F97" s="1240"/>
      <c r="G97" s="1021"/>
      <c r="H97" s="1080"/>
      <c r="I97" s="1021"/>
      <c r="J97" s="1016">
        <f t="shared" si="10"/>
        <v>0</v>
      </c>
      <c r="K97" s="1021"/>
      <c r="L97" s="1081"/>
      <c r="M97" s="1082"/>
    </row>
    <row r="98" spans="1:13" hidden="1" x14ac:dyDescent="0.25">
      <c r="A98" s="1077"/>
      <c r="B98" s="1078"/>
      <c r="C98" s="159"/>
      <c r="D98" s="1079"/>
      <c r="E98" s="1240"/>
      <c r="F98" s="1240"/>
      <c r="G98" s="1021"/>
      <c r="H98" s="1080"/>
      <c r="I98" s="1021"/>
      <c r="J98" s="1016">
        <f t="shared" si="10"/>
        <v>0</v>
      </c>
      <c r="K98" s="1021"/>
      <c r="L98" s="1081"/>
      <c r="M98" s="1082"/>
    </row>
    <row r="99" spans="1:13" x14ac:dyDescent="0.25">
      <c r="A99" s="1077"/>
      <c r="B99" s="1078" t="s">
        <v>716</v>
      </c>
      <c r="C99" s="159">
        <f>'Ingresos -2018'!C110</f>
        <v>15822739091</v>
      </c>
      <c r="D99" s="1156" t="s">
        <v>714</v>
      </c>
      <c r="E99" s="1240">
        <f>G99+H99+I99+J99</f>
        <v>13651816655</v>
      </c>
      <c r="F99" s="1240"/>
      <c r="G99" s="1021"/>
      <c r="H99" s="1080"/>
      <c r="I99" s="1021"/>
      <c r="J99" s="1016">
        <f t="shared" si="10"/>
        <v>13651816655</v>
      </c>
      <c r="K99" s="1021">
        <v>13651816655</v>
      </c>
      <c r="L99" s="1081"/>
      <c r="M99" s="1082"/>
    </row>
    <row r="100" spans="1:13" x14ac:dyDescent="0.25">
      <c r="A100" s="1077"/>
      <c r="B100" s="1078"/>
      <c r="C100" s="159"/>
      <c r="D100" s="1079" t="s">
        <v>717</v>
      </c>
      <c r="E100" s="1240">
        <f>G100+H100+I100+J100</f>
        <v>2170922436</v>
      </c>
      <c r="F100" s="1240"/>
      <c r="G100" s="1021"/>
      <c r="H100" s="1080"/>
      <c r="I100" s="1021"/>
      <c r="J100" s="1016">
        <f t="shared" si="10"/>
        <v>2170922436</v>
      </c>
      <c r="K100" s="1021">
        <v>2170922436</v>
      </c>
      <c r="L100" s="1081"/>
      <c r="M100" s="1082"/>
    </row>
    <row r="101" spans="1:13" x14ac:dyDescent="0.25">
      <c r="A101" s="1077"/>
      <c r="B101" s="1078"/>
      <c r="C101" s="159"/>
      <c r="D101" s="1079"/>
      <c r="E101" s="1240"/>
      <c r="F101" s="1240"/>
      <c r="G101" s="1021"/>
      <c r="H101" s="1080"/>
      <c r="I101" s="1021"/>
      <c r="J101" s="1016"/>
      <c r="K101" s="1021"/>
      <c r="L101" s="1081"/>
      <c r="M101" s="1082"/>
    </row>
    <row r="102" spans="1:13" hidden="1" x14ac:dyDescent="0.25">
      <c r="A102" s="1077"/>
      <c r="B102" s="1078"/>
      <c r="C102" s="159"/>
      <c r="D102" s="1079"/>
      <c r="E102" s="1021"/>
      <c r="F102" s="1021"/>
      <c r="G102" s="1021"/>
      <c r="H102" s="1080"/>
      <c r="I102" s="1021"/>
      <c r="J102" s="1016">
        <f t="shared" si="10"/>
        <v>0</v>
      </c>
      <c r="K102" s="1021"/>
      <c r="L102" s="1081"/>
      <c r="M102" s="1082"/>
    </row>
    <row r="103" spans="1:13" hidden="1" x14ac:dyDescent="0.25">
      <c r="A103" s="1077"/>
      <c r="B103" s="1078"/>
      <c r="C103" s="159"/>
      <c r="D103" s="1079"/>
      <c r="E103" s="1021"/>
      <c r="F103" s="1021"/>
      <c r="G103" s="1021"/>
      <c r="H103" s="1080"/>
      <c r="I103" s="1021"/>
      <c r="J103" s="1016">
        <f t="shared" si="10"/>
        <v>0</v>
      </c>
      <c r="K103" s="1021"/>
      <c r="L103" s="1081"/>
      <c r="M103" s="1082"/>
    </row>
    <row r="104" spans="1:13" hidden="1" x14ac:dyDescent="0.25">
      <c r="A104" s="1077"/>
      <c r="B104" s="1078"/>
      <c r="C104" s="159"/>
      <c r="D104" s="1079"/>
      <c r="E104" s="1021"/>
      <c r="F104" s="1021"/>
      <c r="G104" s="1021"/>
      <c r="H104" s="1080"/>
      <c r="I104" s="1021"/>
      <c r="J104" s="1016"/>
      <c r="K104" s="1021"/>
      <c r="L104" s="1081"/>
      <c r="M104" s="1082"/>
    </row>
    <row r="105" spans="1:13" s="180" customFormat="1" x14ac:dyDescent="0.25">
      <c r="A105" s="1090"/>
      <c r="B105" s="1091"/>
      <c r="C105" s="1092"/>
      <c r="D105" s="1093"/>
      <c r="E105" s="1094"/>
      <c r="F105" s="1094"/>
      <c r="G105" s="1094"/>
      <c r="H105" s="1095"/>
      <c r="I105" s="1094"/>
      <c r="J105" s="1074"/>
      <c r="K105" s="1094"/>
      <c r="L105" s="1097"/>
      <c r="M105" s="1098"/>
    </row>
    <row r="106" spans="1:13" x14ac:dyDescent="0.25">
      <c r="A106" s="1110" t="s">
        <v>449</v>
      </c>
      <c r="B106" s="1111" t="s">
        <v>348</v>
      </c>
      <c r="C106" s="1015">
        <f>C107</f>
        <v>4495710648</v>
      </c>
      <c r="D106" s="1079"/>
      <c r="E106" s="1030">
        <f>SUM(E107:E109)</f>
        <v>4495710648</v>
      </c>
      <c r="F106" s="1030"/>
      <c r="G106" s="1021">
        <f>SUM(G107:G109)</f>
        <v>0</v>
      </c>
      <c r="H106" s="1080">
        <f>SUM(H107:H109)</f>
        <v>0</v>
      </c>
      <c r="I106" s="1030">
        <f>SUM(I107:I109)</f>
        <v>1113005000</v>
      </c>
      <c r="J106" s="1016">
        <f t="shared" si="10"/>
        <v>3382705648</v>
      </c>
      <c r="K106" s="1021"/>
      <c r="L106" s="1081"/>
      <c r="M106" s="1102">
        <f>SUM(M107+M109)</f>
        <v>3382705648</v>
      </c>
    </row>
    <row r="107" spans="1:13" ht="18.75" customHeight="1" x14ac:dyDescent="0.25">
      <c r="A107" s="1077" t="s">
        <v>450</v>
      </c>
      <c r="B107" s="1111" t="s">
        <v>718</v>
      </c>
      <c r="C107" s="159">
        <f>SUM(C108:C109)</f>
        <v>4495710648</v>
      </c>
      <c r="D107" s="1079" t="s">
        <v>685</v>
      </c>
      <c r="E107" s="1021">
        <f>G107+H107+I107+J107</f>
        <v>152450000</v>
      </c>
      <c r="F107" s="1021"/>
      <c r="G107" s="1021"/>
      <c r="H107" s="1080"/>
      <c r="I107" s="1021">
        <f>53850000+37440000+11125000+10590000</f>
        <v>113005000</v>
      </c>
      <c r="J107" s="1016">
        <f>SUM(K107:M107)</f>
        <v>39445000</v>
      </c>
      <c r="K107" s="1021"/>
      <c r="L107" s="1081"/>
      <c r="M107" s="1082">
        <f>10945000+28500000</f>
        <v>39445000</v>
      </c>
    </row>
    <row r="108" spans="1:13" s="182" customFormat="1" ht="33" hidden="1" customHeight="1" x14ac:dyDescent="0.25">
      <c r="A108" s="1229" t="s">
        <v>719</v>
      </c>
      <c r="B108" s="1230" t="s">
        <v>720</v>
      </c>
      <c r="C108" s="1158"/>
      <c r="D108" s="1231" t="s">
        <v>721</v>
      </c>
      <c r="E108" s="1221"/>
      <c r="F108" s="1221"/>
      <c r="G108" s="1221"/>
      <c r="H108" s="1232"/>
      <c r="I108" s="1221"/>
      <c r="J108" s="1016">
        <f t="shared" si="10"/>
        <v>0</v>
      </c>
      <c r="K108" s="1221"/>
      <c r="L108" s="1233"/>
      <c r="M108" s="1234"/>
    </row>
    <row r="109" spans="1:13" s="182" customFormat="1" ht="41.25" customHeight="1" x14ac:dyDescent="0.25">
      <c r="A109" s="1229" t="s">
        <v>509</v>
      </c>
      <c r="B109" s="1230" t="s">
        <v>718</v>
      </c>
      <c r="C109" s="1158">
        <f>'Ingresos -2018'!C115</f>
        <v>4495710648</v>
      </c>
      <c r="D109" s="1079" t="s">
        <v>722</v>
      </c>
      <c r="E109" s="1021">
        <f>G109+H109+I109+J109</f>
        <v>4343260648</v>
      </c>
      <c r="F109" s="1021"/>
      <c r="G109" s="1021"/>
      <c r="H109" s="1080"/>
      <c r="I109" s="1021">
        <v>1000000000</v>
      </c>
      <c r="J109" s="1016">
        <f>SUM(K109+M109)</f>
        <v>3343260648</v>
      </c>
      <c r="K109" s="1021"/>
      <c r="L109" s="1081"/>
      <c r="M109" s="1082">
        <f>4343260648-1000000000</f>
        <v>3343260648</v>
      </c>
    </row>
    <row r="110" spans="1:13" hidden="1" x14ac:dyDescent="0.25">
      <c r="A110" s="1077"/>
      <c r="B110" s="1242"/>
      <c r="C110" s="159"/>
      <c r="D110" s="1243"/>
      <c r="E110" s="185"/>
      <c r="F110" s="185"/>
      <c r="G110" s="186"/>
      <c r="H110" s="190"/>
      <c r="M110" s="259"/>
    </row>
    <row r="111" spans="1:13" x14ac:dyDescent="0.25">
      <c r="A111" s="1090"/>
      <c r="B111" s="1091"/>
      <c r="C111" s="1092"/>
      <c r="D111" s="1093"/>
      <c r="E111" s="1094"/>
      <c r="F111" s="1094"/>
      <c r="G111" s="1094"/>
      <c r="H111" s="1095"/>
      <c r="I111" s="1094"/>
      <c r="J111" s="1074"/>
      <c r="K111" s="1094"/>
      <c r="L111" s="1097"/>
      <c r="M111" s="1098"/>
    </row>
    <row r="112" spans="1:13" hidden="1" x14ac:dyDescent="0.25">
      <c r="A112" s="1077"/>
      <c r="B112" s="1078"/>
      <c r="C112" s="159"/>
      <c r="D112" s="1241"/>
      <c r="E112" s="1021"/>
      <c r="F112" s="1021"/>
      <c r="G112" s="159"/>
      <c r="H112" s="1133"/>
      <c r="I112" s="159"/>
      <c r="J112" s="1016">
        <f t="shared" si="10"/>
        <v>0</v>
      </c>
      <c r="K112" s="159"/>
      <c r="L112" s="1176"/>
      <c r="M112" s="1244"/>
    </row>
    <row r="113" spans="1:13" x14ac:dyDescent="0.25">
      <c r="A113" s="1077" t="s">
        <v>439</v>
      </c>
      <c r="B113" s="1224" t="s">
        <v>440</v>
      </c>
      <c r="C113" s="1015">
        <f>SUM(C114+C122)</f>
        <v>23724541160</v>
      </c>
      <c r="D113" s="1245"/>
      <c r="E113" s="1015">
        <f>SUM(E114+E122)</f>
        <v>23724541160</v>
      </c>
      <c r="F113" s="1015"/>
      <c r="G113" s="1030">
        <f>SUM(G131)</f>
        <v>2086291117</v>
      </c>
      <c r="H113" s="1100">
        <f t="shared" ref="H113:K113" si="12">SUM(H114+H122)</f>
        <v>345727531</v>
      </c>
      <c r="I113" s="1030">
        <f>SUM(I122)</f>
        <v>4293626127</v>
      </c>
      <c r="J113" s="1030">
        <f>SUM(J115:J119)</f>
        <v>11550533130</v>
      </c>
      <c r="K113" s="1030">
        <f t="shared" si="12"/>
        <v>11550533130</v>
      </c>
      <c r="L113" s="1100"/>
      <c r="M113" s="1059">
        <f>SUM(M114+M121+M135)</f>
        <v>0</v>
      </c>
    </row>
    <row r="114" spans="1:13" ht="24" customHeight="1" x14ac:dyDescent="0.25">
      <c r="A114" s="1077" t="s">
        <v>441</v>
      </c>
      <c r="B114" s="1111" t="s">
        <v>442</v>
      </c>
      <c r="C114" s="1015">
        <f>C115</f>
        <v>11550533130</v>
      </c>
      <c r="D114" s="1241"/>
      <c r="E114" s="1030">
        <f>SUM(E117:E119)</f>
        <v>11550533130</v>
      </c>
      <c r="F114" s="1030"/>
      <c r="G114" s="1015"/>
      <c r="H114" s="1058"/>
      <c r="I114" s="1015"/>
      <c r="J114" s="1016">
        <f t="shared" si="10"/>
        <v>11550533130</v>
      </c>
      <c r="K114" s="1015">
        <f>SUM(K117:K119)</f>
        <v>11550533130</v>
      </c>
      <c r="L114" s="1017"/>
      <c r="M114" s="1018">
        <f>SUM(M115:M118)</f>
        <v>0</v>
      </c>
    </row>
    <row r="115" spans="1:13" x14ac:dyDescent="0.25">
      <c r="A115" s="1077" t="s">
        <v>443</v>
      </c>
      <c r="B115" s="1078" t="s">
        <v>444</v>
      </c>
      <c r="C115" s="159">
        <f>SUM(C116:C116)</f>
        <v>11550533130</v>
      </c>
      <c r="D115" s="1241"/>
      <c r="E115" s="1021"/>
      <c r="F115" s="1021"/>
      <c r="G115" s="159"/>
      <c r="H115" s="1133"/>
      <c r="I115" s="159"/>
      <c r="J115" s="1016">
        <f t="shared" si="10"/>
        <v>0</v>
      </c>
      <c r="K115" s="159"/>
      <c r="L115" s="1176"/>
      <c r="M115" s="1244">
        <f>SUM(M116:M116)</f>
        <v>0</v>
      </c>
    </row>
    <row r="116" spans="1:13" s="182" customFormat="1" x14ac:dyDescent="0.25">
      <c r="A116" s="1229" t="s">
        <v>447</v>
      </c>
      <c r="B116" s="1230" t="s">
        <v>723</v>
      </c>
      <c r="C116" s="1158">
        <f>SUM(C117)</f>
        <v>11550533130</v>
      </c>
      <c r="D116" s="1237"/>
      <c r="E116" s="1221"/>
      <c r="F116" s="1221"/>
      <c r="G116" s="1158"/>
      <c r="H116" s="1246"/>
      <c r="I116" s="1158"/>
      <c r="J116" s="1016">
        <f t="shared" si="10"/>
        <v>0</v>
      </c>
      <c r="K116" s="1158"/>
      <c r="L116" s="1247"/>
      <c r="M116" s="1248">
        <f>SUM(M117:M118)</f>
        <v>0</v>
      </c>
    </row>
    <row r="117" spans="1:13" x14ac:dyDescent="0.25">
      <c r="A117" s="1077" t="s">
        <v>724</v>
      </c>
      <c r="B117" s="1078" t="s">
        <v>408</v>
      </c>
      <c r="C117" s="159">
        <f>'Ingresos -2018'!C140</f>
        <v>11550533130</v>
      </c>
      <c r="D117" s="1079" t="s">
        <v>690</v>
      </c>
      <c r="E117" s="1021">
        <f>G117+H117+I117+J117</f>
        <v>836377500</v>
      </c>
      <c r="F117" s="1021"/>
      <c r="G117" s="159"/>
      <c r="H117" s="1119"/>
      <c r="I117" s="159"/>
      <c r="J117" s="1016">
        <f t="shared" si="10"/>
        <v>836377500</v>
      </c>
      <c r="K117" s="159">
        <v>836377500</v>
      </c>
      <c r="L117" s="1176"/>
      <c r="M117" s="1244"/>
    </row>
    <row r="118" spans="1:13" x14ac:dyDescent="0.25">
      <c r="A118" s="1077"/>
      <c r="B118" s="1078"/>
      <c r="C118" s="159"/>
      <c r="D118" s="1079" t="s">
        <v>725</v>
      </c>
      <c r="E118" s="1021">
        <f>G118+H118+I118+J118</f>
        <v>8045458064</v>
      </c>
      <c r="F118" s="1021"/>
      <c r="G118" s="258"/>
      <c r="H118" s="189"/>
      <c r="I118" s="159"/>
      <c r="J118" s="1016">
        <f t="shared" si="10"/>
        <v>8045458064</v>
      </c>
      <c r="K118" s="159">
        <v>8045458064</v>
      </c>
      <c r="L118" s="1176"/>
      <c r="M118" s="1244"/>
    </row>
    <row r="119" spans="1:13" x14ac:dyDescent="0.25">
      <c r="A119" s="1090"/>
      <c r="B119" s="1091"/>
      <c r="C119" s="1092"/>
      <c r="D119" s="1249" t="s">
        <v>715</v>
      </c>
      <c r="E119" s="1094">
        <f>G119+H119+I119+J119</f>
        <v>2668697566</v>
      </c>
      <c r="F119" s="1094"/>
      <c r="G119" s="1092"/>
      <c r="H119" s="1160"/>
      <c r="I119" s="1092"/>
      <c r="J119" s="1074">
        <f t="shared" si="10"/>
        <v>2668697566</v>
      </c>
      <c r="K119" s="1092">
        <f>2668697566</f>
        <v>2668697566</v>
      </c>
      <c r="L119" s="1250"/>
      <c r="M119" s="1251"/>
    </row>
    <row r="120" spans="1:13" hidden="1" x14ac:dyDescent="0.25">
      <c r="A120" s="1077"/>
      <c r="B120" s="1078"/>
      <c r="C120" s="159"/>
      <c r="D120" s="1241"/>
      <c r="E120" s="1021"/>
      <c r="F120" s="1021"/>
      <c r="G120" s="159"/>
      <c r="H120" s="1119"/>
      <c r="I120" s="159"/>
      <c r="J120" s="1016"/>
      <c r="K120" s="159"/>
      <c r="L120" s="1176"/>
      <c r="M120" s="1244"/>
    </row>
    <row r="121" spans="1:13" ht="13.8" thickBot="1" x14ac:dyDescent="0.3">
      <c r="A121" s="1252"/>
      <c r="B121" s="1253"/>
      <c r="C121" s="1254"/>
      <c r="D121" s="1255"/>
      <c r="E121" s="1256"/>
      <c r="F121" s="1256"/>
      <c r="G121" s="1254"/>
      <c r="H121" s="1257"/>
      <c r="I121" s="1254"/>
      <c r="J121" s="1258"/>
      <c r="K121" s="1254"/>
      <c r="L121" s="1172"/>
      <c r="M121" s="1259"/>
    </row>
    <row r="122" spans="1:13" s="1261" customFormat="1" x14ac:dyDescent="0.25">
      <c r="A122" s="1229" t="s">
        <v>457</v>
      </c>
      <c r="B122" s="1235" t="s">
        <v>458</v>
      </c>
      <c r="C122" s="1236">
        <f>SUM(C125+C131)</f>
        <v>12174008030</v>
      </c>
      <c r="D122" s="1237"/>
      <c r="E122" s="1236">
        <f>SUM(E125+E128+E129+E131)</f>
        <v>12174008030</v>
      </c>
      <c r="F122" s="1236"/>
      <c r="G122" s="1236">
        <f>SUM(G131+G125)</f>
        <v>2086291117</v>
      </c>
      <c r="H122" s="1238">
        <f>SUM(H123:H131)</f>
        <v>345727531</v>
      </c>
      <c r="I122" s="1236">
        <f>SUM(I128+I129+I131)</f>
        <v>4293626127</v>
      </c>
      <c r="J122" s="1016">
        <f t="shared" si="10"/>
        <v>5448363255</v>
      </c>
      <c r="K122" s="1236">
        <f>SUM(K123:K131)</f>
        <v>0</v>
      </c>
      <c r="L122" s="1238"/>
      <c r="M122" s="1260">
        <f>SUM(M125+M131)</f>
        <v>5448363255</v>
      </c>
    </row>
    <row r="123" spans="1:13" x14ac:dyDescent="0.25">
      <c r="A123" s="1077"/>
      <c r="B123" s="1078"/>
      <c r="C123" s="159"/>
      <c r="D123" s="1241"/>
      <c r="E123" s="1015"/>
      <c r="F123" s="1015"/>
      <c r="G123" s="1015"/>
      <c r="H123" s="1058"/>
      <c r="I123" s="1015"/>
      <c r="J123" s="1016"/>
      <c r="K123" s="159"/>
      <c r="L123" s="1176"/>
      <c r="M123" s="1244"/>
    </row>
    <row r="124" spans="1:13" x14ac:dyDescent="0.25">
      <c r="A124" s="1104"/>
      <c r="B124" s="1220"/>
      <c r="C124" s="1140"/>
      <c r="D124" s="1262"/>
      <c r="E124" s="1043"/>
      <c r="F124" s="1043"/>
      <c r="G124" s="1043"/>
      <c r="H124" s="1046"/>
      <c r="I124" s="1043"/>
      <c r="J124" s="1068"/>
      <c r="K124" s="1140"/>
      <c r="L124" s="1166"/>
      <c r="M124" s="1263"/>
    </row>
    <row r="125" spans="1:13" s="1269" customFormat="1" x14ac:dyDescent="0.25">
      <c r="A125" s="1264" t="s">
        <v>459</v>
      </c>
      <c r="B125" s="1265" t="s">
        <v>726</v>
      </c>
      <c r="C125" s="1266">
        <f>'Ingresos -2018'!C143</f>
        <v>2710436609</v>
      </c>
      <c r="D125" s="1079" t="s">
        <v>771</v>
      </c>
      <c r="E125" s="1021">
        <f>G125+H125+I125+J125</f>
        <v>2400000000</v>
      </c>
      <c r="F125" s="1021"/>
      <c r="G125" s="1267"/>
      <c r="H125" s="1268"/>
      <c r="I125" s="1266"/>
      <c r="J125" s="1023">
        <f t="shared" si="10"/>
        <v>2400000000</v>
      </c>
      <c r="K125" s="159"/>
      <c r="L125" s="1176"/>
      <c r="M125" s="1244">
        <f>2000000000+400000000</f>
        <v>2400000000</v>
      </c>
    </row>
    <row r="126" spans="1:13" s="1269" customFormat="1" x14ac:dyDescent="0.25">
      <c r="A126" s="1264"/>
      <c r="B126" s="1265"/>
      <c r="C126" s="1266"/>
      <c r="D126" s="1079"/>
      <c r="E126" s="1021"/>
      <c r="F126" s="1021"/>
      <c r="G126" s="1267"/>
      <c r="H126" s="1268"/>
      <c r="I126" s="1266"/>
      <c r="J126" s="1023">
        <f t="shared" si="10"/>
        <v>0</v>
      </c>
      <c r="K126" s="159"/>
      <c r="L126" s="1176"/>
      <c r="M126" s="1244"/>
    </row>
    <row r="127" spans="1:13" s="1269" customFormat="1" hidden="1" x14ac:dyDescent="0.25">
      <c r="A127" s="1264"/>
      <c r="B127" s="1265"/>
      <c r="C127" s="1266"/>
      <c r="D127" s="1079"/>
      <c r="E127" s="1021"/>
      <c r="F127" s="1021"/>
      <c r="G127" s="1267"/>
      <c r="H127" s="1268"/>
      <c r="I127" s="1266"/>
      <c r="J127" s="1023">
        <f t="shared" si="10"/>
        <v>0</v>
      </c>
      <c r="K127" s="159"/>
      <c r="L127" s="1176"/>
      <c r="M127" s="1244"/>
    </row>
    <row r="128" spans="1:13" s="1269" customFormat="1" ht="26.4" x14ac:dyDescent="0.25">
      <c r="A128" s="1264"/>
      <c r="B128" s="1265"/>
      <c r="C128" s="1266"/>
      <c r="D128" s="1270" t="s">
        <v>790</v>
      </c>
      <c r="E128" s="1021">
        <f>G128+H128+I128+J128</f>
        <v>295436609</v>
      </c>
      <c r="F128" s="1021"/>
      <c r="G128" s="159"/>
      <c r="H128" s="1119"/>
      <c r="I128" s="1015">
        <v>295436609</v>
      </c>
      <c r="J128" s="1023">
        <f t="shared" si="10"/>
        <v>0</v>
      </c>
      <c r="K128" s="159"/>
      <c r="L128" s="1176"/>
      <c r="M128" s="1244"/>
    </row>
    <row r="129" spans="1:13" s="1269" customFormat="1" ht="27" thickBot="1" x14ac:dyDescent="0.3">
      <c r="A129" s="1271"/>
      <c r="B129" s="1272"/>
      <c r="C129" s="1273"/>
      <c r="D129" s="1147" t="s">
        <v>791</v>
      </c>
      <c r="E129" s="1256">
        <f>G129+H129+I129+J129</f>
        <v>15000000</v>
      </c>
      <c r="F129" s="1256"/>
      <c r="G129" s="1254"/>
      <c r="H129" s="1257"/>
      <c r="I129" s="1254">
        <v>15000000</v>
      </c>
      <c r="J129" s="1151">
        <f t="shared" si="10"/>
        <v>0</v>
      </c>
      <c r="K129" s="1254"/>
      <c r="L129" s="1172"/>
      <c r="M129" s="1259"/>
    </row>
    <row r="130" spans="1:13" s="1269" customFormat="1" x14ac:dyDescent="0.25">
      <c r="A130" s="1274"/>
      <c r="B130" s="1275"/>
      <c r="C130" s="1276"/>
      <c r="D130" s="1277"/>
      <c r="E130" s="1278"/>
      <c r="F130" s="1278"/>
      <c r="G130" s="1276"/>
      <c r="H130" s="1279"/>
      <c r="I130" s="1276"/>
      <c r="J130" s="1183"/>
      <c r="K130" s="1280"/>
      <c r="L130" s="1281"/>
      <c r="M130" s="1282"/>
    </row>
    <row r="131" spans="1:13" ht="13.8" thickBot="1" x14ac:dyDescent="0.3">
      <c r="A131" s="1252" t="s">
        <v>461</v>
      </c>
      <c r="B131" s="1283" t="s">
        <v>728</v>
      </c>
      <c r="C131" s="1284">
        <f>SUM(C137+C139+C143+C147+C149+C151+C153+C155+C156+C158)</f>
        <v>9463571421</v>
      </c>
      <c r="D131" s="1198"/>
      <c r="E131" s="1284">
        <f>SUM(E137+E139+E144+E145+E146+E147+E149+E150+E151+E153+E155+E156+E157+E158+E159+E160+E163)</f>
        <v>9463571421</v>
      </c>
      <c r="F131" s="1284"/>
      <c r="G131" s="1284">
        <f>SUM(G137+G157+G158+G159+G160+G163)</f>
        <v>2086291117</v>
      </c>
      <c r="H131" s="1284">
        <f>SUM(H137+H157+H158+H159+H160+H163)</f>
        <v>345727531</v>
      </c>
      <c r="I131" s="1284">
        <f>SUM(I139+I144+I145+I147+I149+I150+I153+I155+I156+I158+I159+I160+I163)</f>
        <v>3983189518</v>
      </c>
      <c r="J131" s="1258">
        <f t="shared" si="10"/>
        <v>3048363255</v>
      </c>
      <c r="K131" s="1285">
        <f>SUM(K133:K158)</f>
        <v>0</v>
      </c>
      <c r="L131" s="1286"/>
      <c r="M131" s="1287">
        <f>SUM(M146+M151+M158+M159+M160+M163)</f>
        <v>3048363255</v>
      </c>
    </row>
    <row r="132" spans="1:13" hidden="1" x14ac:dyDescent="0.25">
      <c r="A132" s="1077"/>
      <c r="B132" s="1111"/>
      <c r="C132" s="1015"/>
      <c r="D132" s="1079"/>
      <c r="E132" s="1030"/>
      <c r="F132" s="1030"/>
      <c r="G132" s="1030"/>
      <c r="H132" s="1100"/>
      <c r="I132" s="1030"/>
      <c r="J132" s="1016">
        <f t="shared" si="10"/>
        <v>0</v>
      </c>
      <c r="K132" s="1015"/>
      <c r="L132" s="1017"/>
      <c r="M132" s="1018"/>
    </row>
    <row r="133" spans="1:13" s="182" customFormat="1" ht="39.6" hidden="1" x14ac:dyDescent="0.25">
      <c r="A133" s="1288" t="s">
        <v>556</v>
      </c>
      <c r="B133" s="1289" t="s">
        <v>729</v>
      </c>
      <c r="C133" s="1290"/>
      <c r="D133" s="1291" t="s">
        <v>685</v>
      </c>
      <c r="E133" s="1292">
        <f>SUM(G133:J133)</f>
        <v>0</v>
      </c>
      <c r="F133" s="1292"/>
      <c r="G133" s="1293"/>
      <c r="H133" s="1294"/>
      <c r="I133" s="1293"/>
      <c r="J133" s="1295">
        <f t="shared" si="10"/>
        <v>0</v>
      </c>
      <c r="K133" s="1293"/>
      <c r="L133" s="1296"/>
      <c r="M133" s="1297"/>
    </row>
    <row r="134" spans="1:13" hidden="1" x14ac:dyDescent="0.25">
      <c r="A134" s="1077"/>
      <c r="B134" s="1242"/>
      <c r="C134" s="159"/>
      <c r="D134" s="1231" t="s">
        <v>686</v>
      </c>
      <c r="E134" s="1221">
        <f>SUM(G134:J134)</f>
        <v>0</v>
      </c>
      <c r="F134" s="1221"/>
      <c r="G134" s="159"/>
      <c r="H134" s="1133"/>
      <c r="I134" s="159"/>
      <c r="J134" s="1023">
        <f t="shared" si="10"/>
        <v>0</v>
      </c>
      <c r="K134" s="159"/>
      <c r="L134" s="1176"/>
      <c r="M134" s="1244"/>
    </row>
    <row r="135" spans="1:13" ht="13.8" thickBot="1" x14ac:dyDescent="0.3">
      <c r="A135" s="1298"/>
      <c r="B135" s="1299"/>
      <c r="C135" s="1250"/>
      <c r="D135" s="1300"/>
      <c r="E135" s="1301"/>
      <c r="F135" s="1301"/>
      <c r="G135" s="1250"/>
      <c r="H135" s="1250"/>
      <c r="I135" s="1250"/>
      <c r="J135" s="1302"/>
      <c r="K135" s="1250"/>
      <c r="L135" s="1250"/>
      <c r="M135" s="1251"/>
    </row>
    <row r="136" spans="1:13" ht="13.8" hidden="1" thickBot="1" x14ac:dyDescent="0.3">
      <c r="A136" s="1077"/>
      <c r="B136" s="1242"/>
      <c r="C136" s="159"/>
      <c r="D136" s="1079"/>
      <c r="E136" s="1221"/>
      <c r="F136" s="1221"/>
      <c r="G136" s="159"/>
      <c r="H136" s="1133"/>
      <c r="I136" s="159"/>
      <c r="J136" s="1023">
        <f t="shared" si="10"/>
        <v>0</v>
      </c>
      <c r="K136" s="159"/>
      <c r="L136" s="1176"/>
      <c r="M136" s="1244"/>
    </row>
    <row r="137" spans="1:13" s="182" customFormat="1" ht="68.25" customHeight="1" x14ac:dyDescent="0.25">
      <c r="A137" s="1303"/>
      <c r="B137" s="1304" t="s">
        <v>730</v>
      </c>
      <c r="C137" s="1305">
        <f>'Ingresos -2018'!C161</f>
        <v>230918000</v>
      </c>
      <c r="D137" s="1306" t="s">
        <v>774</v>
      </c>
      <c r="E137" s="1006">
        <f>SUM(G137:J137)</f>
        <v>230918000</v>
      </c>
      <c r="F137" s="1006"/>
      <c r="G137" s="1307">
        <v>230918000</v>
      </c>
      <c r="H137" s="1308"/>
      <c r="I137" s="1309"/>
      <c r="J137" s="1310">
        <f t="shared" si="10"/>
        <v>0</v>
      </c>
      <c r="K137" s="1309"/>
      <c r="L137" s="1311"/>
      <c r="M137" s="1312"/>
    </row>
    <row r="138" spans="1:13" x14ac:dyDescent="0.25">
      <c r="A138" s="1090"/>
      <c r="B138" s="1214"/>
      <c r="C138" s="1092"/>
      <c r="D138" s="1313"/>
      <c r="E138" s="1314"/>
      <c r="F138" s="1314"/>
      <c r="G138" s="1092"/>
      <c r="H138" s="1315"/>
      <c r="I138" s="1092"/>
      <c r="J138" s="1096">
        <f t="shared" si="10"/>
        <v>0</v>
      </c>
      <c r="K138" s="1092"/>
      <c r="L138" s="1250"/>
      <c r="M138" s="1251"/>
    </row>
    <row r="139" spans="1:13" x14ac:dyDescent="0.25">
      <c r="A139" s="1264"/>
      <c r="B139" s="1316" t="s">
        <v>644</v>
      </c>
      <c r="C139" s="1267">
        <f>'Ingresos -2018'!C156</f>
        <v>305063391</v>
      </c>
      <c r="D139" s="1079" t="s">
        <v>731</v>
      </c>
      <c r="E139" s="1221">
        <f>SUM(G139:J139)</f>
        <v>305063391</v>
      </c>
      <c r="F139" s="1221"/>
      <c r="G139" s="1267"/>
      <c r="H139" s="1317"/>
      <c r="I139" s="1267">
        <v>305063391</v>
      </c>
      <c r="J139" s="1016">
        <f t="shared" si="10"/>
        <v>0</v>
      </c>
      <c r="K139" s="159"/>
      <c r="L139" s="1176"/>
      <c r="M139" s="1244"/>
    </row>
    <row r="140" spans="1:13" s="180" customFormat="1" x14ac:dyDescent="0.25">
      <c r="A140" s="1264"/>
      <c r="B140" s="1318"/>
      <c r="C140" s="1267"/>
      <c r="D140" s="1319" t="s">
        <v>772</v>
      </c>
      <c r="E140" s="1221"/>
      <c r="F140" s="1221"/>
      <c r="G140" s="1266"/>
      <c r="H140" s="1317"/>
      <c r="I140" s="1267"/>
      <c r="J140" s="1016">
        <f t="shared" si="10"/>
        <v>0</v>
      </c>
      <c r="K140" s="159"/>
      <c r="L140" s="1176"/>
      <c r="M140" s="1244"/>
    </row>
    <row r="141" spans="1:13" s="180" customFormat="1" x14ac:dyDescent="0.25">
      <c r="A141" s="1320"/>
      <c r="B141" s="1321"/>
      <c r="C141" s="1322"/>
      <c r="D141" s="1323"/>
      <c r="E141" s="1292"/>
      <c r="F141" s="1292"/>
      <c r="G141" s="1324"/>
      <c r="H141" s="1325"/>
      <c r="I141" s="1322"/>
      <c r="J141" s="1068">
        <f t="shared" si="10"/>
        <v>0</v>
      </c>
      <c r="K141" s="1140"/>
      <c r="L141" s="1166"/>
      <c r="M141" s="1263"/>
    </row>
    <row r="142" spans="1:13" s="180" customFormat="1" hidden="1" x14ac:dyDescent="0.25">
      <c r="A142" s="1264"/>
      <c r="B142" s="1318"/>
      <c r="C142" s="1267"/>
      <c r="D142" s="1319"/>
      <c r="E142" s="1221"/>
      <c r="F142" s="1221"/>
      <c r="G142" s="1266"/>
      <c r="H142" s="1317"/>
      <c r="I142" s="1267"/>
      <c r="J142" s="1016"/>
      <c r="K142" s="159"/>
      <c r="L142" s="1176"/>
      <c r="M142" s="1244"/>
    </row>
    <row r="143" spans="1:13" x14ac:dyDescent="0.25">
      <c r="A143" s="1264"/>
      <c r="B143" s="1326" t="s">
        <v>739</v>
      </c>
      <c r="C143" s="159">
        <f>'Ingresos -2018'!C153</f>
        <v>1080579059</v>
      </c>
      <c r="D143" s="1079"/>
      <c r="E143" s="1221"/>
      <c r="F143" s="1221"/>
      <c r="G143" s="1015"/>
      <c r="H143" s="1058"/>
      <c r="I143" s="159"/>
      <c r="J143" s="1016"/>
      <c r="K143" s="159"/>
      <c r="L143" s="1176"/>
      <c r="M143" s="1244"/>
    </row>
    <row r="144" spans="1:13" ht="26.4" x14ac:dyDescent="0.25">
      <c r="A144" s="1264"/>
      <c r="B144" s="1326"/>
      <c r="C144" s="159"/>
      <c r="D144" s="1327" t="s">
        <v>773</v>
      </c>
      <c r="E144" s="1221">
        <f>SUM(I144)</f>
        <v>64000000</v>
      </c>
      <c r="F144" s="1221"/>
      <c r="G144" s="1015"/>
      <c r="H144" s="1058"/>
      <c r="I144" s="159">
        <v>64000000</v>
      </c>
      <c r="J144" s="1016"/>
      <c r="K144" s="159"/>
      <c r="L144" s="1176"/>
      <c r="M144" s="1244"/>
    </row>
    <row r="145" spans="1:13" s="297" customFormat="1" ht="39.6" x14ac:dyDescent="0.25">
      <c r="A145" s="1264"/>
      <c r="B145" s="1326"/>
      <c r="C145" s="159"/>
      <c r="D145" s="1156" t="s">
        <v>795</v>
      </c>
      <c r="E145" s="1221">
        <f>SUM(I145)</f>
        <v>16579059</v>
      </c>
      <c r="F145" s="1221"/>
      <c r="G145" s="1015"/>
      <c r="H145" s="1058"/>
      <c r="I145" s="159">
        <f>16579059</f>
        <v>16579059</v>
      </c>
      <c r="J145" s="1016"/>
      <c r="K145" s="159"/>
      <c r="L145" s="1176"/>
      <c r="M145" s="1244"/>
    </row>
    <row r="146" spans="1:13" ht="40.5" customHeight="1" x14ac:dyDescent="0.25">
      <c r="A146" s="1090"/>
      <c r="B146" s="1214"/>
      <c r="C146" s="1092"/>
      <c r="D146" s="1328" t="s">
        <v>1042</v>
      </c>
      <c r="E146" s="1329">
        <f>SUM(J146)</f>
        <v>1000000000</v>
      </c>
      <c r="F146" s="1329"/>
      <c r="G146" s="1071"/>
      <c r="H146" s="1330"/>
      <c r="I146" s="159"/>
      <c r="J146" s="1096">
        <f t="shared" si="10"/>
        <v>1000000000</v>
      </c>
      <c r="K146" s="1092"/>
      <c r="L146" s="1250"/>
      <c r="M146" s="1251">
        <v>1000000000</v>
      </c>
    </row>
    <row r="147" spans="1:13" s="180" customFormat="1" x14ac:dyDescent="0.25">
      <c r="A147" s="1320"/>
      <c r="B147" s="78" t="s">
        <v>743</v>
      </c>
      <c r="C147" s="1322">
        <f>'Ingresos -2018'!C159</f>
        <v>680000000</v>
      </c>
      <c r="D147" s="1231" t="s">
        <v>775</v>
      </c>
      <c r="E147" s="1292">
        <f t="shared" ref="E147:E157" si="13">SUM(G147:J147)</f>
        <v>680000000</v>
      </c>
      <c r="F147" s="1292"/>
      <c r="G147" s="1324"/>
      <c r="H147" s="1325"/>
      <c r="I147" s="1322">
        <v>680000000</v>
      </c>
      <c r="J147" s="1068">
        <f t="shared" si="10"/>
        <v>0</v>
      </c>
      <c r="K147" s="1140"/>
      <c r="L147" s="1166"/>
      <c r="M147" s="1263"/>
    </row>
    <row r="148" spans="1:13" s="180" customFormat="1" x14ac:dyDescent="0.25">
      <c r="A148" s="1331"/>
      <c r="B148" s="1332"/>
      <c r="C148" s="1333"/>
      <c r="D148" s="1334"/>
      <c r="E148" s="1314"/>
      <c r="F148" s="1314"/>
      <c r="G148" s="1335"/>
      <c r="H148" s="1336"/>
      <c r="I148" s="1333"/>
      <c r="J148" s="1074"/>
      <c r="K148" s="1092"/>
      <c r="L148" s="1250"/>
      <c r="M148" s="1251"/>
    </row>
    <row r="149" spans="1:13" ht="73.5" customHeight="1" x14ac:dyDescent="0.25">
      <c r="A149" s="1320"/>
      <c r="B149" s="1337" t="s">
        <v>732</v>
      </c>
      <c r="C149" s="1140">
        <f>'Ingresos -2018'!C162</f>
        <v>400000000</v>
      </c>
      <c r="D149" s="1327" t="s">
        <v>776</v>
      </c>
      <c r="E149" s="1107">
        <f t="shared" si="13"/>
        <v>390000000</v>
      </c>
      <c r="F149" s="1107"/>
      <c r="G149" s="1043"/>
      <c r="H149" s="1046"/>
      <c r="I149" s="1140">
        <v>390000000</v>
      </c>
      <c r="J149" s="1068">
        <f t="shared" si="10"/>
        <v>0</v>
      </c>
      <c r="K149" s="1140"/>
      <c r="L149" s="1166"/>
      <c r="M149" s="1263"/>
    </row>
    <row r="150" spans="1:13" ht="17.25" customHeight="1" x14ac:dyDescent="0.25">
      <c r="A150" s="1264"/>
      <c r="B150" s="1338"/>
      <c r="C150" s="1092"/>
      <c r="D150" s="1339" t="s">
        <v>777</v>
      </c>
      <c r="E150" s="1314">
        <f t="shared" si="13"/>
        <v>10000000</v>
      </c>
      <c r="F150" s="1314"/>
      <c r="G150" s="1071"/>
      <c r="H150" s="1330"/>
      <c r="I150" s="1092">
        <v>10000000</v>
      </c>
      <c r="J150" s="1074"/>
      <c r="K150" s="1092"/>
      <c r="L150" s="1250"/>
      <c r="M150" s="1251"/>
    </row>
    <row r="151" spans="1:13" ht="17.25" customHeight="1" x14ac:dyDescent="0.25">
      <c r="A151" s="1264"/>
      <c r="B151" s="1326" t="s">
        <v>759</v>
      </c>
      <c r="C151" s="159">
        <f>'Ingresos -2018'!D166</f>
        <v>1502000000</v>
      </c>
      <c r="D151" s="1079" t="s">
        <v>796</v>
      </c>
      <c r="E151" s="1107">
        <f t="shared" si="13"/>
        <v>1502000000</v>
      </c>
      <c r="F151" s="1021"/>
      <c r="G151" s="1015"/>
      <c r="H151" s="1058"/>
      <c r="I151" s="159"/>
      <c r="J151" s="1068">
        <f t="shared" si="10"/>
        <v>1502000000</v>
      </c>
      <c r="K151" s="159"/>
      <c r="L151" s="1176"/>
      <c r="M151" s="1244">
        <v>1502000000</v>
      </c>
    </row>
    <row r="152" spans="1:13" ht="17.25" customHeight="1" x14ac:dyDescent="0.25">
      <c r="A152" s="1264"/>
      <c r="B152" s="1326"/>
      <c r="C152" s="159"/>
      <c r="D152" s="1079"/>
      <c r="E152" s="1221"/>
      <c r="F152" s="1221"/>
      <c r="G152" s="1015"/>
      <c r="H152" s="1058"/>
      <c r="I152" s="159"/>
      <c r="J152" s="1016"/>
      <c r="K152" s="159"/>
      <c r="L152" s="1176"/>
      <c r="M152" s="1244"/>
    </row>
    <row r="153" spans="1:13" ht="39.6" x14ac:dyDescent="0.25">
      <c r="A153" s="1340"/>
      <c r="B153" s="1341" t="s">
        <v>744</v>
      </c>
      <c r="C153" s="1342">
        <f>'Ingresos -2018'!C160</f>
        <v>297650000</v>
      </c>
      <c r="D153" s="1343" t="s">
        <v>794</v>
      </c>
      <c r="E153" s="1344">
        <f t="shared" si="13"/>
        <v>297650000</v>
      </c>
      <c r="F153" s="1344"/>
      <c r="G153" s="1345"/>
      <c r="H153" s="1346"/>
      <c r="I153" s="1342">
        <v>297650000</v>
      </c>
      <c r="J153" s="1347">
        <f t="shared" si="10"/>
        <v>0</v>
      </c>
      <c r="K153" s="1342"/>
      <c r="L153" s="1348"/>
      <c r="M153" s="1349"/>
    </row>
    <row r="154" spans="1:13" ht="15.75" customHeight="1" x14ac:dyDescent="0.25">
      <c r="A154" s="1264"/>
      <c r="B154" s="1078"/>
      <c r="C154" s="159"/>
      <c r="D154" s="1079"/>
      <c r="E154" s="1221"/>
      <c r="F154" s="1221"/>
      <c r="G154" s="159"/>
      <c r="H154" s="1058"/>
      <c r="I154" s="159"/>
      <c r="J154" s="1016"/>
      <c r="K154" s="159"/>
      <c r="L154" s="1176"/>
      <c r="M154" s="1244"/>
    </row>
    <row r="155" spans="1:13" ht="26.4" x14ac:dyDescent="0.25">
      <c r="A155" s="1331"/>
      <c r="B155" s="1350" t="s">
        <v>733</v>
      </c>
      <c r="C155" s="1092">
        <f>'Ingresos -2018'!C157</f>
        <v>1100000000</v>
      </c>
      <c r="D155" s="1156" t="s">
        <v>792</v>
      </c>
      <c r="E155" s="1314">
        <f t="shared" si="13"/>
        <v>1100000000</v>
      </c>
      <c r="F155" s="1314"/>
      <c r="G155" s="1071"/>
      <c r="H155" s="1330"/>
      <c r="I155" s="1092">
        <v>1100000000</v>
      </c>
      <c r="J155" s="1074">
        <f t="shared" si="10"/>
        <v>0</v>
      </c>
      <c r="K155" s="1092"/>
      <c r="L155" s="1250"/>
      <c r="M155" s="1251"/>
    </row>
    <row r="156" spans="1:13" ht="34.5" customHeight="1" x14ac:dyDescent="0.25">
      <c r="A156" s="1264"/>
      <c r="B156" s="1894" t="str">
        <f>'Ingresos -2018'!B158</f>
        <v>Superávit Específico FODESAF (Convenio Cosolidación Patrimonial)</v>
      </c>
      <c r="C156" s="1896">
        <f>'Ingresos -2018'!C158</f>
        <v>467360971</v>
      </c>
      <c r="D156" s="1291" t="s">
        <v>793</v>
      </c>
      <c r="E156" s="1351">
        <f>SUM(G156:J156)</f>
        <v>458960971</v>
      </c>
      <c r="F156" s="1351"/>
      <c r="G156" s="1015"/>
      <c r="H156" s="1058"/>
      <c r="I156" s="159">
        <v>458960971</v>
      </c>
      <c r="J156" s="1068"/>
      <c r="K156" s="159"/>
      <c r="L156" s="1176"/>
      <c r="M156" s="1244"/>
    </row>
    <row r="157" spans="1:13" s="183" customFormat="1" ht="36" customHeight="1" x14ac:dyDescent="0.25">
      <c r="A157" s="1077"/>
      <c r="B157" s="1895"/>
      <c r="C157" s="1897"/>
      <c r="D157" s="1093" t="s">
        <v>715</v>
      </c>
      <c r="E157" s="1094">
        <f t="shared" si="13"/>
        <v>8400000</v>
      </c>
      <c r="F157" s="1021"/>
      <c r="G157" s="1015">
        <v>8400000</v>
      </c>
      <c r="H157" s="1058"/>
      <c r="I157" s="159"/>
      <c r="J157" s="1016">
        <f t="shared" si="10"/>
        <v>0</v>
      </c>
      <c r="K157" s="159"/>
      <c r="L157" s="1176"/>
      <c r="M157" s="1244"/>
    </row>
    <row r="158" spans="1:13" s="183" customFormat="1" ht="39.6" x14ac:dyDescent="0.25">
      <c r="A158" s="1104"/>
      <c r="B158" s="1337" t="s">
        <v>734</v>
      </c>
      <c r="C158" s="1352">
        <f>'Ingresos -2018'!C164</f>
        <v>3400000000</v>
      </c>
      <c r="D158" s="1228" t="s">
        <v>684</v>
      </c>
      <c r="E158" s="1021">
        <f t="shared" ref="E158:E163" si="14">SUM(J158+I158+H158+G158)</f>
        <v>1196980532</v>
      </c>
      <c r="F158" s="1021"/>
      <c r="G158" s="1140">
        <f>1906624633-G33-G48-G55-G62</f>
        <v>379305749</v>
      </c>
      <c r="H158" s="1353">
        <f>750363848-H34</f>
        <v>0</v>
      </c>
      <c r="I158" s="1140">
        <f>553123238-I30-I41-I78</f>
        <v>485042390</v>
      </c>
      <c r="J158" s="1068">
        <f t="shared" si="10"/>
        <v>332632393</v>
      </c>
      <c r="K158" s="1140"/>
      <c r="L158" s="1166"/>
      <c r="M158" s="1354">
        <f>400286506-M78</f>
        <v>332632393</v>
      </c>
    </row>
    <row r="159" spans="1:13" s="183" customFormat="1" x14ac:dyDescent="0.25">
      <c r="A159" s="256"/>
      <c r="B159" s="1355"/>
      <c r="C159" s="1356"/>
      <c r="D159" s="1243" t="s">
        <v>737</v>
      </c>
      <c r="E159" s="1021">
        <f t="shared" si="14"/>
        <v>1451834998</v>
      </c>
      <c r="F159" s="1021"/>
      <c r="G159" s="1357">
        <f>976992000-G72</f>
        <v>870992000</v>
      </c>
      <c r="H159" s="1358">
        <f>532485742-H37</f>
        <v>273061357</v>
      </c>
      <c r="I159" s="1356">
        <f>570565700-I107-I145-I150-I153</f>
        <v>133331641</v>
      </c>
      <c r="J159" s="1016">
        <f t="shared" si="10"/>
        <v>174450000</v>
      </c>
      <c r="K159" s="185"/>
      <c r="L159" s="377"/>
      <c r="M159" s="417">
        <f>392895000-M72-M107</f>
        <v>174450000</v>
      </c>
    </row>
    <row r="160" spans="1:13" s="183" customFormat="1" x14ac:dyDescent="0.25">
      <c r="A160" s="256"/>
      <c r="B160" s="1243"/>
      <c r="C160" s="1356"/>
      <c r="D160" s="1243" t="s">
        <v>738</v>
      </c>
      <c r="E160" s="1021">
        <f t="shared" si="14"/>
        <v>127489300</v>
      </c>
      <c r="F160" s="1021"/>
      <c r="G160" s="1357">
        <f>75232896</f>
        <v>75232896</v>
      </c>
      <c r="H160" s="1358">
        <v>32652613</v>
      </c>
      <c r="I160" s="1356">
        <v>5178791</v>
      </c>
      <c r="J160" s="1016">
        <f t="shared" si="10"/>
        <v>14425000</v>
      </c>
      <c r="K160" s="185"/>
      <c r="L160" s="377"/>
      <c r="M160" s="417">
        <f>14425000</f>
        <v>14425000</v>
      </c>
    </row>
    <row r="161" spans="1:13" s="183" customFormat="1" x14ac:dyDescent="0.25">
      <c r="A161" s="256"/>
      <c r="B161" s="1243"/>
      <c r="C161" s="1356"/>
      <c r="D161" s="1222" t="s">
        <v>727</v>
      </c>
      <c r="E161" s="1021">
        <f t="shared" si="14"/>
        <v>0</v>
      </c>
      <c r="F161" s="1021"/>
      <c r="G161" s="1357"/>
      <c r="H161" s="1358"/>
      <c r="I161" s="1356"/>
      <c r="J161" s="1016">
        <f t="shared" si="10"/>
        <v>0</v>
      </c>
      <c r="K161" s="185"/>
      <c r="L161" s="377"/>
      <c r="M161" s="417"/>
    </row>
    <row r="162" spans="1:13" s="183" customFormat="1" x14ac:dyDescent="0.25">
      <c r="A162" s="256"/>
      <c r="B162" s="1243"/>
      <c r="C162" s="1356"/>
      <c r="D162" s="1222" t="s">
        <v>731</v>
      </c>
      <c r="E162" s="1021">
        <f t="shared" si="14"/>
        <v>0</v>
      </c>
      <c r="F162" s="1021"/>
      <c r="G162" s="1357"/>
      <c r="H162" s="1358">
        <f>153000000-H88</f>
        <v>0</v>
      </c>
      <c r="I162" s="1356">
        <f>2803075000-I88-I128-I139-I147-I149-I155</f>
        <v>0</v>
      </c>
      <c r="J162" s="1016"/>
      <c r="K162" s="185"/>
      <c r="L162" s="377"/>
      <c r="M162" s="417"/>
    </row>
    <row r="163" spans="1:13" s="183" customFormat="1" ht="13.8" thickBot="1" x14ac:dyDescent="0.3">
      <c r="A163" s="257"/>
      <c r="B163" s="1359"/>
      <c r="C163" s="1360"/>
      <c r="D163" s="1361" t="s">
        <v>681</v>
      </c>
      <c r="E163" s="1256">
        <f t="shared" si="14"/>
        <v>623695170</v>
      </c>
      <c r="F163" s="1256"/>
      <c r="G163" s="1362">
        <f>752360472-G137</f>
        <v>521442472</v>
      </c>
      <c r="H163" s="1363">
        <v>40013561</v>
      </c>
      <c r="I163" s="1360">
        <f>37383275</f>
        <v>37383275</v>
      </c>
      <c r="J163" s="1258">
        <f t="shared" si="10"/>
        <v>24855862</v>
      </c>
      <c r="K163" s="1364"/>
      <c r="L163" s="1365"/>
      <c r="M163" s="1366">
        <f>24855862</f>
        <v>24855862</v>
      </c>
    </row>
    <row r="164" spans="1:13" s="180" customFormat="1" x14ac:dyDescent="0.25">
      <c r="C164" s="1367"/>
      <c r="D164" s="1368"/>
      <c r="E164" s="377"/>
      <c r="F164" s="377"/>
      <c r="G164" s="178"/>
      <c r="H164" s="178"/>
      <c r="I164" s="179"/>
      <c r="J164" s="378"/>
      <c r="K164" s="377"/>
      <c r="L164" s="377"/>
      <c r="M164" s="377"/>
    </row>
    <row r="165" spans="1:13" s="180" customFormat="1" x14ac:dyDescent="0.25">
      <c r="C165" s="1367"/>
      <c r="D165" s="1368"/>
      <c r="E165" s="377"/>
      <c r="F165" s="377"/>
      <c r="G165" s="178"/>
      <c r="H165" s="178"/>
      <c r="I165" s="179"/>
      <c r="J165" s="378"/>
      <c r="K165" s="377"/>
      <c r="L165" s="377"/>
      <c r="M165" s="377"/>
    </row>
    <row r="166" spans="1:13" s="180" customFormat="1" x14ac:dyDescent="0.25">
      <c r="C166" s="1367"/>
      <c r="D166" s="1368"/>
      <c r="E166" s="377"/>
      <c r="F166" s="377"/>
      <c r="G166" s="178"/>
      <c r="H166" s="178"/>
      <c r="I166" s="179"/>
      <c r="J166" s="378"/>
      <c r="K166" s="377"/>
      <c r="L166" s="377"/>
      <c r="M166" s="377"/>
    </row>
    <row r="167" spans="1:13" s="180" customFormat="1" x14ac:dyDescent="0.25">
      <c r="C167" s="1367"/>
      <c r="D167" s="1368"/>
      <c r="E167" s="377"/>
      <c r="F167" s="377"/>
      <c r="G167" s="178"/>
      <c r="H167" s="178"/>
      <c r="I167" s="179"/>
      <c r="J167" s="378"/>
      <c r="K167" s="377"/>
      <c r="L167" s="377"/>
      <c r="M167" s="377"/>
    </row>
    <row r="168" spans="1:13" s="180" customFormat="1" x14ac:dyDescent="0.25">
      <c r="C168" s="1367"/>
      <c r="D168" s="1368"/>
      <c r="E168" s="377"/>
      <c r="F168" s="377"/>
      <c r="G168" s="178"/>
      <c r="H168" s="178"/>
      <c r="I168" s="179"/>
      <c r="J168" s="378"/>
      <c r="K168" s="377"/>
      <c r="L168" s="377"/>
      <c r="M168" s="377"/>
    </row>
    <row r="169" spans="1:13" s="180" customFormat="1" x14ac:dyDescent="0.25">
      <c r="C169" s="1367"/>
      <c r="D169" s="1368"/>
      <c r="E169" s="377"/>
      <c r="F169" s="377"/>
      <c r="G169" s="178"/>
      <c r="H169" s="178"/>
      <c r="I169" s="179"/>
      <c r="J169" s="378"/>
      <c r="K169" s="377"/>
      <c r="L169" s="377"/>
      <c r="M169" s="377"/>
    </row>
    <row r="170" spans="1:13" s="180" customFormat="1" x14ac:dyDescent="0.25">
      <c r="C170" s="1367"/>
      <c r="D170" s="1368"/>
      <c r="E170" s="377"/>
      <c r="F170" s="377"/>
      <c r="G170" s="178"/>
      <c r="H170" s="178"/>
      <c r="I170" s="179"/>
      <c r="J170" s="378"/>
      <c r="K170" s="377"/>
      <c r="L170" s="377"/>
      <c r="M170" s="377"/>
    </row>
    <row r="171" spans="1:13" s="180" customFormat="1" x14ac:dyDescent="0.25">
      <c r="C171" s="1367"/>
      <c r="D171" s="1368"/>
      <c r="E171" s="377"/>
      <c r="F171" s="377"/>
      <c r="G171" s="178"/>
      <c r="H171" s="178"/>
      <c r="I171" s="179"/>
      <c r="J171" s="378"/>
      <c r="K171" s="377"/>
      <c r="L171" s="377"/>
      <c r="M171" s="377"/>
    </row>
    <row r="172" spans="1:13" s="180" customFormat="1" x14ac:dyDescent="0.25">
      <c r="C172" s="1367"/>
      <c r="D172" s="1368"/>
      <c r="E172" s="377"/>
      <c r="F172" s="377"/>
      <c r="G172" s="178"/>
      <c r="H172" s="178"/>
      <c r="I172" s="179"/>
      <c r="J172" s="378"/>
      <c r="K172" s="377"/>
      <c r="L172" s="377"/>
      <c r="M172" s="377"/>
    </row>
    <row r="173" spans="1:13" s="180" customFormat="1" x14ac:dyDescent="0.25">
      <c r="C173" s="1367"/>
      <c r="D173" s="1368"/>
      <c r="E173" s="377"/>
      <c r="F173" s="377"/>
      <c r="G173" s="178"/>
      <c r="H173" s="178"/>
      <c r="I173" s="179"/>
      <c r="J173" s="378"/>
      <c r="K173" s="377"/>
      <c r="L173" s="377"/>
      <c r="M173" s="377"/>
    </row>
    <row r="174" spans="1:13" s="180" customFormat="1" x14ac:dyDescent="0.25">
      <c r="C174" s="1367"/>
      <c r="D174" s="1368"/>
      <c r="E174" s="377"/>
      <c r="F174" s="377"/>
      <c r="G174" s="178"/>
      <c r="H174" s="178"/>
      <c r="I174" s="179"/>
      <c r="J174" s="378"/>
      <c r="K174" s="377"/>
      <c r="L174" s="377"/>
      <c r="M174" s="377"/>
    </row>
    <row r="175" spans="1:13" s="180" customFormat="1" x14ac:dyDescent="0.25">
      <c r="C175" s="1367"/>
      <c r="D175" s="1368"/>
      <c r="E175" s="377"/>
      <c r="F175" s="377"/>
      <c r="G175" s="178"/>
      <c r="H175" s="178"/>
      <c r="I175" s="179"/>
      <c r="J175" s="378"/>
      <c r="K175" s="377"/>
      <c r="L175" s="377"/>
      <c r="M175" s="377"/>
    </row>
    <row r="176" spans="1:13" s="180" customFormat="1" x14ac:dyDescent="0.25">
      <c r="C176" s="1367"/>
      <c r="D176" s="1368"/>
      <c r="E176" s="377"/>
      <c r="F176" s="377"/>
      <c r="G176" s="178"/>
      <c r="H176" s="178"/>
      <c r="I176" s="179"/>
      <c r="J176" s="378"/>
      <c r="K176" s="377"/>
      <c r="L176" s="377"/>
      <c r="M176" s="377"/>
    </row>
    <row r="177" spans="3:13" s="180" customFormat="1" x14ac:dyDescent="0.25">
      <c r="C177" s="1367"/>
      <c r="D177" s="1368"/>
      <c r="E177" s="377"/>
      <c r="F177" s="377"/>
      <c r="G177" s="178"/>
      <c r="H177" s="178"/>
      <c r="I177" s="179"/>
      <c r="J177" s="378"/>
      <c r="K177" s="377"/>
      <c r="L177" s="377"/>
      <c r="M177" s="377"/>
    </row>
    <row r="178" spans="3:13" s="180" customFormat="1" x14ac:dyDescent="0.25">
      <c r="C178" s="1367"/>
      <c r="D178" s="1368"/>
      <c r="E178" s="377"/>
      <c r="F178" s="377"/>
      <c r="G178" s="178"/>
      <c r="H178" s="178"/>
      <c r="I178" s="179"/>
      <c r="J178" s="378"/>
      <c r="K178" s="377"/>
      <c r="L178" s="377"/>
      <c r="M178" s="377"/>
    </row>
    <row r="179" spans="3:13" s="180" customFormat="1" x14ac:dyDescent="0.25">
      <c r="C179" s="1367"/>
      <c r="D179" s="1368"/>
      <c r="E179" s="377"/>
      <c r="F179" s="377"/>
      <c r="G179" s="178"/>
      <c r="H179" s="178"/>
      <c r="I179" s="179"/>
      <c r="J179" s="378"/>
      <c r="K179" s="377"/>
      <c r="L179" s="377"/>
      <c r="M179" s="377"/>
    </row>
    <row r="180" spans="3:13" s="180" customFormat="1" x14ac:dyDescent="0.25">
      <c r="C180" s="1367"/>
      <c r="D180" s="1368"/>
      <c r="E180" s="377"/>
      <c r="F180" s="377"/>
      <c r="G180" s="178"/>
      <c r="H180" s="178"/>
      <c r="I180" s="179"/>
      <c r="J180" s="378"/>
      <c r="K180" s="377"/>
      <c r="L180" s="377"/>
      <c r="M180" s="377"/>
    </row>
    <row r="181" spans="3:13" s="180" customFormat="1" x14ac:dyDescent="0.25">
      <c r="C181" s="1367"/>
      <c r="D181" s="1368"/>
      <c r="E181" s="377"/>
      <c r="F181" s="377"/>
      <c r="G181" s="178"/>
      <c r="H181" s="178"/>
      <c r="I181" s="179"/>
      <c r="J181" s="378"/>
      <c r="K181" s="377"/>
      <c r="L181" s="377"/>
      <c r="M181" s="377"/>
    </row>
    <row r="182" spans="3:13" s="180" customFormat="1" x14ac:dyDescent="0.25">
      <c r="C182" s="1367"/>
      <c r="D182" s="1368"/>
      <c r="E182" s="377"/>
      <c r="F182" s="377"/>
      <c r="G182" s="178"/>
      <c r="H182" s="178"/>
      <c r="I182" s="179"/>
      <c r="J182" s="378"/>
      <c r="K182" s="377"/>
      <c r="L182" s="377"/>
      <c r="M182" s="377"/>
    </row>
    <row r="183" spans="3:13" s="180" customFormat="1" x14ac:dyDescent="0.25">
      <c r="C183" s="1367"/>
      <c r="D183" s="1368"/>
      <c r="E183" s="377"/>
      <c r="F183" s="377"/>
      <c r="G183" s="178"/>
      <c r="H183" s="178"/>
      <c r="I183" s="179"/>
      <c r="J183" s="378"/>
      <c r="K183" s="377"/>
      <c r="L183" s="377"/>
      <c r="M183" s="377"/>
    </row>
    <row r="184" spans="3:13" s="180" customFormat="1" x14ac:dyDescent="0.25">
      <c r="C184" s="1367"/>
      <c r="D184" s="1368"/>
      <c r="E184" s="377"/>
      <c r="F184" s="377"/>
      <c r="G184" s="178"/>
      <c r="H184" s="178"/>
      <c r="I184" s="179"/>
      <c r="J184" s="378"/>
      <c r="K184" s="377"/>
      <c r="L184" s="377"/>
      <c r="M184" s="377"/>
    </row>
    <row r="185" spans="3:13" s="180" customFormat="1" x14ac:dyDescent="0.25">
      <c r="C185" s="1367"/>
      <c r="D185" s="1368"/>
      <c r="E185" s="377"/>
      <c r="F185" s="377"/>
      <c r="G185" s="178"/>
      <c r="H185" s="178"/>
      <c r="I185" s="179"/>
      <c r="J185" s="378"/>
      <c r="K185" s="377"/>
      <c r="L185" s="377"/>
      <c r="M185" s="377"/>
    </row>
    <row r="186" spans="3:13" s="180" customFormat="1" x14ac:dyDescent="0.25">
      <c r="C186" s="1367"/>
      <c r="D186" s="1368"/>
      <c r="E186" s="377"/>
      <c r="F186" s="377"/>
      <c r="G186" s="178"/>
      <c r="H186" s="178"/>
      <c r="I186" s="179"/>
      <c r="J186" s="378"/>
      <c r="K186" s="377"/>
      <c r="L186" s="377"/>
      <c r="M186" s="377"/>
    </row>
    <row r="187" spans="3:13" s="180" customFormat="1" x14ac:dyDescent="0.25">
      <c r="C187" s="1367"/>
      <c r="D187" s="1368"/>
      <c r="E187" s="377"/>
      <c r="F187" s="377"/>
      <c r="G187" s="178"/>
      <c r="H187" s="178"/>
      <c r="I187" s="179"/>
      <c r="J187" s="378"/>
      <c r="K187" s="377"/>
      <c r="L187" s="377"/>
      <c r="M187" s="377"/>
    </row>
    <row r="188" spans="3:13" s="180" customFormat="1" x14ac:dyDescent="0.25">
      <c r="C188" s="1367"/>
      <c r="D188" s="1368"/>
      <c r="E188" s="377"/>
      <c r="F188" s="377"/>
      <c r="G188" s="178"/>
      <c r="H188" s="178"/>
      <c r="I188" s="179"/>
      <c r="J188" s="378"/>
      <c r="K188" s="377"/>
      <c r="L188" s="377"/>
      <c r="M188" s="377"/>
    </row>
    <row r="189" spans="3:13" s="180" customFormat="1" x14ac:dyDescent="0.25">
      <c r="C189" s="1367"/>
      <c r="D189" s="1368"/>
      <c r="E189" s="377"/>
      <c r="F189" s="377"/>
      <c r="G189" s="178"/>
      <c r="H189" s="178"/>
      <c r="I189" s="179"/>
      <c r="J189" s="378"/>
      <c r="K189" s="377"/>
      <c r="L189" s="377"/>
      <c r="M189" s="377"/>
    </row>
    <row r="190" spans="3:13" s="180" customFormat="1" x14ac:dyDescent="0.25">
      <c r="C190" s="1367"/>
      <c r="D190" s="1368"/>
      <c r="E190" s="377"/>
      <c r="F190" s="377"/>
      <c r="G190" s="178"/>
      <c r="H190" s="178"/>
      <c r="I190" s="179"/>
      <c r="J190" s="378"/>
      <c r="K190" s="377"/>
      <c r="L190" s="377"/>
      <c r="M190" s="377"/>
    </row>
    <row r="191" spans="3:13" s="180" customFormat="1" x14ac:dyDescent="0.25">
      <c r="C191" s="1367"/>
      <c r="D191" s="1368"/>
      <c r="E191" s="377"/>
      <c r="F191" s="377"/>
      <c r="G191" s="178"/>
      <c r="H191" s="178"/>
      <c r="I191" s="179"/>
      <c r="J191" s="378"/>
      <c r="K191" s="377"/>
      <c r="L191" s="377"/>
      <c r="M191" s="377"/>
    </row>
    <row r="192" spans="3:13" s="180" customFormat="1" x14ac:dyDescent="0.25">
      <c r="C192" s="1367"/>
      <c r="D192" s="1368"/>
      <c r="E192" s="377"/>
      <c r="F192" s="377"/>
      <c r="G192" s="178"/>
      <c r="H192" s="178"/>
      <c r="I192" s="179"/>
      <c r="J192" s="378"/>
      <c r="K192" s="377"/>
      <c r="L192" s="377"/>
      <c r="M192" s="377"/>
    </row>
    <row r="193" spans="3:13" s="180" customFormat="1" x14ac:dyDescent="0.25">
      <c r="C193" s="1367"/>
      <c r="D193" s="1368"/>
      <c r="E193" s="377"/>
      <c r="F193" s="377"/>
      <c r="G193" s="178"/>
      <c r="H193" s="178"/>
      <c r="I193" s="179"/>
      <c r="J193" s="378"/>
      <c r="K193" s="377"/>
      <c r="L193" s="377"/>
      <c r="M193" s="377"/>
    </row>
    <row r="194" spans="3:13" s="180" customFormat="1" x14ac:dyDescent="0.25">
      <c r="C194" s="1367"/>
      <c r="D194" s="1368"/>
      <c r="E194" s="377"/>
      <c r="F194" s="377"/>
      <c r="G194" s="178"/>
      <c r="H194" s="178"/>
      <c r="I194" s="179"/>
      <c r="J194" s="378"/>
      <c r="K194" s="377"/>
      <c r="L194" s="377"/>
      <c r="M194" s="377"/>
    </row>
    <row r="195" spans="3:13" s="180" customFormat="1" x14ac:dyDescent="0.25">
      <c r="C195" s="1367"/>
      <c r="D195" s="1368"/>
      <c r="E195" s="377"/>
      <c r="F195" s="377"/>
      <c r="G195" s="178"/>
      <c r="H195" s="178"/>
      <c r="I195" s="179"/>
      <c r="J195" s="378"/>
      <c r="K195" s="377"/>
      <c r="L195" s="377"/>
      <c r="M195" s="377"/>
    </row>
    <row r="196" spans="3:13" s="180" customFormat="1" x14ac:dyDescent="0.25">
      <c r="C196" s="1367"/>
      <c r="D196" s="1368"/>
      <c r="E196" s="377"/>
      <c r="F196" s="377"/>
      <c r="G196" s="178"/>
      <c r="H196" s="178"/>
      <c r="I196" s="179"/>
      <c r="J196" s="378"/>
      <c r="K196" s="377"/>
      <c r="L196" s="377"/>
      <c r="M196" s="377"/>
    </row>
    <row r="197" spans="3:13" s="180" customFormat="1" x14ac:dyDescent="0.25">
      <c r="C197" s="1367"/>
      <c r="D197" s="1368"/>
      <c r="E197" s="377"/>
      <c r="F197" s="377"/>
      <c r="G197" s="178"/>
      <c r="H197" s="178"/>
      <c r="I197" s="179"/>
      <c r="J197" s="378"/>
      <c r="K197" s="377"/>
      <c r="L197" s="377"/>
      <c r="M197" s="377"/>
    </row>
    <row r="198" spans="3:13" s="180" customFormat="1" x14ac:dyDescent="0.25">
      <c r="C198" s="1367"/>
      <c r="D198" s="1368"/>
      <c r="E198" s="377"/>
      <c r="F198" s="377"/>
      <c r="G198" s="178"/>
      <c r="H198" s="178"/>
      <c r="I198" s="179"/>
      <c r="J198" s="378"/>
      <c r="K198" s="377"/>
      <c r="L198" s="377"/>
      <c r="M198" s="377"/>
    </row>
    <row r="199" spans="3:13" s="180" customFormat="1" x14ac:dyDescent="0.25">
      <c r="C199" s="1367"/>
      <c r="D199" s="1368"/>
      <c r="E199" s="377"/>
      <c r="F199" s="377"/>
      <c r="G199" s="178"/>
      <c r="H199" s="178"/>
      <c r="I199" s="179"/>
      <c r="J199" s="378"/>
      <c r="K199" s="377"/>
      <c r="L199" s="377"/>
      <c r="M199" s="377"/>
    </row>
    <row r="200" spans="3:13" s="180" customFormat="1" x14ac:dyDescent="0.25">
      <c r="C200" s="1367"/>
      <c r="D200" s="1368"/>
      <c r="E200" s="377"/>
      <c r="F200" s="377"/>
      <c r="G200" s="178"/>
      <c r="H200" s="178"/>
      <c r="I200" s="179"/>
      <c r="J200" s="378"/>
      <c r="K200" s="377"/>
      <c r="L200" s="377"/>
      <c r="M200" s="377"/>
    </row>
    <row r="201" spans="3:13" s="180" customFormat="1" x14ac:dyDescent="0.25">
      <c r="C201" s="1367"/>
      <c r="D201" s="1368"/>
      <c r="E201" s="377"/>
      <c r="F201" s="377"/>
      <c r="G201" s="178"/>
      <c r="H201" s="178"/>
      <c r="I201" s="179"/>
      <c r="J201" s="378"/>
      <c r="K201" s="377"/>
      <c r="L201" s="377"/>
      <c r="M201" s="377"/>
    </row>
    <row r="202" spans="3:13" s="180" customFormat="1" x14ac:dyDescent="0.25">
      <c r="C202" s="1367"/>
      <c r="D202" s="1368"/>
      <c r="E202" s="377"/>
      <c r="F202" s="377"/>
      <c r="G202" s="178"/>
      <c r="H202" s="178"/>
      <c r="I202" s="179"/>
      <c r="J202" s="378"/>
      <c r="K202" s="377"/>
      <c r="L202" s="377"/>
      <c r="M202" s="377"/>
    </row>
    <row r="203" spans="3:13" s="180" customFormat="1" x14ac:dyDescent="0.25">
      <c r="C203" s="1367"/>
      <c r="D203" s="1368"/>
      <c r="E203" s="377"/>
      <c r="F203" s="377"/>
      <c r="G203" s="178"/>
      <c r="H203" s="178"/>
      <c r="I203" s="179"/>
      <c r="J203" s="378"/>
      <c r="K203" s="377"/>
      <c r="L203" s="377"/>
      <c r="M203" s="377"/>
    </row>
    <row r="204" spans="3:13" s="180" customFormat="1" x14ac:dyDescent="0.25">
      <c r="C204" s="1367"/>
      <c r="D204" s="1368"/>
      <c r="E204" s="377"/>
      <c r="F204" s="377"/>
      <c r="G204" s="178"/>
      <c r="H204" s="178"/>
      <c r="I204" s="179"/>
      <c r="J204" s="378"/>
      <c r="K204" s="377"/>
      <c r="L204" s="377"/>
      <c r="M204" s="377"/>
    </row>
    <row r="205" spans="3:13" s="180" customFormat="1" x14ac:dyDescent="0.25">
      <c r="C205" s="1367"/>
      <c r="D205" s="1368"/>
      <c r="E205" s="377"/>
      <c r="F205" s="377"/>
      <c r="G205" s="178"/>
      <c r="H205" s="178"/>
      <c r="I205" s="179"/>
      <c r="J205" s="378"/>
      <c r="K205" s="377"/>
      <c r="L205" s="377"/>
      <c r="M205" s="377"/>
    </row>
    <row r="206" spans="3:13" s="180" customFormat="1" x14ac:dyDescent="0.25">
      <c r="C206" s="1367"/>
      <c r="D206" s="1368"/>
      <c r="E206" s="377"/>
      <c r="F206" s="377"/>
      <c r="G206" s="178"/>
      <c r="H206" s="178"/>
      <c r="I206" s="179"/>
      <c r="J206" s="378"/>
      <c r="K206" s="377"/>
      <c r="L206" s="377"/>
      <c r="M206" s="377"/>
    </row>
    <row r="207" spans="3:13" s="180" customFormat="1" x14ac:dyDescent="0.25">
      <c r="C207" s="1367"/>
      <c r="D207" s="1368"/>
      <c r="E207" s="377"/>
      <c r="F207" s="377"/>
      <c r="G207" s="178"/>
      <c r="H207" s="178"/>
      <c r="I207" s="179"/>
      <c r="J207" s="378"/>
      <c r="K207" s="377"/>
      <c r="L207" s="377"/>
      <c r="M207" s="377"/>
    </row>
    <row r="208" spans="3:13" s="180" customFormat="1" x14ac:dyDescent="0.25">
      <c r="C208" s="1367"/>
      <c r="D208" s="1368"/>
      <c r="E208" s="377"/>
      <c r="F208" s="377"/>
      <c r="G208" s="178"/>
      <c r="H208" s="178"/>
      <c r="I208" s="179"/>
      <c r="J208" s="378"/>
      <c r="K208" s="377"/>
      <c r="L208" s="377"/>
      <c r="M208" s="377"/>
    </row>
    <row r="209" spans="3:13" s="180" customFormat="1" x14ac:dyDescent="0.25">
      <c r="C209" s="1367"/>
      <c r="D209" s="1368"/>
      <c r="E209" s="377"/>
      <c r="F209" s="377"/>
      <c r="G209" s="178"/>
      <c r="H209" s="178"/>
      <c r="I209" s="179"/>
      <c r="J209" s="378"/>
      <c r="K209" s="377"/>
      <c r="L209" s="377"/>
      <c r="M209" s="377"/>
    </row>
    <row r="210" spans="3:13" s="180" customFormat="1" x14ac:dyDescent="0.25">
      <c r="C210" s="1367"/>
      <c r="D210" s="1368"/>
      <c r="E210" s="377"/>
      <c r="F210" s="377"/>
      <c r="G210" s="178"/>
      <c r="H210" s="178"/>
      <c r="I210" s="179"/>
      <c r="J210" s="378"/>
      <c r="K210" s="377"/>
      <c r="L210" s="377"/>
      <c r="M210" s="377"/>
    </row>
    <row r="211" spans="3:13" s="180" customFormat="1" x14ac:dyDescent="0.25">
      <c r="C211" s="1367"/>
      <c r="D211" s="1368"/>
      <c r="E211" s="377"/>
      <c r="F211" s="377"/>
      <c r="G211" s="178"/>
      <c r="H211" s="178"/>
      <c r="I211" s="179"/>
      <c r="J211" s="378"/>
      <c r="K211" s="377"/>
      <c r="L211" s="377"/>
      <c r="M211" s="377"/>
    </row>
    <row r="212" spans="3:13" s="180" customFormat="1" x14ac:dyDescent="0.25">
      <c r="C212" s="1367"/>
      <c r="D212" s="1368"/>
      <c r="E212" s="377"/>
      <c r="F212" s="377"/>
      <c r="G212" s="178"/>
      <c r="H212" s="178"/>
      <c r="I212" s="179"/>
      <c r="J212" s="378"/>
      <c r="K212" s="377"/>
      <c r="L212" s="377"/>
      <c r="M212" s="377"/>
    </row>
    <row r="213" spans="3:13" s="180" customFormat="1" x14ac:dyDescent="0.25">
      <c r="C213" s="1367"/>
      <c r="D213" s="1368"/>
      <c r="E213" s="377"/>
      <c r="F213" s="377"/>
      <c r="G213" s="178"/>
      <c r="H213" s="178"/>
      <c r="I213" s="179"/>
      <c r="J213" s="378"/>
      <c r="K213" s="377"/>
      <c r="L213" s="377"/>
      <c r="M213" s="377"/>
    </row>
    <row r="214" spans="3:13" s="180" customFormat="1" x14ac:dyDescent="0.25">
      <c r="C214" s="1367"/>
      <c r="D214" s="1368"/>
      <c r="E214" s="377"/>
      <c r="F214" s="377"/>
      <c r="G214" s="178"/>
      <c r="H214" s="178"/>
      <c r="I214" s="179"/>
      <c r="J214" s="378"/>
      <c r="K214" s="377"/>
      <c r="L214" s="377"/>
      <c r="M214" s="377"/>
    </row>
    <row r="215" spans="3:13" s="180" customFormat="1" x14ac:dyDescent="0.25">
      <c r="C215" s="1367"/>
      <c r="D215" s="1368"/>
      <c r="E215" s="377"/>
      <c r="F215" s="377"/>
      <c r="G215" s="178"/>
      <c r="H215" s="178"/>
      <c r="I215" s="179"/>
      <c r="J215" s="378"/>
      <c r="K215" s="377"/>
      <c r="L215" s="377"/>
      <c r="M215" s="377"/>
    </row>
    <row r="216" spans="3:13" s="180" customFormat="1" x14ac:dyDescent="0.25">
      <c r="C216" s="1367"/>
      <c r="D216" s="1368"/>
      <c r="E216" s="377"/>
      <c r="F216" s="377"/>
      <c r="G216" s="178"/>
      <c r="H216" s="178"/>
      <c r="I216" s="179"/>
      <c r="J216" s="378"/>
      <c r="K216" s="377"/>
      <c r="L216" s="377"/>
      <c r="M216" s="377"/>
    </row>
    <row r="217" spans="3:13" s="180" customFormat="1" x14ac:dyDescent="0.25">
      <c r="C217" s="1367"/>
      <c r="D217" s="1368"/>
      <c r="E217" s="377"/>
      <c r="F217" s="377"/>
      <c r="G217" s="178"/>
      <c r="H217" s="178"/>
      <c r="I217" s="179"/>
      <c r="J217" s="378"/>
      <c r="K217" s="377"/>
      <c r="L217" s="377"/>
      <c r="M217" s="377"/>
    </row>
    <row r="218" spans="3:13" s="180" customFormat="1" x14ac:dyDescent="0.25">
      <c r="C218" s="1367"/>
      <c r="D218" s="1368"/>
      <c r="E218" s="377"/>
      <c r="F218" s="377"/>
      <c r="G218" s="178"/>
      <c r="H218" s="178"/>
      <c r="I218" s="179"/>
      <c r="J218" s="378"/>
      <c r="K218" s="377"/>
      <c r="L218" s="377"/>
      <c r="M218" s="377"/>
    </row>
    <row r="219" spans="3:13" s="180" customFormat="1" x14ac:dyDescent="0.25">
      <c r="C219" s="1367"/>
      <c r="D219" s="1368"/>
      <c r="E219" s="377"/>
      <c r="F219" s="377"/>
      <c r="G219" s="178"/>
      <c r="H219" s="178"/>
      <c r="I219" s="179"/>
      <c r="J219" s="378"/>
      <c r="K219" s="377"/>
      <c r="L219" s="377"/>
      <c r="M219" s="377"/>
    </row>
    <row r="220" spans="3:13" s="180" customFormat="1" x14ac:dyDescent="0.25">
      <c r="C220" s="1367"/>
      <c r="D220" s="1368"/>
      <c r="E220" s="377"/>
      <c r="F220" s="377"/>
      <c r="G220" s="178"/>
      <c r="H220" s="178"/>
      <c r="I220" s="179"/>
      <c r="J220" s="378"/>
      <c r="K220" s="377"/>
      <c r="L220" s="377"/>
      <c r="M220" s="377"/>
    </row>
    <row r="221" spans="3:13" s="180" customFormat="1" x14ac:dyDescent="0.25">
      <c r="C221" s="1367"/>
      <c r="D221" s="1368"/>
      <c r="E221" s="377"/>
      <c r="F221" s="377"/>
      <c r="G221" s="178"/>
      <c r="H221" s="178"/>
      <c r="I221" s="179"/>
      <c r="J221" s="378"/>
      <c r="K221" s="377"/>
      <c r="L221" s="377"/>
      <c r="M221" s="377"/>
    </row>
    <row r="222" spans="3:13" s="180" customFormat="1" x14ac:dyDescent="0.25">
      <c r="C222" s="1367"/>
      <c r="D222" s="1368"/>
      <c r="E222" s="377"/>
      <c r="F222" s="377"/>
      <c r="G222" s="178"/>
      <c r="H222" s="178"/>
      <c r="I222" s="179"/>
      <c r="J222" s="378"/>
      <c r="K222" s="377"/>
      <c r="L222" s="377"/>
      <c r="M222" s="377"/>
    </row>
    <row r="223" spans="3:13" s="180" customFormat="1" x14ac:dyDescent="0.25">
      <c r="C223" s="1367"/>
      <c r="D223" s="1368"/>
      <c r="E223" s="377"/>
      <c r="F223" s="377"/>
      <c r="G223" s="178"/>
      <c r="H223" s="178"/>
      <c r="I223" s="179"/>
      <c r="J223" s="378"/>
      <c r="K223" s="377"/>
      <c r="L223" s="377"/>
      <c r="M223" s="377"/>
    </row>
    <row r="224" spans="3:13" s="180" customFormat="1" x14ac:dyDescent="0.25">
      <c r="C224" s="1367"/>
      <c r="D224" s="1368"/>
      <c r="E224" s="377"/>
      <c r="F224" s="377"/>
      <c r="G224" s="178"/>
      <c r="H224" s="178"/>
      <c r="I224" s="179"/>
      <c r="J224" s="378"/>
      <c r="K224" s="377"/>
      <c r="L224" s="377"/>
      <c r="M224" s="377"/>
    </row>
    <row r="225" spans="3:13" s="180" customFormat="1" x14ac:dyDescent="0.25">
      <c r="C225" s="1367"/>
      <c r="D225" s="1368"/>
      <c r="E225" s="377"/>
      <c r="F225" s="377"/>
      <c r="G225" s="178"/>
      <c r="H225" s="178"/>
      <c r="I225" s="179"/>
      <c r="J225" s="378"/>
      <c r="K225" s="377"/>
      <c r="L225" s="377"/>
      <c r="M225" s="377"/>
    </row>
    <row r="226" spans="3:13" s="180" customFormat="1" x14ac:dyDescent="0.25">
      <c r="C226" s="1367"/>
      <c r="D226" s="1368"/>
      <c r="E226" s="377"/>
      <c r="F226" s="377"/>
      <c r="G226" s="178"/>
      <c r="H226" s="178"/>
      <c r="I226" s="179"/>
      <c r="J226" s="378"/>
      <c r="K226" s="377"/>
      <c r="L226" s="377"/>
      <c r="M226" s="377"/>
    </row>
    <row r="227" spans="3:13" s="180" customFormat="1" x14ac:dyDescent="0.25">
      <c r="C227" s="1367"/>
      <c r="D227" s="1368"/>
      <c r="E227" s="377"/>
      <c r="F227" s="377"/>
      <c r="G227" s="178"/>
      <c r="H227" s="178"/>
      <c r="I227" s="179"/>
      <c r="J227" s="378"/>
      <c r="K227" s="377"/>
      <c r="L227" s="377"/>
      <c r="M227" s="377"/>
    </row>
    <row r="228" spans="3:13" s="180" customFormat="1" x14ac:dyDescent="0.25">
      <c r="C228" s="1367"/>
      <c r="D228" s="1368"/>
      <c r="E228" s="377"/>
      <c r="F228" s="377"/>
      <c r="G228" s="178"/>
      <c r="H228" s="178"/>
      <c r="I228" s="179"/>
      <c r="J228" s="378"/>
      <c r="K228" s="377"/>
      <c r="L228" s="377"/>
      <c r="M228" s="377"/>
    </row>
    <row r="229" spans="3:13" s="180" customFormat="1" x14ac:dyDescent="0.25">
      <c r="C229" s="1367"/>
      <c r="D229" s="1368"/>
      <c r="E229" s="377"/>
      <c r="F229" s="377"/>
      <c r="G229" s="178"/>
      <c r="H229" s="178"/>
      <c r="I229" s="179"/>
      <c r="J229" s="378"/>
      <c r="K229" s="377"/>
      <c r="L229" s="377"/>
      <c r="M229" s="377"/>
    </row>
    <row r="230" spans="3:13" s="180" customFormat="1" x14ac:dyDescent="0.25">
      <c r="C230" s="1367"/>
      <c r="D230" s="1368"/>
      <c r="E230" s="377"/>
      <c r="F230" s="377"/>
      <c r="G230" s="178"/>
      <c r="H230" s="178"/>
      <c r="I230" s="179"/>
      <c r="J230" s="378"/>
      <c r="K230" s="377"/>
      <c r="L230" s="377"/>
      <c r="M230" s="377"/>
    </row>
    <row r="231" spans="3:13" s="180" customFormat="1" x14ac:dyDescent="0.25">
      <c r="C231" s="1367"/>
      <c r="D231" s="1368"/>
      <c r="E231" s="377"/>
      <c r="F231" s="377"/>
      <c r="G231" s="178"/>
      <c r="H231" s="178"/>
      <c r="I231" s="179"/>
      <c r="J231" s="378"/>
      <c r="K231" s="377"/>
      <c r="L231" s="377"/>
      <c r="M231" s="377"/>
    </row>
    <row r="232" spans="3:13" s="180" customFormat="1" x14ac:dyDescent="0.25">
      <c r="C232" s="1367"/>
      <c r="D232" s="1368"/>
      <c r="E232" s="377"/>
      <c r="F232" s="377"/>
      <c r="G232" s="178"/>
      <c r="H232" s="178"/>
      <c r="I232" s="179"/>
      <c r="J232" s="378"/>
      <c r="K232" s="377"/>
      <c r="L232" s="377"/>
      <c r="M232" s="377"/>
    </row>
    <row r="233" spans="3:13" s="180" customFormat="1" x14ac:dyDescent="0.25">
      <c r="C233" s="1367"/>
      <c r="D233" s="1368"/>
      <c r="E233" s="377"/>
      <c r="F233" s="377"/>
      <c r="G233" s="178"/>
      <c r="H233" s="178"/>
      <c r="I233" s="179"/>
      <c r="J233" s="378"/>
      <c r="K233" s="377"/>
      <c r="L233" s="377"/>
      <c r="M233" s="377"/>
    </row>
    <row r="234" spans="3:13" s="180" customFormat="1" x14ac:dyDescent="0.25">
      <c r="C234" s="1367"/>
      <c r="D234" s="1368"/>
      <c r="E234" s="377"/>
      <c r="F234" s="377"/>
      <c r="G234" s="178"/>
      <c r="H234" s="178"/>
      <c r="I234" s="179"/>
      <c r="J234" s="378"/>
      <c r="K234" s="377"/>
      <c r="L234" s="377"/>
      <c r="M234" s="377"/>
    </row>
    <row r="235" spans="3:13" s="180" customFormat="1" x14ac:dyDescent="0.25">
      <c r="C235" s="1367"/>
      <c r="D235" s="1368"/>
      <c r="E235" s="377"/>
      <c r="F235" s="377"/>
      <c r="G235" s="178"/>
      <c r="H235" s="178"/>
      <c r="I235" s="179"/>
      <c r="J235" s="378"/>
      <c r="K235" s="377"/>
      <c r="L235" s="377"/>
      <c r="M235" s="377"/>
    </row>
    <row r="236" spans="3:13" s="180" customFormat="1" x14ac:dyDescent="0.25">
      <c r="C236" s="1367"/>
      <c r="D236" s="1368"/>
      <c r="E236" s="377"/>
      <c r="F236" s="377"/>
      <c r="G236" s="178"/>
      <c r="H236" s="178"/>
      <c r="I236" s="179"/>
      <c r="J236" s="378"/>
      <c r="K236" s="377"/>
      <c r="L236" s="377"/>
      <c r="M236" s="377"/>
    </row>
    <row r="237" spans="3:13" s="180" customFormat="1" x14ac:dyDescent="0.25">
      <c r="C237" s="1367"/>
      <c r="D237" s="1368"/>
      <c r="E237" s="377"/>
      <c r="F237" s="377"/>
      <c r="G237" s="178"/>
      <c r="H237" s="178"/>
      <c r="I237" s="179"/>
      <c r="J237" s="378"/>
      <c r="K237" s="377"/>
      <c r="L237" s="377"/>
      <c r="M237" s="377"/>
    </row>
    <row r="238" spans="3:13" s="180" customFormat="1" x14ac:dyDescent="0.25">
      <c r="C238" s="1367"/>
      <c r="D238" s="1368"/>
      <c r="E238" s="377"/>
      <c r="F238" s="377"/>
      <c r="G238" s="178"/>
      <c r="H238" s="178"/>
      <c r="I238" s="179"/>
      <c r="J238" s="378"/>
      <c r="K238" s="377"/>
      <c r="L238" s="377"/>
      <c r="M238" s="377"/>
    </row>
    <row r="239" spans="3:13" s="180" customFormat="1" x14ac:dyDescent="0.25">
      <c r="C239" s="1367"/>
      <c r="D239" s="1368"/>
      <c r="E239" s="377"/>
      <c r="F239" s="377"/>
      <c r="G239" s="178"/>
      <c r="H239" s="178"/>
      <c r="I239" s="179"/>
      <c r="J239" s="378"/>
      <c r="K239" s="377"/>
      <c r="L239" s="377"/>
      <c r="M239" s="377"/>
    </row>
    <row r="240" spans="3:13" s="180" customFormat="1" x14ac:dyDescent="0.25">
      <c r="C240" s="1367"/>
      <c r="D240" s="1368"/>
      <c r="E240" s="377"/>
      <c r="F240" s="377"/>
      <c r="G240" s="178"/>
      <c r="H240" s="178"/>
      <c r="I240" s="179"/>
      <c r="J240" s="378"/>
      <c r="K240" s="377"/>
      <c r="L240" s="377"/>
      <c r="M240" s="377"/>
    </row>
    <row r="241" spans="3:13" s="180" customFormat="1" x14ac:dyDescent="0.25">
      <c r="C241" s="1367"/>
      <c r="D241" s="1368"/>
      <c r="E241" s="377"/>
      <c r="F241" s="377"/>
      <c r="G241" s="178"/>
      <c r="H241" s="178"/>
      <c r="I241" s="179"/>
      <c r="J241" s="378"/>
      <c r="K241" s="377"/>
      <c r="L241" s="377"/>
      <c r="M241" s="377"/>
    </row>
    <row r="242" spans="3:13" s="180" customFormat="1" x14ac:dyDescent="0.25">
      <c r="C242" s="1367"/>
      <c r="D242" s="1368"/>
      <c r="E242" s="377"/>
      <c r="F242" s="377"/>
      <c r="G242" s="178"/>
      <c r="H242" s="178"/>
      <c r="I242" s="179"/>
      <c r="J242" s="378"/>
      <c r="K242" s="377"/>
      <c r="L242" s="377"/>
      <c r="M242" s="377"/>
    </row>
    <row r="243" spans="3:13" s="180" customFormat="1" x14ac:dyDescent="0.25">
      <c r="C243" s="1367"/>
      <c r="D243" s="1368"/>
      <c r="E243" s="377"/>
      <c r="F243" s="377"/>
      <c r="G243" s="178"/>
      <c r="H243" s="178"/>
      <c r="I243" s="179"/>
      <c r="J243" s="378"/>
      <c r="K243" s="377"/>
      <c r="L243" s="377"/>
      <c r="M243" s="377"/>
    </row>
    <row r="244" spans="3:13" s="180" customFormat="1" x14ac:dyDescent="0.25">
      <c r="C244" s="1367"/>
      <c r="D244" s="1368"/>
      <c r="E244" s="377"/>
      <c r="F244" s="377"/>
      <c r="G244" s="178"/>
      <c r="H244" s="178"/>
      <c r="I244" s="179"/>
      <c r="J244" s="378"/>
      <c r="K244" s="377"/>
      <c r="L244" s="377"/>
      <c r="M244" s="377"/>
    </row>
    <row r="245" spans="3:13" s="180" customFormat="1" x14ac:dyDescent="0.25">
      <c r="C245" s="1367"/>
      <c r="D245" s="1368"/>
      <c r="E245" s="377"/>
      <c r="F245" s="377"/>
      <c r="G245" s="178"/>
      <c r="H245" s="178"/>
      <c r="I245" s="179"/>
      <c r="J245" s="378"/>
      <c r="K245" s="377"/>
      <c r="L245" s="377"/>
      <c r="M245" s="377"/>
    </row>
    <row r="246" spans="3:13" s="180" customFormat="1" x14ac:dyDescent="0.25">
      <c r="C246" s="1367"/>
      <c r="D246" s="1368"/>
      <c r="E246" s="377"/>
      <c r="F246" s="377"/>
      <c r="G246" s="178"/>
      <c r="H246" s="178"/>
      <c r="I246" s="179"/>
      <c r="J246" s="378"/>
      <c r="K246" s="377"/>
      <c r="L246" s="377"/>
      <c r="M246" s="377"/>
    </row>
    <row r="247" spans="3:13" s="180" customFormat="1" x14ac:dyDescent="0.25">
      <c r="C247" s="1367"/>
      <c r="D247" s="1368"/>
      <c r="E247" s="377"/>
      <c r="F247" s="377"/>
      <c r="G247" s="178"/>
      <c r="H247" s="178"/>
      <c r="I247" s="179"/>
      <c r="J247" s="378"/>
      <c r="K247" s="377"/>
      <c r="L247" s="377"/>
      <c r="M247" s="377"/>
    </row>
    <row r="248" spans="3:13" s="180" customFormat="1" x14ac:dyDescent="0.25">
      <c r="C248" s="1367"/>
      <c r="D248" s="1368"/>
      <c r="E248" s="377"/>
      <c r="F248" s="377"/>
      <c r="G248" s="178"/>
      <c r="H248" s="178"/>
      <c r="I248" s="179"/>
      <c r="J248" s="378"/>
      <c r="K248" s="377"/>
      <c r="L248" s="377"/>
      <c r="M248" s="377"/>
    </row>
    <row r="249" spans="3:13" s="180" customFormat="1" x14ac:dyDescent="0.25">
      <c r="C249" s="1367"/>
      <c r="D249" s="1368"/>
      <c r="E249" s="377"/>
      <c r="F249" s="377"/>
      <c r="G249" s="178"/>
      <c r="H249" s="178"/>
      <c r="I249" s="179"/>
      <c r="J249" s="378"/>
      <c r="K249" s="377"/>
      <c r="L249" s="377"/>
      <c r="M249" s="377"/>
    </row>
    <row r="250" spans="3:13" s="180" customFormat="1" x14ac:dyDescent="0.25">
      <c r="C250" s="1367"/>
      <c r="D250" s="1368"/>
      <c r="E250" s="377"/>
      <c r="F250" s="377"/>
      <c r="G250" s="178"/>
      <c r="H250" s="178"/>
      <c r="I250" s="179"/>
      <c r="J250" s="378"/>
      <c r="K250" s="377"/>
      <c r="L250" s="377"/>
      <c r="M250" s="377"/>
    </row>
    <row r="251" spans="3:13" s="180" customFormat="1" x14ac:dyDescent="0.25">
      <c r="C251" s="1367"/>
      <c r="D251" s="1368"/>
      <c r="E251" s="377"/>
      <c r="F251" s="377"/>
      <c r="G251" s="178"/>
      <c r="H251" s="178"/>
      <c r="I251" s="179"/>
      <c r="J251" s="378"/>
      <c r="K251" s="377"/>
      <c r="L251" s="377"/>
      <c r="M251" s="377"/>
    </row>
    <row r="252" spans="3:13" s="180" customFormat="1" x14ac:dyDescent="0.25">
      <c r="C252" s="1367"/>
      <c r="D252" s="1368"/>
      <c r="E252" s="377"/>
      <c r="F252" s="377"/>
      <c r="G252" s="178"/>
      <c r="H252" s="178"/>
      <c r="I252" s="179"/>
      <c r="J252" s="378"/>
      <c r="K252" s="377"/>
      <c r="L252" s="377"/>
      <c r="M252" s="377"/>
    </row>
    <row r="253" spans="3:13" s="180" customFormat="1" x14ac:dyDescent="0.25">
      <c r="C253" s="1367"/>
      <c r="D253" s="1368"/>
      <c r="E253" s="377"/>
      <c r="F253" s="377"/>
      <c r="G253" s="178"/>
      <c r="H253" s="178"/>
      <c r="I253" s="179"/>
      <c r="J253" s="378"/>
      <c r="K253" s="377"/>
      <c r="L253" s="377"/>
      <c r="M253" s="377"/>
    </row>
    <row r="254" spans="3:13" s="180" customFormat="1" x14ac:dyDescent="0.25">
      <c r="C254" s="1367"/>
      <c r="D254" s="1368"/>
      <c r="E254" s="377"/>
      <c r="F254" s="377"/>
      <c r="G254" s="178"/>
      <c r="H254" s="178"/>
      <c r="I254" s="179"/>
      <c r="J254" s="378"/>
      <c r="K254" s="377"/>
      <c r="L254" s="377"/>
      <c r="M254" s="377"/>
    </row>
    <row r="255" spans="3:13" s="180" customFormat="1" x14ac:dyDescent="0.25">
      <c r="C255" s="1367"/>
      <c r="D255" s="1368"/>
      <c r="E255" s="377"/>
      <c r="F255" s="377"/>
      <c r="G255" s="178"/>
      <c r="H255" s="178"/>
      <c r="I255" s="179"/>
      <c r="J255" s="378"/>
      <c r="K255" s="377"/>
      <c r="L255" s="377"/>
      <c r="M255" s="377"/>
    </row>
    <row r="256" spans="3:13" s="180" customFormat="1" x14ac:dyDescent="0.25">
      <c r="C256" s="1367"/>
      <c r="D256" s="1368"/>
      <c r="E256" s="377"/>
      <c r="F256" s="377"/>
      <c r="G256" s="178"/>
      <c r="H256" s="178"/>
      <c r="I256" s="179"/>
      <c r="J256" s="378"/>
      <c r="K256" s="377"/>
      <c r="L256" s="377"/>
      <c r="M256" s="377"/>
    </row>
    <row r="257" spans="3:13" s="180" customFormat="1" x14ac:dyDescent="0.25">
      <c r="C257" s="1367"/>
      <c r="D257" s="1368"/>
      <c r="E257" s="377"/>
      <c r="F257" s="377"/>
      <c r="G257" s="178"/>
      <c r="H257" s="178"/>
      <c r="I257" s="179"/>
      <c r="J257" s="378"/>
      <c r="K257" s="377"/>
      <c r="L257" s="377"/>
      <c r="M257" s="377"/>
    </row>
    <row r="258" spans="3:13" s="180" customFormat="1" x14ac:dyDescent="0.25">
      <c r="C258" s="1367"/>
      <c r="D258" s="1368"/>
      <c r="E258" s="377"/>
      <c r="F258" s="377"/>
      <c r="G258" s="178"/>
      <c r="H258" s="178"/>
      <c r="I258" s="179"/>
      <c r="J258" s="378"/>
      <c r="K258" s="377"/>
      <c r="L258" s="377"/>
      <c r="M258" s="377"/>
    </row>
    <row r="259" spans="3:13" s="180" customFormat="1" x14ac:dyDescent="0.25">
      <c r="C259" s="1367"/>
      <c r="D259" s="1368"/>
      <c r="E259" s="377"/>
      <c r="F259" s="377"/>
      <c r="G259" s="178"/>
      <c r="H259" s="178"/>
      <c r="I259" s="179"/>
      <c r="J259" s="378"/>
      <c r="K259" s="377"/>
      <c r="L259" s="377"/>
      <c r="M259" s="377"/>
    </row>
    <row r="260" spans="3:13" s="180" customFormat="1" x14ac:dyDescent="0.25">
      <c r="C260" s="1367"/>
      <c r="D260" s="1368"/>
      <c r="E260" s="377"/>
      <c r="F260" s="377"/>
      <c r="G260" s="178"/>
      <c r="H260" s="178"/>
      <c r="I260" s="179"/>
      <c r="J260" s="378"/>
      <c r="K260" s="377"/>
      <c r="L260" s="377"/>
      <c r="M260" s="377"/>
    </row>
    <row r="261" spans="3:13" s="180" customFormat="1" x14ac:dyDescent="0.25">
      <c r="C261" s="1367"/>
      <c r="D261" s="1368"/>
      <c r="E261" s="377"/>
      <c r="F261" s="377"/>
      <c r="G261" s="178"/>
      <c r="H261" s="178"/>
      <c r="I261" s="179"/>
      <c r="J261" s="378"/>
      <c r="K261" s="377"/>
      <c r="L261" s="377"/>
      <c r="M261" s="377"/>
    </row>
    <row r="262" spans="3:13" s="180" customFormat="1" x14ac:dyDescent="0.25">
      <c r="C262" s="1367"/>
      <c r="D262" s="1368"/>
      <c r="E262" s="377"/>
      <c r="F262" s="377"/>
      <c r="G262" s="178"/>
      <c r="H262" s="178"/>
      <c r="I262" s="179"/>
      <c r="J262" s="378"/>
      <c r="K262" s="377"/>
      <c r="L262" s="377"/>
      <c r="M262" s="377"/>
    </row>
    <row r="263" spans="3:13" s="180" customFormat="1" x14ac:dyDescent="0.25">
      <c r="C263" s="1367"/>
      <c r="D263" s="1368"/>
      <c r="E263" s="377"/>
      <c r="F263" s="377"/>
      <c r="G263" s="178"/>
      <c r="H263" s="178"/>
      <c r="I263" s="179"/>
      <c r="J263" s="378"/>
      <c r="K263" s="377"/>
      <c r="L263" s="377"/>
      <c r="M263" s="377"/>
    </row>
    <row r="264" spans="3:13" s="180" customFormat="1" x14ac:dyDescent="0.25">
      <c r="C264" s="1367"/>
      <c r="D264" s="1368"/>
      <c r="E264" s="377"/>
      <c r="F264" s="377"/>
      <c r="G264" s="178"/>
      <c r="H264" s="178"/>
      <c r="I264" s="179"/>
      <c r="J264" s="378"/>
      <c r="K264" s="377"/>
      <c r="L264" s="377"/>
      <c r="M264" s="377"/>
    </row>
    <row r="265" spans="3:13" s="180" customFormat="1" x14ac:dyDescent="0.25">
      <c r="C265" s="1367"/>
      <c r="D265" s="1368"/>
      <c r="E265" s="377"/>
      <c r="F265" s="377"/>
      <c r="G265" s="178"/>
      <c r="H265" s="178"/>
      <c r="I265" s="179"/>
      <c r="J265" s="378"/>
      <c r="K265" s="377"/>
      <c r="L265" s="377"/>
      <c r="M265" s="377"/>
    </row>
    <row r="266" spans="3:13" s="180" customFormat="1" x14ac:dyDescent="0.25">
      <c r="C266" s="1367"/>
      <c r="D266" s="1368"/>
      <c r="E266" s="377"/>
      <c r="F266" s="377"/>
      <c r="G266" s="178"/>
      <c r="H266" s="178"/>
      <c r="I266" s="179"/>
      <c r="J266" s="378"/>
      <c r="K266" s="377"/>
      <c r="L266" s="377"/>
      <c r="M266" s="377"/>
    </row>
    <row r="267" spans="3:13" s="180" customFormat="1" x14ac:dyDescent="0.25">
      <c r="C267" s="1367"/>
      <c r="D267" s="1368"/>
      <c r="E267" s="377"/>
      <c r="F267" s="377"/>
      <c r="G267" s="178"/>
      <c r="H267" s="178"/>
      <c r="I267" s="179"/>
      <c r="J267" s="378"/>
      <c r="K267" s="377"/>
      <c r="L267" s="377"/>
      <c r="M267" s="377"/>
    </row>
    <row r="268" spans="3:13" s="180" customFormat="1" x14ac:dyDescent="0.25">
      <c r="C268" s="1367"/>
      <c r="D268" s="1368"/>
      <c r="E268" s="377"/>
      <c r="F268" s="377"/>
      <c r="G268" s="178"/>
      <c r="H268" s="178"/>
      <c r="I268" s="179"/>
      <c r="J268" s="378"/>
      <c r="K268" s="377"/>
      <c r="L268" s="377"/>
      <c r="M268" s="377"/>
    </row>
    <row r="269" spans="3:13" s="180" customFormat="1" x14ac:dyDescent="0.25">
      <c r="C269" s="1367"/>
      <c r="D269" s="1368"/>
      <c r="E269" s="377"/>
      <c r="F269" s="377"/>
      <c r="G269" s="178"/>
      <c r="H269" s="178"/>
      <c r="I269" s="179"/>
      <c r="J269" s="378"/>
      <c r="K269" s="377"/>
      <c r="L269" s="377"/>
      <c r="M269" s="377"/>
    </row>
    <row r="270" spans="3:13" s="180" customFormat="1" x14ac:dyDescent="0.25">
      <c r="C270" s="1367"/>
      <c r="D270" s="1368"/>
      <c r="E270" s="377"/>
      <c r="F270" s="377"/>
      <c r="G270" s="178"/>
      <c r="H270" s="178"/>
      <c r="I270" s="179"/>
      <c r="J270" s="378"/>
      <c r="K270" s="377"/>
      <c r="L270" s="377"/>
      <c r="M270" s="377"/>
    </row>
    <row r="271" spans="3:13" s="180" customFormat="1" x14ac:dyDescent="0.25">
      <c r="C271" s="1367"/>
      <c r="D271" s="1368"/>
      <c r="E271" s="377"/>
      <c r="F271" s="377"/>
      <c r="G271" s="178"/>
      <c r="H271" s="178"/>
      <c r="I271" s="179"/>
      <c r="J271" s="378"/>
      <c r="K271" s="377"/>
      <c r="L271" s="377"/>
      <c r="M271" s="377"/>
    </row>
    <row r="272" spans="3:13" s="180" customFormat="1" x14ac:dyDescent="0.25">
      <c r="C272" s="1367"/>
      <c r="D272" s="1368"/>
      <c r="E272" s="377"/>
      <c r="F272" s="377"/>
      <c r="G272" s="178"/>
      <c r="H272" s="178"/>
      <c r="I272" s="179"/>
      <c r="J272" s="378"/>
      <c r="K272" s="377"/>
      <c r="L272" s="377"/>
      <c r="M272" s="377"/>
    </row>
    <row r="273" spans="3:13" s="180" customFormat="1" x14ac:dyDescent="0.25">
      <c r="C273" s="1367"/>
      <c r="D273" s="1368"/>
      <c r="E273" s="377"/>
      <c r="F273" s="377"/>
      <c r="G273" s="178"/>
      <c r="H273" s="178"/>
      <c r="I273" s="179"/>
      <c r="J273" s="378"/>
      <c r="K273" s="377"/>
      <c r="L273" s="377"/>
      <c r="M273" s="377"/>
    </row>
    <row r="274" spans="3:13" s="180" customFormat="1" x14ac:dyDescent="0.25">
      <c r="C274" s="1367"/>
      <c r="D274" s="1368"/>
      <c r="E274" s="377"/>
      <c r="F274" s="377"/>
      <c r="G274" s="178"/>
      <c r="H274" s="178"/>
      <c r="I274" s="179"/>
      <c r="J274" s="378"/>
      <c r="K274" s="377"/>
      <c r="L274" s="377"/>
      <c r="M274" s="377"/>
    </row>
    <row r="275" spans="3:13" s="180" customFormat="1" x14ac:dyDescent="0.25">
      <c r="C275" s="1367"/>
      <c r="D275" s="1368"/>
      <c r="E275" s="377"/>
      <c r="F275" s="377"/>
      <c r="G275" s="178"/>
      <c r="H275" s="178"/>
      <c r="I275" s="179"/>
      <c r="J275" s="378"/>
      <c r="K275" s="377"/>
      <c r="L275" s="377"/>
      <c r="M275" s="377"/>
    </row>
    <row r="276" spans="3:13" s="180" customFormat="1" x14ac:dyDescent="0.25">
      <c r="C276" s="1367"/>
      <c r="D276" s="1368"/>
      <c r="E276" s="377"/>
      <c r="F276" s="377"/>
      <c r="G276" s="178"/>
      <c r="H276" s="178"/>
      <c r="I276" s="179"/>
      <c r="J276" s="378"/>
      <c r="K276" s="377"/>
      <c r="L276" s="377"/>
      <c r="M276" s="377"/>
    </row>
    <row r="277" spans="3:13" s="180" customFormat="1" x14ac:dyDescent="0.25">
      <c r="C277" s="1367"/>
      <c r="D277" s="1368"/>
      <c r="E277" s="377"/>
      <c r="F277" s="377"/>
      <c r="G277" s="178"/>
      <c r="H277" s="178"/>
      <c r="I277" s="179"/>
      <c r="J277" s="378"/>
      <c r="K277" s="377"/>
      <c r="L277" s="377"/>
      <c r="M277" s="377"/>
    </row>
    <row r="278" spans="3:13" s="180" customFormat="1" x14ac:dyDescent="0.25">
      <c r="C278" s="1367"/>
      <c r="D278" s="1368"/>
      <c r="E278" s="377"/>
      <c r="F278" s="377"/>
      <c r="G278" s="178"/>
      <c r="H278" s="178"/>
      <c r="I278" s="179"/>
      <c r="J278" s="378"/>
      <c r="K278" s="377"/>
      <c r="L278" s="377"/>
      <c r="M278" s="377"/>
    </row>
    <row r="279" spans="3:13" s="180" customFormat="1" x14ac:dyDescent="0.25">
      <c r="C279" s="1367"/>
      <c r="D279" s="1368"/>
      <c r="E279" s="377"/>
      <c r="F279" s="377"/>
      <c r="G279" s="178"/>
      <c r="H279" s="178"/>
      <c r="I279" s="179"/>
      <c r="J279" s="378"/>
      <c r="K279" s="377"/>
      <c r="L279" s="377"/>
      <c r="M279" s="377"/>
    </row>
    <row r="280" spans="3:13" s="180" customFormat="1" x14ac:dyDescent="0.25">
      <c r="C280" s="1367"/>
      <c r="D280" s="1368"/>
      <c r="E280" s="377"/>
      <c r="F280" s="377"/>
      <c r="G280" s="178"/>
      <c r="H280" s="178"/>
      <c r="I280" s="179"/>
      <c r="J280" s="378"/>
      <c r="K280" s="377"/>
      <c r="L280" s="377"/>
      <c r="M280" s="377"/>
    </row>
    <row r="281" spans="3:13" s="180" customFormat="1" x14ac:dyDescent="0.25">
      <c r="C281" s="1367"/>
      <c r="D281" s="1368"/>
      <c r="E281" s="377"/>
      <c r="F281" s="377"/>
      <c r="G281" s="178"/>
      <c r="H281" s="178"/>
      <c r="I281" s="179"/>
      <c r="J281" s="378"/>
      <c r="K281" s="377"/>
      <c r="L281" s="377"/>
      <c r="M281" s="377"/>
    </row>
    <row r="282" spans="3:13" s="180" customFormat="1" x14ac:dyDescent="0.25">
      <c r="C282" s="1367"/>
      <c r="D282" s="1368"/>
      <c r="E282" s="377"/>
      <c r="F282" s="377"/>
      <c r="G282" s="178"/>
      <c r="H282" s="178"/>
      <c r="I282" s="179"/>
      <c r="J282" s="378"/>
      <c r="K282" s="377"/>
      <c r="L282" s="377"/>
      <c r="M282" s="377"/>
    </row>
    <row r="283" spans="3:13" s="180" customFormat="1" x14ac:dyDescent="0.25">
      <c r="C283" s="1367"/>
      <c r="D283" s="1368"/>
      <c r="E283" s="377"/>
      <c r="F283" s="377"/>
      <c r="G283" s="178"/>
      <c r="H283" s="178"/>
      <c r="I283" s="179"/>
      <c r="J283" s="378"/>
      <c r="K283" s="377"/>
      <c r="L283" s="377"/>
      <c r="M283" s="377"/>
    </row>
    <row r="284" spans="3:13" s="180" customFormat="1" x14ac:dyDescent="0.25">
      <c r="C284" s="1367"/>
      <c r="D284" s="1368"/>
      <c r="E284" s="377"/>
      <c r="F284" s="377"/>
      <c r="G284" s="178"/>
      <c r="H284" s="178"/>
      <c r="I284" s="179"/>
      <c r="J284" s="378"/>
      <c r="K284" s="377"/>
      <c r="L284" s="377"/>
      <c r="M284" s="377"/>
    </row>
    <row r="285" spans="3:13" s="180" customFormat="1" x14ac:dyDescent="0.25">
      <c r="C285" s="1367"/>
      <c r="D285" s="1368"/>
      <c r="E285" s="377"/>
      <c r="F285" s="377"/>
      <c r="G285" s="178"/>
      <c r="H285" s="178"/>
      <c r="I285" s="179"/>
      <c r="J285" s="378"/>
      <c r="K285" s="377"/>
      <c r="L285" s="377"/>
      <c r="M285" s="377"/>
    </row>
    <row r="286" spans="3:13" s="180" customFormat="1" x14ac:dyDescent="0.25">
      <c r="C286" s="1367"/>
      <c r="D286" s="1368"/>
      <c r="E286" s="377"/>
      <c r="F286" s="377"/>
      <c r="G286" s="178"/>
      <c r="H286" s="178"/>
      <c r="I286" s="179"/>
      <c r="J286" s="378"/>
      <c r="K286" s="377"/>
      <c r="L286" s="377"/>
      <c r="M286" s="377"/>
    </row>
    <row r="287" spans="3:13" s="180" customFormat="1" x14ac:dyDescent="0.25">
      <c r="C287" s="1367"/>
      <c r="D287" s="1368"/>
      <c r="E287" s="377"/>
      <c r="F287" s="377"/>
      <c r="G287" s="178"/>
      <c r="H287" s="178"/>
      <c r="I287" s="179"/>
      <c r="J287" s="378"/>
      <c r="K287" s="377"/>
      <c r="L287" s="377"/>
      <c r="M287" s="377"/>
    </row>
    <row r="288" spans="3:13" s="180" customFormat="1" x14ac:dyDescent="0.25">
      <c r="C288" s="1367"/>
      <c r="D288" s="1368"/>
      <c r="E288" s="377"/>
      <c r="F288" s="377"/>
      <c r="G288" s="178"/>
      <c r="H288" s="178"/>
      <c r="I288" s="179"/>
      <c r="J288" s="378"/>
      <c r="K288" s="377"/>
      <c r="L288" s="377"/>
      <c r="M288" s="377"/>
    </row>
    <row r="289" spans="3:13" s="180" customFormat="1" x14ac:dyDescent="0.25">
      <c r="C289" s="1367"/>
      <c r="D289" s="1368"/>
      <c r="E289" s="377"/>
      <c r="F289" s="377"/>
      <c r="G289" s="178"/>
      <c r="H289" s="178"/>
      <c r="I289" s="179"/>
      <c r="J289" s="378"/>
      <c r="K289" s="377"/>
      <c r="L289" s="377"/>
      <c r="M289" s="377"/>
    </row>
    <row r="290" spans="3:13" s="180" customFormat="1" x14ac:dyDescent="0.25">
      <c r="C290" s="1367"/>
      <c r="D290" s="1368"/>
      <c r="E290" s="377"/>
      <c r="F290" s="377"/>
      <c r="G290" s="178"/>
      <c r="H290" s="178"/>
      <c r="I290" s="179"/>
      <c r="J290" s="378"/>
      <c r="K290" s="377"/>
      <c r="L290" s="377"/>
      <c r="M290" s="377"/>
    </row>
    <row r="291" spans="3:13" s="180" customFormat="1" x14ac:dyDescent="0.25">
      <c r="C291" s="1367"/>
      <c r="D291" s="1368"/>
      <c r="E291" s="377"/>
      <c r="F291" s="377"/>
      <c r="G291" s="178"/>
      <c r="H291" s="178"/>
      <c r="I291" s="179"/>
      <c r="J291" s="378"/>
      <c r="K291" s="377"/>
      <c r="L291" s="377"/>
      <c r="M291" s="377"/>
    </row>
    <row r="292" spans="3:13" s="180" customFormat="1" x14ac:dyDescent="0.25">
      <c r="C292" s="1367"/>
      <c r="D292" s="1368"/>
      <c r="E292" s="377"/>
      <c r="F292" s="377"/>
      <c r="G292" s="178"/>
      <c r="H292" s="178"/>
      <c r="I292" s="179"/>
      <c r="J292" s="378"/>
      <c r="K292" s="377"/>
      <c r="L292" s="377"/>
      <c r="M292" s="377"/>
    </row>
    <row r="293" spans="3:13" s="180" customFormat="1" x14ac:dyDescent="0.25">
      <c r="C293" s="1367"/>
      <c r="D293" s="1368"/>
      <c r="E293" s="377"/>
      <c r="F293" s="377"/>
      <c r="G293" s="178"/>
      <c r="H293" s="178"/>
      <c r="I293" s="179"/>
      <c r="J293" s="378"/>
      <c r="K293" s="377"/>
      <c r="L293" s="377"/>
      <c r="M293" s="377"/>
    </row>
    <row r="294" spans="3:13" s="180" customFormat="1" x14ac:dyDescent="0.25">
      <c r="C294" s="1367"/>
      <c r="D294" s="1368"/>
      <c r="E294" s="377"/>
      <c r="F294" s="377"/>
      <c r="G294" s="178"/>
      <c r="H294" s="178"/>
      <c r="I294" s="179"/>
      <c r="J294" s="378"/>
      <c r="K294" s="377"/>
      <c r="L294" s="377"/>
      <c r="M294" s="377"/>
    </row>
    <row r="295" spans="3:13" s="180" customFormat="1" x14ac:dyDescent="0.25">
      <c r="C295" s="1367"/>
      <c r="D295" s="1368"/>
      <c r="E295" s="377"/>
      <c r="F295" s="377"/>
      <c r="G295" s="178"/>
      <c r="H295" s="178"/>
      <c r="I295" s="179"/>
      <c r="J295" s="378"/>
      <c r="K295" s="377"/>
      <c r="L295" s="377"/>
      <c r="M295" s="377"/>
    </row>
    <row r="296" spans="3:13" s="180" customFormat="1" x14ac:dyDescent="0.25">
      <c r="C296" s="1367"/>
      <c r="D296" s="1368"/>
      <c r="E296" s="377"/>
      <c r="F296" s="377"/>
      <c r="G296" s="178"/>
      <c r="H296" s="178"/>
      <c r="I296" s="179"/>
      <c r="J296" s="378"/>
      <c r="K296" s="377"/>
      <c r="L296" s="377"/>
      <c r="M296" s="377"/>
    </row>
    <row r="297" spans="3:13" s="180" customFormat="1" x14ac:dyDescent="0.25">
      <c r="C297" s="1367"/>
      <c r="D297" s="1368"/>
      <c r="E297" s="377"/>
      <c r="F297" s="377"/>
      <c r="G297" s="178"/>
      <c r="H297" s="178"/>
      <c r="I297" s="179"/>
      <c r="J297" s="378"/>
      <c r="K297" s="377"/>
      <c r="L297" s="377"/>
      <c r="M297" s="377"/>
    </row>
    <row r="298" spans="3:13" s="180" customFormat="1" x14ac:dyDescent="0.25">
      <c r="C298" s="1367"/>
      <c r="D298" s="1368"/>
      <c r="E298" s="377"/>
      <c r="F298" s="377"/>
      <c r="G298" s="178"/>
      <c r="H298" s="178"/>
      <c r="I298" s="179"/>
      <c r="J298" s="378"/>
      <c r="K298" s="377"/>
      <c r="L298" s="377"/>
      <c r="M298" s="377"/>
    </row>
    <row r="299" spans="3:13" s="180" customFormat="1" x14ac:dyDescent="0.25">
      <c r="C299" s="1367"/>
      <c r="D299" s="1368"/>
      <c r="E299" s="377"/>
      <c r="F299" s="377"/>
      <c r="G299" s="178"/>
      <c r="H299" s="178"/>
      <c r="I299" s="179"/>
      <c r="J299" s="378"/>
      <c r="K299" s="377"/>
      <c r="L299" s="377"/>
      <c r="M299" s="377"/>
    </row>
    <row r="300" spans="3:13" s="180" customFormat="1" x14ac:dyDescent="0.25">
      <c r="C300" s="1367"/>
      <c r="D300" s="1368"/>
      <c r="E300" s="377"/>
      <c r="F300" s="377"/>
      <c r="G300" s="178"/>
      <c r="H300" s="178"/>
      <c r="I300" s="179"/>
      <c r="J300" s="378"/>
      <c r="K300" s="377"/>
      <c r="L300" s="377"/>
      <c r="M300" s="377"/>
    </row>
    <row r="301" spans="3:13" s="180" customFormat="1" x14ac:dyDescent="0.25">
      <c r="C301" s="1367"/>
      <c r="D301" s="1368"/>
      <c r="E301" s="377"/>
      <c r="F301" s="377"/>
      <c r="G301" s="178"/>
      <c r="H301" s="178"/>
      <c r="I301" s="179"/>
      <c r="J301" s="378"/>
      <c r="K301" s="377"/>
      <c r="L301" s="377"/>
      <c r="M301" s="377"/>
    </row>
    <row r="302" spans="3:13" s="180" customFormat="1" x14ac:dyDescent="0.25">
      <c r="C302" s="1367"/>
      <c r="D302" s="1368"/>
      <c r="E302" s="377"/>
      <c r="F302" s="377"/>
      <c r="G302" s="178"/>
      <c r="H302" s="178"/>
      <c r="I302" s="179"/>
      <c r="J302" s="378"/>
      <c r="K302" s="377"/>
      <c r="L302" s="377"/>
      <c r="M302" s="377"/>
    </row>
    <row r="303" spans="3:13" s="180" customFormat="1" x14ac:dyDescent="0.25">
      <c r="C303" s="1367"/>
      <c r="D303" s="1368"/>
      <c r="E303" s="377"/>
      <c r="F303" s="377"/>
      <c r="G303" s="178"/>
      <c r="H303" s="178"/>
      <c r="I303" s="179"/>
      <c r="J303" s="378"/>
      <c r="K303" s="377"/>
      <c r="L303" s="377"/>
      <c r="M303" s="377"/>
    </row>
    <row r="304" spans="3:13" s="180" customFormat="1" x14ac:dyDescent="0.25">
      <c r="C304" s="1367"/>
      <c r="D304" s="1368"/>
      <c r="E304" s="377"/>
      <c r="F304" s="377"/>
      <c r="G304" s="178"/>
      <c r="H304" s="178"/>
      <c r="I304" s="179"/>
      <c r="J304" s="378"/>
      <c r="K304" s="377"/>
      <c r="L304" s="377"/>
      <c r="M304" s="377"/>
    </row>
    <row r="305" spans="3:13" s="180" customFormat="1" x14ac:dyDescent="0.25">
      <c r="C305" s="1367"/>
      <c r="D305" s="1368"/>
      <c r="E305" s="377"/>
      <c r="F305" s="377"/>
      <c r="G305" s="178"/>
      <c r="H305" s="178"/>
      <c r="I305" s="179"/>
      <c r="J305" s="378"/>
      <c r="K305" s="377"/>
      <c r="L305" s="377"/>
      <c r="M305" s="377"/>
    </row>
    <row r="306" spans="3:13" s="180" customFormat="1" x14ac:dyDescent="0.25">
      <c r="C306" s="1367"/>
      <c r="D306" s="1368"/>
      <c r="E306" s="377"/>
      <c r="F306" s="377"/>
      <c r="G306" s="178"/>
      <c r="H306" s="178"/>
      <c r="I306" s="179"/>
      <c r="J306" s="378"/>
      <c r="K306" s="377"/>
      <c r="L306" s="377"/>
      <c r="M306" s="377"/>
    </row>
    <row r="307" spans="3:13" s="180" customFormat="1" x14ac:dyDescent="0.25">
      <c r="C307" s="1367"/>
      <c r="D307" s="1368"/>
      <c r="E307" s="377"/>
      <c r="F307" s="377"/>
      <c r="G307" s="178"/>
      <c r="H307" s="178"/>
      <c r="I307" s="179"/>
      <c r="J307" s="378"/>
      <c r="K307" s="377"/>
      <c r="L307" s="377"/>
      <c r="M307" s="377"/>
    </row>
    <row r="308" spans="3:13" s="180" customFormat="1" x14ac:dyDescent="0.25">
      <c r="C308" s="1367"/>
      <c r="D308" s="1368"/>
      <c r="E308" s="377"/>
      <c r="F308" s="377"/>
      <c r="G308" s="178"/>
      <c r="H308" s="178"/>
      <c r="I308" s="179"/>
      <c r="J308" s="378"/>
      <c r="K308" s="377"/>
      <c r="L308" s="377"/>
      <c r="M308" s="377"/>
    </row>
    <row r="309" spans="3:13" s="180" customFormat="1" x14ac:dyDescent="0.25">
      <c r="C309" s="1367"/>
      <c r="D309" s="1368"/>
      <c r="E309" s="377"/>
      <c r="F309" s="377"/>
      <c r="G309" s="178"/>
      <c r="H309" s="178"/>
      <c r="I309" s="179"/>
      <c r="J309" s="378"/>
      <c r="K309" s="377"/>
      <c r="L309" s="377"/>
      <c r="M309" s="377"/>
    </row>
    <row r="310" spans="3:13" s="180" customFormat="1" x14ac:dyDescent="0.25">
      <c r="C310" s="1367"/>
      <c r="D310" s="1368"/>
      <c r="E310" s="377"/>
      <c r="F310" s="377"/>
      <c r="G310" s="178"/>
      <c r="H310" s="178"/>
      <c r="I310" s="179"/>
      <c r="J310" s="378"/>
      <c r="K310" s="377"/>
      <c r="L310" s="377"/>
      <c r="M310" s="377"/>
    </row>
    <row r="311" spans="3:13" s="180" customFormat="1" x14ac:dyDescent="0.25">
      <c r="C311" s="1367"/>
      <c r="D311" s="1368"/>
      <c r="E311" s="377"/>
      <c r="F311" s="377"/>
      <c r="G311" s="178"/>
      <c r="H311" s="178"/>
      <c r="I311" s="179"/>
      <c r="J311" s="378"/>
      <c r="K311" s="377"/>
      <c r="L311" s="377"/>
      <c r="M311" s="377"/>
    </row>
    <row r="312" spans="3:13" s="180" customFormat="1" x14ac:dyDescent="0.25">
      <c r="C312" s="1367"/>
      <c r="D312" s="1368"/>
      <c r="E312" s="377"/>
      <c r="F312" s="377"/>
      <c r="G312" s="178"/>
      <c r="H312" s="178"/>
      <c r="I312" s="179"/>
      <c r="J312" s="378"/>
      <c r="K312" s="377"/>
      <c r="L312" s="377"/>
      <c r="M312" s="377"/>
    </row>
    <row r="313" spans="3:13" s="180" customFormat="1" x14ac:dyDescent="0.25">
      <c r="C313" s="1367"/>
      <c r="D313" s="1368"/>
      <c r="E313" s="377"/>
      <c r="F313" s="377"/>
      <c r="G313" s="178"/>
      <c r="H313" s="178"/>
      <c r="I313" s="179"/>
      <c r="J313" s="378"/>
      <c r="K313" s="377"/>
      <c r="L313" s="377"/>
      <c r="M313" s="377"/>
    </row>
    <row r="314" spans="3:13" s="180" customFormat="1" x14ac:dyDescent="0.25">
      <c r="C314" s="1367"/>
      <c r="D314" s="1368"/>
      <c r="E314" s="377"/>
      <c r="F314" s="377"/>
      <c r="G314" s="178"/>
      <c r="H314" s="178"/>
      <c r="I314" s="179"/>
      <c r="J314" s="378"/>
      <c r="K314" s="377"/>
      <c r="L314" s="377"/>
      <c r="M314" s="377"/>
    </row>
    <row r="315" spans="3:13" s="180" customFormat="1" x14ac:dyDescent="0.25">
      <c r="C315" s="1367"/>
      <c r="D315" s="1368"/>
      <c r="E315" s="377"/>
      <c r="F315" s="377"/>
      <c r="G315" s="178"/>
      <c r="H315" s="178"/>
      <c r="I315" s="179"/>
      <c r="J315" s="378"/>
      <c r="K315" s="377"/>
      <c r="L315" s="377"/>
      <c r="M315" s="377"/>
    </row>
    <row r="316" spans="3:13" s="180" customFormat="1" x14ac:dyDescent="0.25">
      <c r="C316" s="1367"/>
      <c r="D316" s="1368"/>
      <c r="E316" s="377"/>
      <c r="F316" s="377"/>
      <c r="G316" s="178"/>
      <c r="H316" s="178"/>
      <c r="I316" s="179"/>
      <c r="J316" s="378"/>
      <c r="K316" s="377"/>
      <c r="L316" s="377"/>
      <c r="M316" s="377"/>
    </row>
    <row r="317" spans="3:13" s="180" customFormat="1" x14ac:dyDescent="0.25">
      <c r="C317" s="1367"/>
      <c r="D317" s="1368"/>
      <c r="E317" s="377"/>
      <c r="F317" s="377"/>
      <c r="G317" s="178"/>
      <c r="H317" s="178"/>
      <c r="I317" s="179"/>
      <c r="J317" s="378"/>
      <c r="K317" s="377"/>
      <c r="L317" s="377"/>
      <c r="M317" s="377"/>
    </row>
    <row r="318" spans="3:13" s="180" customFormat="1" x14ac:dyDescent="0.25">
      <c r="C318" s="1367"/>
      <c r="D318" s="1368"/>
      <c r="E318" s="377"/>
      <c r="F318" s="377"/>
      <c r="G318" s="178"/>
      <c r="H318" s="178"/>
      <c r="I318" s="179"/>
      <c r="J318" s="378"/>
      <c r="K318" s="377"/>
      <c r="L318" s="377"/>
      <c r="M318" s="377"/>
    </row>
    <row r="319" spans="3:13" s="180" customFormat="1" x14ac:dyDescent="0.25">
      <c r="C319" s="1367"/>
      <c r="D319" s="1368"/>
      <c r="E319" s="377"/>
      <c r="F319" s="377"/>
      <c r="G319" s="178"/>
      <c r="H319" s="178"/>
      <c r="I319" s="179"/>
      <c r="J319" s="378"/>
      <c r="K319" s="377"/>
      <c r="L319" s="377"/>
      <c r="M319" s="377"/>
    </row>
    <row r="320" spans="3:13" s="180" customFormat="1" x14ac:dyDescent="0.25">
      <c r="C320" s="1367"/>
      <c r="D320" s="1368"/>
      <c r="E320" s="377"/>
      <c r="F320" s="377"/>
      <c r="G320" s="178"/>
      <c r="H320" s="178"/>
      <c r="I320" s="179"/>
      <c r="J320" s="378"/>
      <c r="K320" s="377"/>
      <c r="L320" s="377"/>
      <c r="M320" s="377"/>
    </row>
    <row r="321" spans="3:13" s="180" customFormat="1" x14ac:dyDescent="0.25">
      <c r="C321" s="1367"/>
      <c r="D321" s="1368"/>
      <c r="E321" s="377"/>
      <c r="F321" s="377"/>
      <c r="G321" s="178"/>
      <c r="H321" s="178"/>
      <c r="I321" s="179"/>
      <c r="J321" s="378"/>
      <c r="K321" s="377"/>
      <c r="L321" s="377"/>
      <c r="M321" s="377"/>
    </row>
    <row r="322" spans="3:13" s="180" customFormat="1" x14ac:dyDescent="0.25">
      <c r="C322" s="1367"/>
      <c r="D322" s="1368"/>
      <c r="E322" s="377"/>
      <c r="F322" s="377"/>
      <c r="G322" s="178"/>
      <c r="H322" s="178"/>
      <c r="I322" s="179"/>
      <c r="J322" s="378"/>
      <c r="K322" s="377"/>
      <c r="L322" s="377"/>
      <c r="M322" s="377"/>
    </row>
    <row r="323" spans="3:13" s="180" customFormat="1" x14ac:dyDescent="0.25">
      <c r="C323" s="1367"/>
      <c r="D323" s="1368"/>
      <c r="E323" s="377"/>
      <c r="F323" s="377"/>
      <c r="G323" s="178"/>
      <c r="H323" s="178"/>
      <c r="I323" s="179"/>
      <c r="J323" s="378"/>
      <c r="K323" s="377"/>
      <c r="L323" s="377"/>
      <c r="M323" s="377"/>
    </row>
    <row r="324" spans="3:13" s="180" customFormat="1" x14ac:dyDescent="0.25">
      <c r="C324" s="1367"/>
      <c r="D324" s="1368"/>
      <c r="E324" s="377"/>
      <c r="F324" s="377"/>
      <c r="G324" s="178"/>
      <c r="H324" s="178"/>
      <c r="I324" s="179"/>
      <c r="J324" s="378"/>
      <c r="K324" s="377"/>
      <c r="L324" s="377"/>
      <c r="M324" s="377"/>
    </row>
    <row r="325" spans="3:13" s="180" customFormat="1" x14ac:dyDescent="0.25">
      <c r="C325" s="1367"/>
      <c r="D325" s="1368"/>
      <c r="E325" s="377"/>
      <c r="F325" s="377"/>
      <c r="G325" s="178"/>
      <c r="H325" s="178"/>
      <c r="I325" s="179"/>
      <c r="J325" s="378"/>
      <c r="K325" s="377"/>
      <c r="L325" s="377"/>
      <c r="M325" s="377"/>
    </row>
    <row r="326" spans="3:13" s="180" customFormat="1" x14ac:dyDescent="0.25">
      <c r="C326" s="1367"/>
      <c r="D326" s="1368"/>
      <c r="E326" s="377"/>
      <c r="F326" s="377"/>
      <c r="G326" s="178"/>
      <c r="H326" s="178"/>
      <c r="I326" s="179"/>
      <c r="J326" s="378"/>
      <c r="K326" s="377"/>
      <c r="L326" s="377"/>
      <c r="M326" s="377"/>
    </row>
    <row r="327" spans="3:13" s="180" customFormat="1" x14ac:dyDescent="0.25">
      <c r="C327" s="1367"/>
      <c r="D327" s="1368"/>
      <c r="E327" s="377"/>
      <c r="F327" s="377"/>
      <c r="G327" s="178"/>
      <c r="H327" s="178"/>
      <c r="I327" s="179"/>
      <c r="J327" s="378"/>
      <c r="K327" s="377"/>
      <c r="L327" s="377"/>
      <c r="M327" s="377"/>
    </row>
    <row r="328" spans="3:13" s="180" customFormat="1" x14ac:dyDescent="0.25">
      <c r="C328" s="1367"/>
      <c r="D328" s="1368"/>
      <c r="E328" s="377"/>
      <c r="F328" s="377"/>
      <c r="G328" s="178"/>
      <c r="H328" s="178"/>
      <c r="I328" s="179"/>
      <c r="J328" s="378"/>
      <c r="K328" s="377"/>
      <c r="L328" s="377"/>
      <c r="M328" s="377"/>
    </row>
    <row r="329" spans="3:13" s="180" customFormat="1" x14ac:dyDescent="0.25">
      <c r="C329" s="1367"/>
      <c r="D329" s="1368"/>
      <c r="E329" s="377"/>
      <c r="F329" s="377"/>
      <c r="G329" s="178"/>
      <c r="H329" s="178"/>
      <c r="I329" s="179"/>
      <c r="J329" s="378"/>
      <c r="K329" s="377"/>
      <c r="L329" s="377"/>
      <c r="M329" s="377"/>
    </row>
    <row r="330" spans="3:13" s="180" customFormat="1" x14ac:dyDescent="0.25">
      <c r="C330" s="1367"/>
      <c r="D330" s="1368"/>
      <c r="E330" s="377"/>
      <c r="F330" s="377"/>
      <c r="G330" s="178"/>
      <c r="H330" s="178"/>
      <c r="I330" s="179"/>
      <c r="J330" s="378"/>
      <c r="K330" s="377"/>
      <c r="L330" s="377"/>
      <c r="M330" s="377"/>
    </row>
    <row r="331" spans="3:13" s="180" customFormat="1" x14ac:dyDescent="0.25">
      <c r="C331" s="1367"/>
      <c r="D331" s="1368"/>
      <c r="E331" s="377"/>
      <c r="F331" s="377"/>
      <c r="G331" s="178"/>
      <c r="H331" s="178"/>
      <c r="I331" s="179"/>
      <c r="J331" s="378"/>
      <c r="K331" s="377"/>
      <c r="L331" s="377"/>
      <c r="M331" s="377"/>
    </row>
    <row r="332" spans="3:13" s="180" customFormat="1" x14ac:dyDescent="0.25">
      <c r="C332" s="1367"/>
      <c r="D332" s="1368"/>
      <c r="E332" s="377"/>
      <c r="F332" s="377"/>
      <c r="G332" s="178"/>
      <c r="H332" s="178"/>
      <c r="I332" s="179"/>
      <c r="J332" s="378"/>
      <c r="K332" s="377"/>
      <c r="L332" s="377"/>
      <c r="M332" s="377"/>
    </row>
    <row r="333" spans="3:13" s="180" customFormat="1" x14ac:dyDescent="0.25">
      <c r="C333" s="1367"/>
      <c r="D333" s="1368"/>
      <c r="E333" s="377"/>
      <c r="F333" s="377"/>
      <c r="G333" s="178"/>
      <c r="H333" s="178"/>
      <c r="I333" s="179"/>
      <c r="J333" s="378"/>
      <c r="K333" s="377"/>
      <c r="L333" s="377"/>
      <c r="M333" s="377"/>
    </row>
    <row r="334" spans="3:13" s="180" customFormat="1" x14ac:dyDescent="0.25">
      <c r="C334" s="1367"/>
      <c r="D334" s="1368"/>
      <c r="E334" s="377"/>
      <c r="F334" s="377"/>
      <c r="G334" s="178"/>
      <c r="H334" s="178"/>
      <c r="I334" s="179"/>
      <c r="J334" s="378"/>
      <c r="K334" s="377"/>
      <c r="L334" s="377"/>
      <c r="M334" s="377"/>
    </row>
    <row r="335" spans="3:13" s="180" customFormat="1" x14ac:dyDescent="0.25">
      <c r="C335" s="1367"/>
      <c r="D335" s="1368"/>
      <c r="E335" s="377"/>
      <c r="F335" s="377"/>
      <c r="G335" s="178"/>
      <c r="H335" s="178"/>
      <c r="I335" s="179"/>
      <c r="J335" s="378"/>
      <c r="K335" s="377"/>
      <c r="L335" s="377"/>
      <c r="M335" s="377"/>
    </row>
    <row r="336" spans="3:13" s="180" customFormat="1" x14ac:dyDescent="0.25">
      <c r="C336" s="1367"/>
      <c r="D336" s="1368"/>
      <c r="E336" s="377"/>
      <c r="F336" s="377"/>
      <c r="G336" s="178"/>
      <c r="H336" s="178"/>
      <c r="I336" s="179"/>
      <c r="J336" s="378"/>
      <c r="K336" s="377"/>
      <c r="L336" s="377"/>
      <c r="M336" s="377"/>
    </row>
    <row r="337" spans="3:13" s="180" customFormat="1" x14ac:dyDescent="0.25">
      <c r="C337" s="1367"/>
      <c r="D337" s="1368"/>
      <c r="E337" s="377"/>
      <c r="F337" s="377"/>
      <c r="G337" s="178"/>
      <c r="H337" s="178"/>
      <c r="I337" s="179"/>
      <c r="J337" s="378"/>
      <c r="K337" s="377"/>
      <c r="L337" s="377"/>
      <c r="M337" s="377"/>
    </row>
    <row r="338" spans="3:13" s="180" customFormat="1" x14ac:dyDescent="0.25">
      <c r="C338" s="1367"/>
      <c r="D338" s="1368"/>
      <c r="E338" s="377"/>
      <c r="F338" s="377"/>
      <c r="G338" s="178"/>
      <c r="H338" s="178"/>
      <c r="I338" s="179"/>
      <c r="J338" s="378"/>
      <c r="K338" s="377"/>
      <c r="L338" s="377"/>
      <c r="M338" s="377"/>
    </row>
    <row r="339" spans="3:13" s="180" customFormat="1" x14ac:dyDescent="0.25">
      <c r="C339" s="1367"/>
      <c r="D339" s="1368"/>
      <c r="E339" s="377"/>
      <c r="F339" s="377"/>
      <c r="G339" s="178"/>
      <c r="H339" s="178"/>
      <c r="I339" s="179"/>
      <c r="J339" s="378"/>
      <c r="K339" s="377"/>
      <c r="L339" s="377"/>
      <c r="M339" s="377"/>
    </row>
    <row r="340" spans="3:13" s="180" customFormat="1" x14ac:dyDescent="0.25">
      <c r="C340" s="1367"/>
      <c r="D340" s="1368"/>
      <c r="E340" s="377"/>
      <c r="F340" s="377"/>
      <c r="G340" s="178"/>
      <c r="H340" s="178"/>
      <c r="I340" s="179"/>
      <c r="J340" s="378"/>
      <c r="K340" s="377"/>
      <c r="L340" s="377"/>
      <c r="M340" s="377"/>
    </row>
    <row r="341" spans="3:13" s="180" customFormat="1" x14ac:dyDescent="0.25">
      <c r="C341" s="1367"/>
      <c r="D341" s="1368"/>
      <c r="E341" s="377"/>
      <c r="F341" s="377"/>
      <c r="G341" s="178"/>
      <c r="H341" s="178"/>
      <c r="I341" s="179"/>
      <c r="J341" s="378"/>
      <c r="K341" s="377"/>
      <c r="L341" s="377"/>
      <c r="M341" s="377"/>
    </row>
    <row r="342" spans="3:13" s="180" customFormat="1" x14ac:dyDescent="0.25">
      <c r="C342" s="1367"/>
      <c r="D342" s="1368"/>
      <c r="E342" s="377"/>
      <c r="F342" s="377"/>
      <c r="G342" s="178"/>
      <c r="H342" s="178"/>
      <c r="I342" s="179"/>
      <c r="J342" s="378"/>
      <c r="K342" s="377"/>
      <c r="L342" s="377"/>
      <c r="M342" s="377"/>
    </row>
    <row r="343" spans="3:13" s="180" customFormat="1" x14ac:dyDescent="0.25">
      <c r="C343" s="1367"/>
      <c r="D343" s="1368"/>
      <c r="E343" s="377"/>
      <c r="F343" s="377"/>
      <c r="G343" s="178"/>
      <c r="H343" s="178"/>
      <c r="I343" s="179"/>
      <c r="J343" s="378"/>
      <c r="K343" s="377"/>
      <c r="L343" s="377"/>
      <c r="M343" s="377"/>
    </row>
    <row r="344" spans="3:13" s="180" customFormat="1" x14ac:dyDescent="0.25">
      <c r="C344" s="1367"/>
      <c r="D344" s="1368"/>
      <c r="E344" s="377"/>
      <c r="F344" s="377"/>
      <c r="G344" s="178"/>
      <c r="H344" s="178"/>
      <c r="I344" s="179"/>
      <c r="J344" s="378"/>
      <c r="K344" s="377"/>
      <c r="L344" s="377"/>
      <c r="M344" s="377"/>
    </row>
    <row r="345" spans="3:13" s="180" customFormat="1" x14ac:dyDescent="0.25">
      <c r="C345" s="1367"/>
      <c r="D345" s="1368"/>
      <c r="E345" s="377"/>
      <c r="F345" s="377"/>
      <c r="G345" s="178"/>
      <c r="H345" s="178"/>
      <c r="I345" s="179"/>
      <c r="J345" s="378"/>
      <c r="K345" s="377"/>
      <c r="L345" s="377"/>
      <c r="M345" s="377"/>
    </row>
    <row r="346" spans="3:13" s="180" customFormat="1" x14ac:dyDescent="0.25">
      <c r="C346" s="1367"/>
      <c r="D346" s="1368"/>
      <c r="E346" s="377"/>
      <c r="F346" s="377"/>
      <c r="G346" s="178"/>
      <c r="H346" s="178"/>
      <c r="I346" s="179"/>
      <c r="J346" s="378"/>
      <c r="K346" s="377"/>
      <c r="L346" s="377"/>
      <c r="M346" s="377"/>
    </row>
    <row r="347" spans="3:13" s="180" customFormat="1" x14ac:dyDescent="0.25">
      <c r="C347" s="1367"/>
      <c r="D347" s="1368"/>
      <c r="E347" s="377"/>
      <c r="F347" s="377"/>
      <c r="G347" s="178"/>
      <c r="H347" s="178"/>
      <c r="I347" s="179"/>
      <c r="J347" s="378"/>
      <c r="K347" s="377"/>
      <c r="L347" s="377"/>
      <c r="M347" s="377"/>
    </row>
    <row r="348" spans="3:13" s="180" customFormat="1" x14ac:dyDescent="0.25">
      <c r="C348" s="1367"/>
      <c r="D348" s="1368"/>
      <c r="E348" s="377"/>
      <c r="F348" s="377"/>
      <c r="G348" s="178"/>
      <c r="H348" s="178"/>
      <c r="I348" s="179"/>
      <c r="J348" s="378"/>
      <c r="K348" s="377"/>
      <c r="L348" s="377"/>
      <c r="M348" s="377"/>
    </row>
    <row r="349" spans="3:13" s="180" customFormat="1" x14ac:dyDescent="0.25">
      <c r="C349" s="1367"/>
      <c r="D349" s="1368"/>
      <c r="E349" s="377"/>
      <c r="F349" s="377"/>
      <c r="G349" s="178"/>
      <c r="H349" s="178"/>
      <c r="I349" s="179"/>
      <c r="J349" s="378"/>
      <c r="K349" s="377"/>
      <c r="L349" s="377"/>
      <c r="M349" s="377"/>
    </row>
    <row r="350" spans="3:13" s="180" customFormat="1" x14ac:dyDescent="0.25">
      <c r="C350" s="1367"/>
      <c r="D350" s="1368"/>
      <c r="E350" s="377"/>
      <c r="F350" s="377"/>
      <c r="G350" s="178"/>
      <c r="H350" s="178"/>
      <c r="I350" s="179"/>
      <c r="J350" s="378"/>
      <c r="K350" s="377"/>
      <c r="L350" s="377"/>
      <c r="M350" s="377"/>
    </row>
    <row r="351" spans="3:13" s="180" customFormat="1" x14ac:dyDescent="0.25">
      <c r="C351" s="1367"/>
      <c r="D351" s="1368"/>
      <c r="E351" s="377"/>
      <c r="F351" s="377"/>
      <c r="G351" s="178"/>
      <c r="H351" s="178"/>
      <c r="I351" s="179"/>
      <c r="J351" s="378"/>
      <c r="K351" s="377"/>
      <c r="L351" s="377"/>
      <c r="M351" s="377"/>
    </row>
    <row r="352" spans="3:13" s="180" customFormat="1" x14ac:dyDescent="0.25">
      <c r="C352" s="1367"/>
      <c r="D352" s="1368"/>
      <c r="E352" s="377"/>
      <c r="F352" s="377"/>
      <c r="G352" s="178"/>
      <c r="H352" s="178"/>
      <c r="I352" s="179"/>
      <c r="J352" s="378"/>
      <c r="K352" s="377"/>
      <c r="L352" s="377"/>
      <c r="M352" s="377"/>
    </row>
    <row r="353" spans="3:13" s="180" customFormat="1" x14ac:dyDescent="0.25">
      <c r="C353" s="1367"/>
      <c r="D353" s="1368"/>
      <c r="E353" s="377"/>
      <c r="F353" s="377"/>
      <c r="G353" s="178"/>
      <c r="H353" s="178"/>
      <c r="I353" s="179"/>
      <c r="J353" s="378"/>
      <c r="K353" s="377"/>
      <c r="L353" s="377"/>
      <c r="M353" s="377"/>
    </row>
    <row r="354" spans="3:13" s="180" customFormat="1" x14ac:dyDescent="0.25">
      <c r="C354" s="1367"/>
      <c r="D354" s="1368"/>
      <c r="E354" s="377"/>
      <c r="F354" s="377"/>
      <c r="G354" s="178"/>
      <c r="H354" s="178"/>
      <c r="I354" s="179"/>
      <c r="J354" s="378"/>
      <c r="K354" s="377"/>
      <c r="L354" s="377"/>
      <c r="M354" s="377"/>
    </row>
    <row r="355" spans="3:13" s="180" customFormat="1" x14ac:dyDescent="0.25">
      <c r="C355" s="1367"/>
      <c r="D355" s="1368"/>
      <c r="E355" s="377"/>
      <c r="F355" s="377"/>
      <c r="G355" s="178"/>
      <c r="H355" s="178"/>
      <c r="I355" s="179"/>
      <c r="J355" s="378"/>
      <c r="K355" s="377"/>
      <c r="L355" s="377"/>
      <c r="M355" s="377"/>
    </row>
    <row r="356" spans="3:13" s="180" customFormat="1" x14ac:dyDescent="0.25">
      <c r="C356" s="1367"/>
      <c r="D356" s="1368"/>
      <c r="E356" s="377"/>
      <c r="F356" s="377"/>
      <c r="G356" s="178"/>
      <c r="H356" s="178"/>
      <c r="I356" s="179"/>
      <c r="J356" s="378"/>
      <c r="K356" s="377"/>
      <c r="L356" s="377"/>
      <c r="M356" s="377"/>
    </row>
    <row r="357" spans="3:13" s="180" customFormat="1" x14ac:dyDescent="0.25">
      <c r="C357" s="1367"/>
      <c r="D357" s="1368"/>
      <c r="E357" s="377"/>
      <c r="F357" s="377"/>
      <c r="G357" s="178"/>
      <c r="H357" s="178"/>
      <c r="I357" s="179"/>
      <c r="J357" s="378"/>
      <c r="K357" s="377"/>
      <c r="L357" s="377"/>
      <c r="M357" s="377"/>
    </row>
    <row r="358" spans="3:13" s="180" customFormat="1" x14ac:dyDescent="0.25">
      <c r="C358" s="1367"/>
      <c r="D358" s="1368"/>
      <c r="E358" s="377"/>
      <c r="F358" s="377"/>
      <c r="G358" s="178"/>
      <c r="H358" s="178"/>
      <c r="I358" s="179"/>
      <c r="J358" s="378"/>
      <c r="K358" s="377"/>
      <c r="L358" s="377"/>
      <c r="M358" s="377"/>
    </row>
    <row r="359" spans="3:13" s="180" customFormat="1" x14ac:dyDescent="0.25">
      <c r="C359" s="1367"/>
      <c r="D359" s="1368"/>
      <c r="E359" s="377"/>
      <c r="F359" s="377"/>
      <c r="G359" s="178"/>
      <c r="H359" s="178"/>
      <c r="I359" s="179"/>
      <c r="J359" s="378"/>
      <c r="K359" s="377"/>
      <c r="L359" s="377"/>
      <c r="M359" s="377"/>
    </row>
    <row r="360" spans="3:13" s="180" customFormat="1" x14ac:dyDescent="0.25">
      <c r="C360" s="1367"/>
      <c r="D360" s="1368"/>
      <c r="E360" s="377"/>
      <c r="F360" s="377"/>
      <c r="G360" s="178"/>
      <c r="H360" s="178"/>
      <c r="I360" s="179"/>
      <c r="J360" s="378"/>
      <c r="K360" s="377"/>
      <c r="L360" s="377"/>
      <c r="M360" s="377"/>
    </row>
    <row r="361" spans="3:13" s="180" customFormat="1" x14ac:dyDescent="0.25">
      <c r="C361" s="1367"/>
      <c r="D361" s="1368"/>
      <c r="E361" s="377"/>
      <c r="F361" s="377"/>
      <c r="G361" s="178"/>
      <c r="H361" s="178"/>
      <c r="I361" s="179"/>
      <c r="J361" s="378"/>
      <c r="K361" s="377"/>
      <c r="L361" s="377"/>
      <c r="M361" s="377"/>
    </row>
    <row r="362" spans="3:13" s="180" customFormat="1" x14ac:dyDescent="0.25">
      <c r="C362" s="1367"/>
      <c r="D362" s="1368"/>
      <c r="E362" s="377"/>
      <c r="F362" s="377"/>
      <c r="G362" s="178"/>
      <c r="H362" s="178"/>
      <c r="I362" s="179"/>
      <c r="J362" s="378"/>
      <c r="K362" s="377"/>
      <c r="L362" s="377"/>
      <c r="M362" s="377"/>
    </row>
    <row r="363" spans="3:13" s="180" customFormat="1" x14ac:dyDescent="0.25">
      <c r="C363" s="1367"/>
      <c r="D363" s="1368"/>
      <c r="E363" s="377"/>
      <c r="F363" s="377"/>
      <c r="G363" s="178"/>
      <c r="H363" s="178"/>
      <c r="I363" s="179"/>
      <c r="J363" s="378"/>
      <c r="K363" s="377"/>
      <c r="L363" s="377"/>
      <c r="M363" s="377"/>
    </row>
    <row r="364" spans="3:13" s="180" customFormat="1" x14ac:dyDescent="0.25">
      <c r="C364" s="1367"/>
      <c r="D364" s="1368"/>
      <c r="E364" s="377"/>
      <c r="F364" s="377"/>
      <c r="G364" s="178"/>
      <c r="H364" s="178"/>
      <c r="I364" s="179"/>
      <c r="J364" s="378"/>
      <c r="K364" s="377"/>
      <c r="L364" s="377"/>
      <c r="M364" s="377"/>
    </row>
    <row r="365" spans="3:13" s="180" customFormat="1" x14ac:dyDescent="0.25">
      <c r="C365" s="1367"/>
      <c r="D365" s="1368"/>
      <c r="E365" s="377"/>
      <c r="F365" s="377"/>
      <c r="G365" s="178"/>
      <c r="H365" s="178"/>
      <c r="I365" s="179"/>
      <c r="J365" s="378"/>
      <c r="K365" s="377"/>
      <c r="L365" s="377"/>
      <c r="M365" s="377"/>
    </row>
    <row r="366" spans="3:13" s="180" customFormat="1" x14ac:dyDescent="0.25">
      <c r="C366" s="1367"/>
      <c r="D366" s="1368"/>
      <c r="E366" s="377"/>
      <c r="F366" s="377"/>
      <c r="G366" s="178"/>
      <c r="H366" s="178"/>
      <c r="I366" s="179"/>
      <c r="J366" s="378"/>
      <c r="K366" s="377"/>
      <c r="L366" s="377"/>
      <c r="M366" s="377"/>
    </row>
    <row r="367" spans="3:13" s="180" customFormat="1" x14ac:dyDescent="0.25">
      <c r="C367" s="1367"/>
      <c r="D367" s="1368"/>
      <c r="E367" s="377"/>
      <c r="F367" s="377"/>
      <c r="G367" s="178"/>
      <c r="H367" s="178"/>
      <c r="I367" s="179"/>
      <c r="J367" s="378"/>
      <c r="K367" s="377"/>
      <c r="L367" s="377"/>
      <c r="M367" s="377"/>
    </row>
    <row r="368" spans="3:13" s="180" customFormat="1" x14ac:dyDescent="0.25">
      <c r="C368" s="1367"/>
      <c r="D368" s="1368"/>
      <c r="E368" s="377"/>
      <c r="F368" s="377"/>
      <c r="G368" s="178"/>
      <c r="H368" s="178"/>
      <c r="I368" s="179"/>
      <c r="J368" s="378"/>
      <c r="K368" s="377"/>
      <c r="L368" s="377"/>
      <c r="M368" s="377"/>
    </row>
    <row r="369" spans="3:13" s="180" customFormat="1" x14ac:dyDescent="0.25">
      <c r="C369" s="1367"/>
      <c r="D369" s="1368"/>
      <c r="E369" s="377"/>
      <c r="F369" s="377"/>
      <c r="G369" s="178"/>
      <c r="H369" s="178"/>
      <c r="I369" s="179"/>
      <c r="J369" s="378"/>
      <c r="K369" s="377"/>
      <c r="L369" s="377"/>
      <c r="M369" s="377"/>
    </row>
    <row r="370" spans="3:13" s="180" customFormat="1" x14ac:dyDescent="0.25">
      <c r="C370" s="1367"/>
      <c r="D370" s="1368"/>
      <c r="E370" s="377"/>
      <c r="F370" s="377"/>
      <c r="G370" s="178"/>
      <c r="H370" s="178"/>
      <c r="I370" s="179"/>
      <c r="J370" s="378"/>
      <c r="K370" s="377"/>
      <c r="L370" s="377"/>
      <c r="M370" s="377"/>
    </row>
    <row r="371" spans="3:13" s="180" customFormat="1" x14ac:dyDescent="0.25">
      <c r="C371" s="1367"/>
      <c r="D371" s="1368"/>
      <c r="E371" s="377"/>
      <c r="F371" s="377"/>
      <c r="G371" s="178"/>
      <c r="H371" s="178"/>
      <c r="I371" s="179"/>
      <c r="J371" s="378"/>
      <c r="K371" s="377"/>
      <c r="L371" s="377"/>
      <c r="M371" s="377"/>
    </row>
    <row r="372" spans="3:13" s="180" customFormat="1" x14ac:dyDescent="0.25">
      <c r="C372" s="1367"/>
      <c r="D372" s="1368"/>
      <c r="E372" s="377"/>
      <c r="F372" s="377"/>
      <c r="G372" s="178"/>
      <c r="H372" s="178"/>
      <c r="I372" s="179"/>
      <c r="J372" s="378"/>
      <c r="K372" s="377"/>
      <c r="L372" s="377"/>
      <c r="M372" s="377"/>
    </row>
    <row r="373" spans="3:13" s="180" customFormat="1" x14ac:dyDescent="0.25">
      <c r="C373" s="1367"/>
      <c r="D373" s="1368"/>
      <c r="E373" s="377"/>
      <c r="F373" s="377"/>
      <c r="G373" s="178"/>
      <c r="H373" s="178"/>
      <c r="I373" s="179"/>
      <c r="J373" s="378"/>
      <c r="K373" s="377"/>
      <c r="L373" s="377"/>
      <c r="M373" s="377"/>
    </row>
    <row r="374" spans="3:13" s="180" customFormat="1" x14ac:dyDescent="0.25">
      <c r="C374" s="1367"/>
      <c r="D374" s="1368"/>
      <c r="E374" s="377"/>
      <c r="F374" s="377"/>
      <c r="G374" s="178"/>
      <c r="H374" s="178"/>
      <c r="I374" s="179"/>
      <c r="J374" s="378"/>
      <c r="K374" s="377"/>
      <c r="L374" s="377"/>
      <c r="M374" s="377"/>
    </row>
    <row r="375" spans="3:13" s="180" customFormat="1" x14ac:dyDescent="0.25">
      <c r="C375" s="1367"/>
      <c r="D375" s="1368"/>
      <c r="E375" s="377"/>
      <c r="F375" s="377"/>
      <c r="G375" s="178"/>
      <c r="H375" s="178"/>
      <c r="I375" s="179"/>
      <c r="J375" s="378"/>
      <c r="K375" s="377"/>
      <c r="L375" s="377"/>
      <c r="M375" s="377"/>
    </row>
    <row r="376" spans="3:13" s="180" customFormat="1" x14ac:dyDescent="0.25">
      <c r="C376" s="1367"/>
      <c r="D376" s="1368"/>
      <c r="E376" s="377"/>
      <c r="F376" s="377"/>
      <c r="G376" s="178"/>
      <c r="H376" s="178"/>
      <c r="I376" s="179"/>
      <c r="J376" s="378"/>
      <c r="K376" s="377"/>
      <c r="L376" s="377"/>
      <c r="M376" s="377"/>
    </row>
    <row r="377" spans="3:13" s="180" customFormat="1" x14ac:dyDescent="0.25">
      <c r="C377" s="1367"/>
      <c r="D377" s="1368"/>
      <c r="E377" s="377"/>
      <c r="F377" s="377"/>
      <c r="G377" s="178"/>
      <c r="H377" s="178"/>
      <c r="I377" s="179"/>
      <c r="J377" s="378"/>
      <c r="K377" s="377"/>
      <c r="L377" s="377"/>
      <c r="M377" s="377"/>
    </row>
    <row r="378" spans="3:13" s="180" customFormat="1" x14ac:dyDescent="0.25">
      <c r="C378" s="1367"/>
      <c r="D378" s="1368"/>
      <c r="E378" s="377"/>
      <c r="F378" s="377"/>
      <c r="G378" s="178"/>
      <c r="H378" s="178"/>
      <c r="I378" s="179"/>
      <c r="J378" s="378"/>
      <c r="K378" s="377"/>
      <c r="L378" s="377"/>
      <c r="M378" s="377"/>
    </row>
    <row r="379" spans="3:13" s="180" customFormat="1" x14ac:dyDescent="0.25">
      <c r="C379" s="1367"/>
      <c r="D379" s="1368"/>
      <c r="E379" s="377"/>
      <c r="F379" s="377"/>
      <c r="G379" s="178"/>
      <c r="H379" s="178"/>
      <c r="I379" s="179"/>
      <c r="J379" s="378"/>
      <c r="K379" s="377"/>
      <c r="L379" s="377"/>
      <c r="M379" s="377"/>
    </row>
    <row r="380" spans="3:13" s="180" customFormat="1" x14ac:dyDescent="0.25">
      <c r="C380" s="1367"/>
      <c r="D380" s="1368"/>
      <c r="E380" s="377"/>
      <c r="F380" s="377"/>
      <c r="G380" s="178"/>
      <c r="H380" s="178"/>
      <c r="I380" s="179"/>
      <c r="J380" s="378"/>
      <c r="K380" s="377"/>
      <c r="L380" s="377"/>
      <c r="M380" s="377"/>
    </row>
    <row r="381" spans="3:13" s="180" customFormat="1" x14ac:dyDescent="0.25">
      <c r="C381" s="1367"/>
      <c r="D381" s="1368"/>
      <c r="E381" s="377"/>
      <c r="F381" s="377"/>
      <c r="G381" s="178"/>
      <c r="H381" s="178"/>
      <c r="I381" s="179"/>
      <c r="J381" s="378"/>
      <c r="K381" s="377"/>
      <c r="L381" s="377"/>
      <c r="M381" s="377"/>
    </row>
    <row r="382" spans="3:13" s="180" customFormat="1" x14ac:dyDescent="0.25">
      <c r="C382" s="1367"/>
      <c r="D382" s="1368"/>
      <c r="E382" s="377"/>
      <c r="F382" s="377"/>
      <c r="G382" s="178"/>
      <c r="H382" s="178"/>
      <c r="I382" s="179"/>
      <c r="J382" s="378"/>
      <c r="K382" s="377"/>
      <c r="L382" s="377"/>
      <c r="M382" s="377"/>
    </row>
    <row r="383" spans="3:13" s="180" customFormat="1" x14ac:dyDescent="0.25">
      <c r="C383" s="1367"/>
      <c r="D383" s="1368"/>
      <c r="E383" s="377"/>
      <c r="F383" s="377"/>
      <c r="G383" s="178"/>
      <c r="H383" s="178"/>
      <c r="I383" s="179"/>
      <c r="J383" s="378"/>
      <c r="K383" s="377"/>
      <c r="L383" s="377"/>
      <c r="M383" s="377"/>
    </row>
    <row r="384" spans="3:13" s="180" customFormat="1" x14ac:dyDescent="0.25">
      <c r="C384" s="1367"/>
      <c r="D384" s="1368"/>
      <c r="E384" s="377"/>
      <c r="F384" s="377"/>
      <c r="G384" s="178"/>
      <c r="H384" s="178"/>
      <c r="I384" s="179"/>
      <c r="J384" s="378"/>
      <c r="K384" s="377"/>
      <c r="L384" s="377"/>
      <c r="M384" s="377"/>
    </row>
    <row r="385" spans="3:13" s="180" customFormat="1" x14ac:dyDescent="0.25">
      <c r="C385" s="1367"/>
      <c r="D385" s="1368"/>
      <c r="E385" s="377"/>
      <c r="F385" s="377"/>
      <c r="G385" s="178"/>
      <c r="H385" s="178"/>
      <c r="I385" s="179"/>
      <c r="J385" s="378"/>
      <c r="K385" s="377"/>
      <c r="L385" s="377"/>
      <c r="M385" s="377"/>
    </row>
    <row r="386" spans="3:13" s="180" customFormat="1" x14ac:dyDescent="0.25">
      <c r="C386" s="1367"/>
      <c r="D386" s="1368"/>
      <c r="E386" s="377"/>
      <c r="F386" s="377"/>
      <c r="G386" s="178"/>
      <c r="H386" s="178"/>
      <c r="I386" s="179"/>
      <c r="J386" s="378"/>
      <c r="K386" s="377"/>
      <c r="L386" s="377"/>
      <c r="M386" s="377"/>
    </row>
    <row r="387" spans="3:13" s="180" customFormat="1" x14ac:dyDescent="0.25">
      <c r="C387" s="1367"/>
      <c r="D387" s="1368"/>
      <c r="E387" s="377"/>
      <c r="F387" s="377"/>
      <c r="G387" s="178"/>
      <c r="H387" s="178"/>
      <c r="I387" s="179"/>
      <c r="J387" s="378"/>
      <c r="K387" s="377"/>
      <c r="L387" s="377"/>
      <c r="M387" s="377"/>
    </row>
    <row r="388" spans="3:13" s="180" customFormat="1" x14ac:dyDescent="0.25">
      <c r="C388" s="1367"/>
      <c r="D388" s="1368"/>
      <c r="E388" s="377"/>
      <c r="F388" s="377"/>
      <c r="G388" s="178"/>
      <c r="H388" s="178"/>
      <c r="I388" s="179"/>
      <c r="J388" s="378"/>
      <c r="K388" s="377"/>
      <c r="L388" s="377"/>
      <c r="M388" s="377"/>
    </row>
    <row r="389" spans="3:13" s="180" customFormat="1" x14ac:dyDescent="0.25">
      <c r="C389" s="1367"/>
      <c r="D389" s="1368"/>
      <c r="E389" s="377"/>
      <c r="F389" s="377"/>
      <c r="G389" s="178"/>
      <c r="H389" s="178"/>
      <c r="I389" s="179"/>
      <c r="J389" s="378"/>
      <c r="K389" s="377"/>
      <c r="L389" s="377"/>
      <c r="M389" s="377"/>
    </row>
    <row r="390" spans="3:13" s="180" customFormat="1" x14ac:dyDescent="0.25">
      <c r="C390" s="1367"/>
      <c r="D390" s="1368"/>
      <c r="E390" s="377"/>
      <c r="F390" s="377"/>
      <c r="G390" s="178"/>
      <c r="H390" s="178"/>
      <c r="I390" s="179"/>
      <c r="J390" s="378"/>
      <c r="K390" s="377"/>
      <c r="L390" s="377"/>
      <c r="M390" s="377"/>
    </row>
    <row r="391" spans="3:13" s="180" customFormat="1" x14ac:dyDescent="0.25">
      <c r="C391" s="1367"/>
      <c r="D391" s="1368"/>
      <c r="E391" s="377"/>
      <c r="F391" s="377"/>
      <c r="G391" s="178"/>
      <c r="H391" s="178"/>
      <c r="I391" s="179"/>
      <c r="J391" s="378"/>
      <c r="K391" s="377"/>
      <c r="L391" s="377"/>
      <c r="M391" s="377"/>
    </row>
    <row r="392" spans="3:13" s="180" customFormat="1" x14ac:dyDescent="0.25">
      <c r="C392" s="1367"/>
      <c r="D392" s="1368"/>
      <c r="E392" s="377"/>
      <c r="F392" s="377"/>
      <c r="G392" s="178"/>
      <c r="H392" s="178"/>
      <c r="I392" s="179"/>
      <c r="J392" s="378"/>
      <c r="K392" s="377"/>
      <c r="L392" s="377"/>
      <c r="M392" s="377"/>
    </row>
    <row r="393" spans="3:13" s="180" customFormat="1" x14ac:dyDescent="0.25">
      <c r="C393" s="1367"/>
      <c r="D393" s="1368"/>
      <c r="E393" s="377"/>
      <c r="F393" s="377"/>
      <c r="G393" s="178"/>
      <c r="H393" s="178"/>
      <c r="I393" s="179"/>
      <c r="J393" s="378"/>
      <c r="K393" s="377"/>
      <c r="L393" s="377"/>
      <c r="M393" s="377"/>
    </row>
    <row r="394" spans="3:13" s="180" customFormat="1" x14ac:dyDescent="0.25">
      <c r="C394" s="1367"/>
      <c r="D394" s="1368"/>
      <c r="E394" s="377"/>
      <c r="F394" s="377"/>
      <c r="G394" s="178"/>
      <c r="H394" s="178"/>
      <c r="I394" s="179"/>
      <c r="J394" s="378"/>
      <c r="K394" s="377"/>
      <c r="L394" s="377"/>
      <c r="M394" s="377"/>
    </row>
    <row r="395" spans="3:13" s="180" customFormat="1" x14ac:dyDescent="0.25">
      <c r="C395" s="1367"/>
      <c r="D395" s="1368"/>
      <c r="E395" s="377"/>
      <c r="F395" s="377"/>
      <c r="G395" s="178"/>
      <c r="H395" s="178"/>
      <c r="I395" s="179"/>
      <c r="J395" s="378"/>
      <c r="K395" s="377"/>
      <c r="L395" s="377"/>
      <c r="M395" s="377"/>
    </row>
    <row r="396" spans="3:13" s="180" customFormat="1" x14ac:dyDescent="0.25">
      <c r="C396" s="1367"/>
      <c r="D396" s="1368"/>
      <c r="E396" s="377"/>
      <c r="F396" s="377"/>
      <c r="G396" s="178"/>
      <c r="H396" s="178"/>
      <c r="I396" s="179"/>
      <c r="J396" s="378"/>
      <c r="K396" s="377"/>
      <c r="L396" s="377"/>
      <c r="M396" s="377"/>
    </row>
    <row r="397" spans="3:13" s="180" customFormat="1" x14ac:dyDescent="0.25">
      <c r="C397" s="1367"/>
      <c r="D397" s="1368"/>
      <c r="E397" s="377"/>
      <c r="F397" s="377"/>
      <c r="G397" s="178"/>
      <c r="H397" s="178"/>
      <c r="I397" s="179"/>
      <c r="J397" s="378"/>
      <c r="K397" s="377"/>
      <c r="L397" s="377"/>
      <c r="M397" s="377"/>
    </row>
    <row r="398" spans="3:13" s="180" customFormat="1" x14ac:dyDescent="0.25">
      <c r="C398" s="1367"/>
      <c r="D398" s="1368"/>
      <c r="E398" s="377"/>
      <c r="F398" s="377"/>
      <c r="G398" s="178"/>
      <c r="H398" s="178"/>
      <c r="I398" s="179"/>
      <c r="J398" s="378"/>
      <c r="K398" s="377"/>
      <c r="L398" s="377"/>
      <c r="M398" s="377"/>
    </row>
    <row r="399" spans="3:13" s="180" customFormat="1" x14ac:dyDescent="0.25">
      <c r="C399" s="1367"/>
      <c r="D399" s="1368"/>
      <c r="E399" s="377"/>
      <c r="F399" s="377"/>
      <c r="G399" s="178"/>
      <c r="H399" s="178"/>
      <c r="I399" s="179"/>
      <c r="J399" s="378"/>
      <c r="K399" s="377"/>
      <c r="L399" s="377"/>
      <c r="M399" s="377"/>
    </row>
    <row r="400" spans="3:13" s="180" customFormat="1" x14ac:dyDescent="0.25">
      <c r="C400" s="1367"/>
      <c r="D400" s="1368"/>
      <c r="E400" s="377"/>
      <c r="F400" s="377"/>
      <c r="G400" s="178"/>
      <c r="H400" s="178"/>
      <c r="I400" s="179"/>
      <c r="J400" s="378"/>
      <c r="K400" s="377"/>
      <c r="L400" s="377"/>
      <c r="M400" s="377"/>
    </row>
    <row r="401" spans="3:13" s="180" customFormat="1" x14ac:dyDescent="0.25">
      <c r="C401" s="1367"/>
      <c r="D401" s="1368"/>
      <c r="E401" s="377"/>
      <c r="F401" s="377"/>
      <c r="G401" s="178"/>
      <c r="H401" s="178"/>
      <c r="I401" s="179"/>
      <c r="J401" s="378"/>
      <c r="K401" s="377"/>
      <c r="L401" s="377"/>
      <c r="M401" s="377"/>
    </row>
    <row r="402" spans="3:13" s="180" customFormat="1" x14ac:dyDescent="0.25">
      <c r="C402" s="1367"/>
      <c r="D402" s="1368"/>
      <c r="E402" s="377"/>
      <c r="F402" s="377"/>
      <c r="G402" s="178"/>
      <c r="H402" s="178"/>
      <c r="I402" s="179"/>
      <c r="J402" s="378"/>
      <c r="K402" s="377"/>
      <c r="L402" s="377"/>
      <c r="M402" s="377"/>
    </row>
    <row r="403" spans="3:13" s="180" customFormat="1" x14ac:dyDescent="0.25">
      <c r="C403" s="1367"/>
      <c r="D403" s="1368"/>
      <c r="E403" s="377"/>
      <c r="F403" s="377"/>
      <c r="G403" s="178"/>
      <c r="H403" s="178"/>
      <c r="I403" s="179"/>
      <c r="J403" s="378"/>
      <c r="K403" s="377"/>
      <c r="L403" s="377"/>
      <c r="M403" s="377"/>
    </row>
    <row r="404" spans="3:13" s="180" customFormat="1" x14ac:dyDescent="0.25">
      <c r="C404" s="1367"/>
      <c r="D404" s="1368"/>
      <c r="E404" s="377"/>
      <c r="F404" s="377"/>
      <c r="G404" s="178"/>
      <c r="H404" s="178"/>
      <c r="I404" s="179"/>
      <c r="J404" s="378"/>
      <c r="K404" s="377"/>
      <c r="L404" s="377"/>
      <c r="M404" s="377"/>
    </row>
    <row r="405" spans="3:13" s="180" customFormat="1" x14ac:dyDescent="0.25">
      <c r="C405" s="1367"/>
      <c r="D405" s="1368"/>
      <c r="E405" s="377"/>
      <c r="F405" s="377"/>
      <c r="G405" s="178"/>
      <c r="H405" s="178"/>
      <c r="I405" s="179"/>
      <c r="J405" s="378"/>
      <c r="K405" s="377"/>
      <c r="L405" s="377"/>
      <c r="M405" s="377"/>
    </row>
    <row r="406" spans="3:13" s="180" customFormat="1" x14ac:dyDescent="0.25">
      <c r="C406" s="1367"/>
      <c r="D406" s="1368"/>
      <c r="E406" s="377"/>
      <c r="F406" s="377"/>
      <c r="G406" s="178"/>
      <c r="H406" s="178"/>
      <c r="I406" s="179"/>
      <c r="J406" s="378"/>
      <c r="K406" s="377"/>
      <c r="L406" s="377"/>
      <c r="M406" s="377"/>
    </row>
    <row r="407" spans="3:13" s="180" customFormat="1" x14ac:dyDescent="0.25">
      <c r="C407" s="1367"/>
      <c r="D407" s="1368"/>
      <c r="E407" s="377"/>
      <c r="F407" s="377"/>
      <c r="G407" s="178"/>
      <c r="H407" s="178"/>
      <c r="I407" s="179"/>
      <c r="J407" s="378"/>
      <c r="K407" s="377"/>
      <c r="L407" s="377"/>
      <c r="M407" s="377"/>
    </row>
    <row r="408" spans="3:13" s="180" customFormat="1" x14ac:dyDescent="0.25">
      <c r="C408" s="1367"/>
      <c r="D408" s="1368"/>
      <c r="E408" s="377"/>
      <c r="F408" s="377"/>
      <c r="G408" s="178"/>
      <c r="H408" s="178"/>
      <c r="I408" s="179"/>
      <c r="J408" s="378"/>
      <c r="K408" s="377"/>
      <c r="L408" s="377"/>
      <c r="M408" s="377"/>
    </row>
    <row r="409" spans="3:13" s="180" customFormat="1" x14ac:dyDescent="0.25">
      <c r="C409" s="1367"/>
      <c r="D409" s="1368"/>
      <c r="E409" s="377"/>
      <c r="F409" s="377"/>
      <c r="G409" s="178"/>
      <c r="H409" s="178"/>
      <c r="I409" s="179"/>
      <c r="J409" s="378"/>
      <c r="K409" s="377"/>
      <c r="L409" s="377"/>
      <c r="M409" s="377"/>
    </row>
    <row r="410" spans="3:13" s="180" customFormat="1" x14ac:dyDescent="0.25">
      <c r="C410" s="1367"/>
      <c r="D410" s="1368"/>
      <c r="E410" s="377"/>
      <c r="F410" s="377"/>
      <c r="G410" s="178"/>
      <c r="H410" s="178"/>
      <c r="I410" s="179"/>
      <c r="J410" s="378"/>
      <c r="K410" s="377"/>
      <c r="L410" s="377"/>
      <c r="M410" s="377"/>
    </row>
    <row r="411" spans="3:13" s="180" customFormat="1" x14ac:dyDescent="0.25">
      <c r="C411" s="1367"/>
      <c r="D411" s="1368"/>
      <c r="E411" s="377"/>
      <c r="F411" s="377"/>
      <c r="G411" s="178"/>
      <c r="H411" s="178"/>
      <c r="I411" s="179"/>
      <c r="J411" s="378"/>
      <c r="K411" s="377"/>
      <c r="L411" s="377"/>
      <c r="M411" s="377"/>
    </row>
    <row r="412" spans="3:13" s="180" customFormat="1" x14ac:dyDescent="0.25">
      <c r="C412" s="1367"/>
      <c r="D412" s="1368"/>
      <c r="E412" s="377"/>
      <c r="F412" s="377"/>
      <c r="G412" s="178"/>
      <c r="H412" s="178"/>
      <c r="I412" s="179"/>
      <c r="J412" s="378"/>
      <c r="K412" s="377"/>
      <c r="L412" s="377"/>
      <c r="M412" s="377"/>
    </row>
    <row r="413" spans="3:13" s="180" customFormat="1" x14ac:dyDescent="0.25">
      <c r="C413" s="1367"/>
      <c r="D413" s="1368"/>
      <c r="E413" s="377"/>
      <c r="F413" s="377"/>
      <c r="G413" s="178"/>
      <c r="H413" s="178"/>
      <c r="I413" s="179"/>
      <c r="J413" s="378"/>
      <c r="K413" s="377"/>
      <c r="L413" s="377"/>
      <c r="M413" s="377"/>
    </row>
    <row r="414" spans="3:13" s="180" customFormat="1" x14ac:dyDescent="0.25">
      <c r="C414" s="1367"/>
      <c r="D414" s="1368"/>
      <c r="E414" s="377"/>
      <c r="F414" s="377"/>
      <c r="G414" s="178"/>
      <c r="H414" s="178"/>
      <c r="I414" s="179"/>
      <c r="J414" s="378"/>
      <c r="K414" s="377"/>
      <c r="L414" s="377"/>
      <c r="M414" s="377"/>
    </row>
    <row r="415" spans="3:13" s="180" customFormat="1" x14ac:dyDescent="0.25">
      <c r="C415" s="1367"/>
      <c r="D415" s="1368"/>
      <c r="E415" s="377"/>
      <c r="F415" s="377"/>
      <c r="G415" s="178"/>
      <c r="H415" s="178"/>
      <c r="I415" s="179"/>
      <c r="J415" s="378"/>
      <c r="K415" s="377"/>
      <c r="L415" s="377"/>
      <c r="M415" s="377"/>
    </row>
    <row r="416" spans="3:13" s="180" customFormat="1" x14ac:dyDescent="0.25">
      <c r="C416" s="1367"/>
      <c r="D416" s="1368"/>
      <c r="E416" s="377"/>
      <c r="F416" s="377"/>
      <c r="G416" s="178"/>
      <c r="H416" s="178"/>
      <c r="I416" s="179"/>
      <c r="J416" s="378"/>
      <c r="K416" s="377"/>
      <c r="L416" s="377"/>
      <c r="M416" s="377"/>
    </row>
    <row r="417" spans="3:13" s="180" customFormat="1" x14ac:dyDescent="0.25">
      <c r="C417" s="1367"/>
      <c r="D417" s="1368"/>
      <c r="E417" s="377"/>
      <c r="F417" s="377"/>
      <c r="G417" s="178"/>
      <c r="H417" s="178"/>
      <c r="I417" s="179"/>
      <c r="J417" s="378"/>
      <c r="K417" s="377"/>
      <c r="L417" s="377"/>
      <c r="M417" s="377"/>
    </row>
    <row r="418" spans="3:13" s="180" customFormat="1" x14ac:dyDescent="0.25">
      <c r="C418" s="1367"/>
      <c r="D418" s="1368"/>
      <c r="E418" s="377"/>
      <c r="F418" s="377"/>
      <c r="G418" s="178"/>
      <c r="H418" s="178"/>
      <c r="I418" s="179"/>
      <c r="J418" s="378"/>
      <c r="K418" s="377"/>
      <c r="L418" s="377"/>
      <c r="M418" s="377"/>
    </row>
    <row r="419" spans="3:13" s="180" customFormat="1" x14ac:dyDescent="0.25">
      <c r="C419" s="1367"/>
      <c r="D419" s="1368"/>
      <c r="E419" s="377"/>
      <c r="F419" s="377"/>
      <c r="G419" s="178"/>
      <c r="H419" s="178"/>
      <c r="I419" s="179"/>
      <c r="J419" s="378"/>
      <c r="K419" s="377"/>
      <c r="L419" s="377"/>
      <c r="M419" s="377"/>
    </row>
    <row r="420" spans="3:13" s="180" customFormat="1" x14ac:dyDescent="0.25">
      <c r="C420" s="1367"/>
      <c r="D420" s="1368"/>
      <c r="E420" s="377"/>
      <c r="F420" s="377"/>
      <c r="G420" s="178"/>
      <c r="H420" s="178"/>
      <c r="I420" s="179"/>
      <c r="J420" s="378"/>
      <c r="K420" s="377"/>
      <c r="L420" s="377"/>
      <c r="M420" s="377"/>
    </row>
    <row r="421" spans="3:13" s="180" customFormat="1" x14ac:dyDescent="0.25">
      <c r="C421" s="1367"/>
      <c r="D421" s="1368"/>
      <c r="E421" s="377"/>
      <c r="F421" s="377"/>
      <c r="G421" s="178"/>
      <c r="H421" s="178"/>
      <c r="I421" s="179"/>
      <c r="J421" s="378"/>
      <c r="K421" s="377"/>
      <c r="L421" s="377"/>
      <c r="M421" s="377"/>
    </row>
    <row r="422" spans="3:13" s="180" customFormat="1" x14ac:dyDescent="0.25">
      <c r="C422" s="1367"/>
      <c r="D422" s="1368"/>
      <c r="E422" s="377"/>
      <c r="F422" s="377"/>
      <c r="G422" s="178"/>
      <c r="H422" s="178"/>
      <c r="I422" s="179"/>
      <c r="J422" s="378"/>
      <c r="K422" s="377"/>
      <c r="L422" s="377"/>
      <c r="M422" s="377"/>
    </row>
    <row r="423" spans="3:13" s="180" customFormat="1" x14ac:dyDescent="0.25">
      <c r="C423" s="1367"/>
      <c r="D423" s="1368"/>
      <c r="E423" s="377"/>
      <c r="F423" s="377"/>
      <c r="G423" s="178"/>
      <c r="H423" s="178"/>
      <c r="I423" s="179"/>
      <c r="J423" s="378"/>
      <c r="K423" s="377"/>
      <c r="L423" s="377"/>
      <c r="M423" s="377"/>
    </row>
    <row r="424" spans="3:13" s="180" customFormat="1" x14ac:dyDescent="0.25">
      <c r="C424" s="1367"/>
      <c r="D424" s="1368"/>
      <c r="E424" s="377"/>
      <c r="F424" s="377"/>
      <c r="G424" s="178"/>
      <c r="H424" s="178"/>
      <c r="I424" s="179"/>
      <c r="J424" s="378"/>
      <c r="K424" s="377"/>
      <c r="L424" s="377"/>
      <c r="M424" s="377"/>
    </row>
    <row r="425" spans="3:13" s="180" customFormat="1" x14ac:dyDescent="0.25">
      <c r="C425" s="1367"/>
      <c r="D425" s="1368"/>
      <c r="E425" s="377"/>
      <c r="F425" s="377"/>
      <c r="G425" s="178"/>
      <c r="H425" s="178"/>
      <c r="I425" s="179"/>
      <c r="J425" s="378"/>
      <c r="K425" s="377"/>
      <c r="L425" s="377"/>
      <c r="M425" s="377"/>
    </row>
    <row r="426" spans="3:13" s="180" customFormat="1" x14ac:dyDescent="0.25">
      <c r="C426" s="1367"/>
      <c r="D426" s="1368"/>
      <c r="E426" s="377"/>
      <c r="F426" s="377"/>
      <c r="G426" s="178"/>
      <c r="H426" s="178"/>
      <c r="I426" s="179"/>
      <c r="J426" s="378"/>
      <c r="K426" s="377"/>
      <c r="L426" s="377"/>
      <c r="M426" s="377"/>
    </row>
    <row r="427" spans="3:13" s="180" customFormat="1" x14ac:dyDescent="0.25">
      <c r="C427" s="1367"/>
      <c r="D427" s="1368"/>
      <c r="E427" s="377"/>
      <c r="F427" s="377"/>
      <c r="G427" s="178"/>
      <c r="H427" s="178"/>
      <c r="I427" s="179"/>
      <c r="J427" s="378"/>
      <c r="K427" s="377"/>
      <c r="L427" s="377"/>
      <c r="M427" s="377"/>
    </row>
    <row r="428" spans="3:13" s="180" customFormat="1" x14ac:dyDescent="0.25">
      <c r="C428" s="1367"/>
      <c r="D428" s="1368"/>
      <c r="E428" s="377"/>
      <c r="F428" s="377"/>
      <c r="G428" s="178"/>
      <c r="H428" s="178"/>
      <c r="I428" s="179"/>
      <c r="J428" s="378"/>
      <c r="K428" s="377"/>
      <c r="L428" s="377"/>
      <c r="M428" s="377"/>
    </row>
    <row r="429" spans="3:13" s="180" customFormat="1" x14ac:dyDescent="0.25">
      <c r="C429" s="1367"/>
      <c r="D429" s="1368"/>
      <c r="E429" s="377"/>
      <c r="F429" s="377"/>
      <c r="G429" s="178"/>
      <c r="H429" s="178"/>
      <c r="I429" s="179"/>
      <c r="J429" s="378"/>
      <c r="K429" s="377"/>
      <c r="L429" s="377"/>
      <c r="M429" s="377"/>
    </row>
    <row r="430" spans="3:13" s="180" customFormat="1" x14ac:dyDescent="0.25">
      <c r="C430" s="1367"/>
      <c r="D430" s="1368"/>
      <c r="E430" s="377"/>
      <c r="F430" s="377"/>
      <c r="G430" s="178"/>
      <c r="H430" s="178"/>
      <c r="I430" s="179"/>
      <c r="J430" s="378"/>
      <c r="K430" s="377"/>
      <c r="L430" s="377"/>
      <c r="M430" s="377"/>
    </row>
    <row r="431" spans="3:13" s="180" customFormat="1" x14ac:dyDescent="0.25">
      <c r="C431" s="1367"/>
      <c r="D431" s="1368"/>
      <c r="E431" s="377"/>
      <c r="F431" s="377"/>
      <c r="G431" s="178"/>
      <c r="H431" s="178"/>
      <c r="I431" s="179"/>
      <c r="J431" s="378"/>
      <c r="K431" s="377"/>
      <c r="L431" s="377"/>
      <c r="M431" s="377"/>
    </row>
    <row r="432" spans="3:13" s="180" customFormat="1" x14ac:dyDescent="0.25">
      <c r="C432" s="1367"/>
      <c r="D432" s="1368"/>
      <c r="E432" s="377"/>
      <c r="F432" s="377"/>
      <c r="G432" s="178"/>
      <c r="H432" s="178"/>
      <c r="I432" s="179"/>
      <c r="J432" s="378"/>
      <c r="K432" s="377"/>
      <c r="L432" s="377"/>
      <c r="M432" s="377"/>
    </row>
    <row r="433" spans="3:13" s="180" customFormat="1" x14ac:dyDescent="0.25">
      <c r="C433" s="1367"/>
      <c r="D433" s="1368"/>
      <c r="E433" s="377"/>
      <c r="F433" s="377"/>
      <c r="G433" s="178"/>
      <c r="H433" s="178"/>
      <c r="I433" s="179"/>
      <c r="J433" s="378"/>
      <c r="K433" s="377"/>
      <c r="L433" s="377"/>
      <c r="M433" s="377"/>
    </row>
    <row r="434" spans="3:13" s="180" customFormat="1" x14ac:dyDescent="0.25">
      <c r="C434" s="1367"/>
      <c r="D434" s="1368"/>
      <c r="E434" s="377"/>
      <c r="F434" s="377"/>
      <c r="G434" s="178"/>
      <c r="H434" s="178"/>
      <c r="I434" s="179"/>
      <c r="J434" s="378"/>
      <c r="K434" s="377"/>
      <c r="L434" s="377"/>
      <c r="M434" s="377"/>
    </row>
    <row r="435" spans="3:13" s="180" customFormat="1" x14ac:dyDescent="0.25">
      <c r="C435" s="1367"/>
      <c r="D435" s="1368"/>
      <c r="E435" s="377"/>
      <c r="F435" s="377"/>
      <c r="G435" s="178"/>
      <c r="H435" s="178"/>
      <c r="I435" s="179"/>
      <c r="J435" s="378"/>
      <c r="K435" s="377"/>
      <c r="L435" s="377"/>
      <c r="M435" s="377"/>
    </row>
    <row r="436" spans="3:13" s="180" customFormat="1" x14ac:dyDescent="0.25">
      <c r="C436" s="1367"/>
      <c r="D436" s="1368"/>
      <c r="E436" s="377"/>
      <c r="F436" s="377"/>
      <c r="G436" s="178"/>
      <c r="H436" s="178"/>
      <c r="I436" s="179"/>
      <c r="J436" s="378"/>
      <c r="K436" s="377"/>
      <c r="L436" s="377"/>
      <c r="M436" s="377"/>
    </row>
    <row r="437" spans="3:13" s="180" customFormat="1" x14ac:dyDescent="0.25">
      <c r="C437" s="1367"/>
      <c r="D437" s="1368"/>
      <c r="E437" s="377"/>
      <c r="F437" s="377"/>
      <c r="G437" s="178"/>
      <c r="H437" s="178"/>
      <c r="I437" s="179"/>
      <c r="J437" s="378"/>
      <c r="K437" s="377"/>
      <c r="L437" s="377"/>
      <c r="M437" s="377"/>
    </row>
    <row r="438" spans="3:13" s="180" customFormat="1" x14ac:dyDescent="0.25">
      <c r="C438" s="1367"/>
      <c r="D438" s="1368"/>
      <c r="E438" s="377"/>
      <c r="F438" s="377"/>
      <c r="G438" s="178"/>
      <c r="H438" s="178"/>
      <c r="I438" s="179"/>
      <c r="J438" s="378"/>
      <c r="K438" s="377"/>
      <c r="L438" s="377"/>
      <c r="M438" s="377"/>
    </row>
    <row r="439" spans="3:13" s="180" customFormat="1" x14ac:dyDescent="0.25">
      <c r="C439" s="1367"/>
      <c r="D439" s="1368"/>
      <c r="E439" s="377"/>
      <c r="F439" s="377"/>
      <c r="G439" s="178"/>
      <c r="H439" s="178"/>
      <c r="I439" s="179"/>
      <c r="J439" s="378"/>
      <c r="K439" s="377"/>
      <c r="L439" s="377"/>
      <c r="M439" s="377"/>
    </row>
    <row r="440" spans="3:13" s="180" customFormat="1" x14ac:dyDescent="0.25">
      <c r="C440" s="1367"/>
      <c r="D440" s="1368"/>
      <c r="E440" s="377"/>
      <c r="F440" s="377"/>
      <c r="G440" s="178"/>
      <c r="H440" s="178"/>
      <c r="I440" s="179"/>
      <c r="J440" s="378"/>
      <c r="K440" s="377"/>
      <c r="L440" s="377"/>
      <c r="M440" s="377"/>
    </row>
    <row r="441" spans="3:13" s="180" customFormat="1" x14ac:dyDescent="0.25">
      <c r="C441" s="1367"/>
      <c r="D441" s="1368"/>
      <c r="E441" s="377"/>
      <c r="F441" s="377"/>
      <c r="G441" s="178"/>
      <c r="H441" s="178"/>
      <c r="I441" s="179"/>
      <c r="J441" s="378"/>
      <c r="K441" s="377"/>
      <c r="L441" s="377"/>
      <c r="M441" s="377"/>
    </row>
    <row r="442" spans="3:13" s="180" customFormat="1" x14ac:dyDescent="0.25">
      <c r="C442" s="1367"/>
      <c r="D442" s="1368"/>
      <c r="E442" s="377"/>
      <c r="F442" s="377"/>
      <c r="G442" s="178"/>
      <c r="H442" s="178"/>
      <c r="I442" s="179"/>
      <c r="J442" s="378"/>
      <c r="K442" s="377"/>
      <c r="L442" s="377"/>
      <c r="M442" s="377"/>
    </row>
    <row r="443" spans="3:13" s="180" customFormat="1" x14ac:dyDescent="0.25">
      <c r="C443" s="1367"/>
      <c r="D443" s="1368"/>
      <c r="E443" s="377"/>
      <c r="F443" s="377"/>
      <c r="G443" s="178"/>
      <c r="H443" s="178"/>
      <c r="I443" s="179"/>
      <c r="J443" s="378"/>
      <c r="K443" s="377"/>
      <c r="L443" s="377"/>
      <c r="M443" s="377"/>
    </row>
    <row r="444" spans="3:13" s="180" customFormat="1" x14ac:dyDescent="0.25">
      <c r="C444" s="1367"/>
      <c r="D444" s="1368"/>
      <c r="E444" s="377"/>
      <c r="F444" s="377"/>
      <c r="G444" s="178"/>
      <c r="H444" s="178"/>
      <c r="I444" s="179"/>
      <c r="J444" s="378"/>
      <c r="K444" s="377"/>
      <c r="L444" s="377"/>
      <c r="M444" s="377"/>
    </row>
    <row r="445" spans="3:13" s="180" customFormat="1" x14ac:dyDescent="0.25">
      <c r="C445" s="1367"/>
      <c r="D445" s="1368"/>
      <c r="E445" s="377"/>
      <c r="F445" s="377"/>
      <c r="G445" s="178"/>
      <c r="H445" s="178"/>
      <c r="I445" s="179"/>
      <c r="J445" s="378"/>
      <c r="K445" s="377"/>
      <c r="L445" s="377"/>
      <c r="M445" s="377"/>
    </row>
    <row r="446" spans="3:13" s="180" customFormat="1" x14ac:dyDescent="0.25">
      <c r="C446" s="1367"/>
      <c r="D446" s="1368"/>
      <c r="E446" s="377"/>
      <c r="F446" s="377"/>
      <c r="G446" s="178"/>
      <c r="H446" s="178"/>
      <c r="I446" s="179"/>
      <c r="J446" s="378"/>
      <c r="K446" s="377"/>
      <c r="L446" s="377"/>
      <c r="M446" s="377"/>
    </row>
    <row r="447" spans="3:13" s="180" customFormat="1" x14ac:dyDescent="0.25">
      <c r="C447" s="1367"/>
      <c r="D447" s="1368"/>
      <c r="E447" s="377"/>
      <c r="F447" s="377"/>
      <c r="G447" s="178"/>
      <c r="H447" s="178"/>
      <c r="I447" s="179"/>
      <c r="J447" s="378"/>
      <c r="K447" s="377"/>
      <c r="L447" s="377"/>
      <c r="M447" s="377"/>
    </row>
    <row r="448" spans="3:13" s="180" customFormat="1" x14ac:dyDescent="0.25">
      <c r="C448" s="1367"/>
      <c r="D448" s="1368"/>
      <c r="E448" s="377"/>
      <c r="F448" s="377"/>
      <c r="G448" s="178"/>
      <c r="H448" s="178"/>
      <c r="I448" s="179"/>
      <c r="J448" s="378"/>
      <c r="K448" s="377"/>
      <c r="L448" s="377"/>
      <c r="M448" s="377"/>
    </row>
    <row r="449" spans="3:13" s="180" customFormat="1" x14ac:dyDescent="0.25">
      <c r="C449" s="1367"/>
      <c r="D449" s="1368"/>
      <c r="E449" s="377"/>
      <c r="F449" s="377"/>
      <c r="G449" s="178"/>
      <c r="H449" s="178"/>
      <c r="I449" s="179"/>
      <c r="J449" s="378"/>
      <c r="K449" s="377"/>
      <c r="L449" s="377"/>
      <c r="M449" s="377"/>
    </row>
    <row r="450" spans="3:13" s="180" customFormat="1" x14ac:dyDescent="0.25">
      <c r="C450" s="1367"/>
      <c r="D450" s="1368"/>
      <c r="E450" s="377"/>
      <c r="F450" s="377"/>
      <c r="G450" s="178"/>
      <c r="H450" s="178"/>
      <c r="I450" s="179"/>
      <c r="J450" s="378"/>
      <c r="K450" s="377"/>
      <c r="L450" s="377"/>
      <c r="M450" s="377"/>
    </row>
    <row r="451" spans="3:13" s="180" customFormat="1" x14ac:dyDescent="0.25">
      <c r="C451" s="1367"/>
      <c r="D451" s="1368"/>
      <c r="E451" s="377"/>
      <c r="F451" s="377"/>
      <c r="G451" s="178"/>
      <c r="H451" s="178"/>
      <c r="I451" s="179"/>
      <c r="J451" s="378"/>
      <c r="K451" s="377"/>
      <c r="L451" s="377"/>
      <c r="M451" s="377"/>
    </row>
    <row r="452" spans="3:13" s="180" customFormat="1" x14ac:dyDescent="0.25">
      <c r="C452" s="1367"/>
      <c r="D452" s="1368"/>
      <c r="E452" s="377"/>
      <c r="F452" s="377"/>
      <c r="G452" s="178"/>
      <c r="H452" s="178"/>
      <c r="I452" s="179"/>
      <c r="J452" s="378"/>
      <c r="K452" s="377"/>
      <c r="L452" s="377"/>
      <c r="M452" s="377"/>
    </row>
    <row r="453" spans="3:13" s="180" customFormat="1" x14ac:dyDescent="0.25">
      <c r="C453" s="1367"/>
      <c r="D453" s="1368"/>
      <c r="E453" s="377"/>
      <c r="F453" s="377"/>
      <c r="G453" s="178"/>
      <c r="H453" s="178"/>
      <c r="I453" s="179"/>
      <c r="J453" s="378"/>
      <c r="K453" s="377"/>
      <c r="L453" s="377"/>
      <c r="M453" s="377"/>
    </row>
    <row r="454" spans="3:13" s="180" customFormat="1" x14ac:dyDescent="0.25">
      <c r="C454" s="1367"/>
      <c r="D454" s="1368"/>
      <c r="E454" s="377"/>
      <c r="F454" s="377"/>
      <c r="G454" s="178"/>
      <c r="H454" s="178"/>
      <c r="I454" s="179"/>
      <c r="J454" s="378"/>
      <c r="K454" s="377"/>
      <c r="L454" s="377"/>
      <c r="M454" s="377"/>
    </row>
    <row r="455" spans="3:13" s="180" customFormat="1" x14ac:dyDescent="0.25">
      <c r="C455" s="1367"/>
      <c r="D455" s="1368"/>
      <c r="E455" s="377"/>
      <c r="F455" s="377"/>
      <c r="G455" s="178"/>
      <c r="H455" s="178"/>
      <c r="I455" s="179"/>
      <c r="J455" s="378"/>
      <c r="K455" s="377"/>
      <c r="L455" s="377"/>
      <c r="M455" s="377"/>
    </row>
    <row r="456" spans="3:13" s="180" customFormat="1" x14ac:dyDescent="0.25">
      <c r="C456" s="1367"/>
      <c r="D456" s="1368"/>
      <c r="E456" s="377"/>
      <c r="F456" s="377"/>
      <c r="G456" s="178"/>
      <c r="H456" s="178"/>
      <c r="I456" s="179"/>
      <c r="J456" s="378"/>
      <c r="K456" s="377"/>
      <c r="L456" s="377"/>
      <c r="M456" s="377"/>
    </row>
    <row r="457" spans="3:13" s="180" customFormat="1" x14ac:dyDescent="0.25">
      <c r="C457" s="1367"/>
      <c r="D457" s="1368"/>
      <c r="E457" s="377"/>
      <c r="F457" s="377"/>
      <c r="G457" s="178"/>
      <c r="H457" s="178"/>
      <c r="I457" s="179"/>
      <c r="J457" s="378"/>
      <c r="K457" s="377"/>
      <c r="L457" s="377"/>
      <c r="M457" s="377"/>
    </row>
    <row r="458" spans="3:13" s="180" customFormat="1" x14ac:dyDescent="0.25">
      <c r="C458" s="1367"/>
      <c r="D458" s="1368"/>
      <c r="E458" s="377"/>
      <c r="F458" s="377"/>
      <c r="G458" s="178"/>
      <c r="H458" s="178"/>
      <c r="I458" s="179"/>
      <c r="J458" s="378"/>
      <c r="K458" s="377"/>
      <c r="L458" s="377"/>
      <c r="M458" s="377"/>
    </row>
    <row r="459" spans="3:13" s="180" customFormat="1" x14ac:dyDescent="0.25">
      <c r="C459" s="1367"/>
      <c r="D459" s="1368"/>
      <c r="E459" s="377"/>
      <c r="F459" s="377"/>
      <c r="G459" s="178"/>
      <c r="H459" s="178"/>
      <c r="I459" s="179"/>
      <c r="J459" s="378"/>
      <c r="K459" s="377"/>
      <c r="L459" s="377"/>
      <c r="M459" s="377"/>
    </row>
    <row r="460" spans="3:13" s="180" customFormat="1" x14ac:dyDescent="0.25">
      <c r="C460" s="1367"/>
      <c r="D460" s="1368"/>
      <c r="E460" s="377"/>
      <c r="F460" s="377"/>
      <c r="G460" s="178"/>
      <c r="H460" s="178"/>
      <c r="I460" s="179"/>
      <c r="J460" s="378"/>
      <c r="K460" s="377"/>
      <c r="L460" s="377"/>
      <c r="M460" s="377"/>
    </row>
    <row r="461" spans="3:13" s="180" customFormat="1" x14ac:dyDescent="0.25">
      <c r="C461" s="1367"/>
      <c r="D461" s="1368"/>
      <c r="E461" s="377"/>
      <c r="F461" s="377"/>
      <c r="G461" s="178"/>
      <c r="H461" s="178"/>
      <c r="I461" s="179"/>
      <c r="J461" s="378"/>
      <c r="K461" s="377"/>
      <c r="L461" s="377"/>
      <c r="M461" s="377"/>
    </row>
    <row r="462" spans="3:13" s="180" customFormat="1" x14ac:dyDescent="0.25">
      <c r="C462" s="1367"/>
      <c r="D462" s="1368"/>
      <c r="E462" s="377"/>
      <c r="F462" s="377"/>
      <c r="G462" s="178"/>
      <c r="H462" s="178"/>
      <c r="I462" s="179"/>
      <c r="J462" s="378"/>
      <c r="K462" s="377"/>
      <c r="L462" s="377"/>
      <c r="M462" s="377"/>
    </row>
    <row r="463" spans="3:13" s="180" customFormat="1" x14ac:dyDescent="0.25">
      <c r="C463" s="1367"/>
      <c r="D463" s="1368"/>
      <c r="E463" s="377"/>
      <c r="F463" s="377"/>
      <c r="G463" s="178"/>
      <c r="H463" s="178"/>
      <c r="I463" s="179"/>
      <c r="J463" s="378"/>
      <c r="K463" s="377"/>
      <c r="L463" s="377"/>
      <c r="M463" s="377"/>
    </row>
    <row r="464" spans="3:13" s="180" customFormat="1" x14ac:dyDescent="0.25">
      <c r="C464" s="1367"/>
      <c r="D464" s="1368"/>
      <c r="E464" s="377"/>
      <c r="F464" s="377"/>
      <c r="G464" s="178"/>
      <c r="H464" s="178"/>
      <c r="I464" s="179"/>
      <c r="J464" s="378"/>
      <c r="K464" s="377"/>
      <c r="L464" s="377"/>
      <c r="M464" s="377"/>
    </row>
    <row r="465" spans="3:13" s="180" customFormat="1" x14ac:dyDescent="0.25">
      <c r="C465" s="1367"/>
      <c r="D465" s="1368"/>
      <c r="E465" s="377"/>
      <c r="F465" s="377"/>
      <c r="G465" s="178"/>
      <c r="H465" s="178"/>
      <c r="I465" s="179"/>
      <c r="J465" s="378"/>
      <c r="K465" s="377"/>
      <c r="L465" s="377"/>
      <c r="M465" s="377"/>
    </row>
    <row r="466" spans="3:13" s="180" customFormat="1" x14ac:dyDescent="0.25">
      <c r="C466" s="1367"/>
      <c r="D466" s="1368"/>
      <c r="E466" s="377"/>
      <c r="F466" s="377"/>
      <c r="G466" s="178"/>
      <c r="H466" s="178"/>
      <c r="I466" s="179"/>
      <c r="J466" s="378"/>
      <c r="K466" s="377"/>
      <c r="L466" s="377"/>
      <c r="M466" s="377"/>
    </row>
    <row r="467" spans="3:13" s="180" customFormat="1" x14ac:dyDescent="0.25">
      <c r="C467" s="1367"/>
      <c r="D467" s="1368"/>
      <c r="E467" s="377"/>
      <c r="F467" s="377"/>
      <c r="G467" s="178"/>
      <c r="H467" s="178"/>
      <c r="I467" s="179"/>
      <c r="J467" s="378"/>
      <c r="K467" s="377"/>
      <c r="L467" s="377"/>
      <c r="M467" s="377"/>
    </row>
    <row r="468" spans="3:13" s="180" customFormat="1" x14ac:dyDescent="0.25">
      <c r="C468" s="1367"/>
      <c r="D468" s="1368"/>
      <c r="E468" s="377"/>
      <c r="F468" s="377"/>
      <c r="G468" s="178"/>
      <c r="H468" s="178"/>
      <c r="I468" s="179"/>
      <c r="J468" s="378"/>
      <c r="K468" s="377"/>
      <c r="L468" s="377"/>
      <c r="M468" s="377"/>
    </row>
    <row r="469" spans="3:13" s="180" customFormat="1" x14ac:dyDescent="0.25">
      <c r="C469" s="1367"/>
      <c r="D469" s="1368"/>
      <c r="E469" s="377"/>
      <c r="F469" s="377"/>
      <c r="G469" s="178"/>
      <c r="H469" s="178"/>
      <c r="I469" s="179"/>
      <c r="J469" s="378"/>
      <c r="K469" s="377"/>
      <c r="L469" s="377"/>
      <c r="M469" s="377"/>
    </row>
    <row r="470" spans="3:13" s="180" customFormat="1" x14ac:dyDescent="0.25">
      <c r="C470" s="1367"/>
      <c r="D470" s="1368"/>
      <c r="E470" s="377"/>
      <c r="F470" s="377"/>
      <c r="G470" s="178"/>
      <c r="H470" s="178"/>
      <c r="I470" s="179"/>
      <c r="J470" s="378"/>
      <c r="K470" s="377"/>
      <c r="L470" s="377"/>
      <c r="M470" s="377"/>
    </row>
    <row r="471" spans="3:13" s="180" customFormat="1" x14ac:dyDescent="0.25">
      <c r="C471" s="1367"/>
      <c r="D471" s="1368"/>
      <c r="E471" s="377"/>
      <c r="F471" s="377"/>
      <c r="G471" s="178"/>
      <c r="H471" s="178"/>
      <c r="I471" s="179"/>
      <c r="J471" s="378"/>
      <c r="K471" s="377"/>
      <c r="L471" s="377"/>
      <c r="M471" s="377"/>
    </row>
    <row r="472" spans="3:13" s="180" customFormat="1" x14ac:dyDescent="0.25">
      <c r="C472" s="1367"/>
      <c r="D472" s="1368"/>
      <c r="E472" s="377"/>
      <c r="F472" s="377"/>
      <c r="G472" s="178"/>
      <c r="H472" s="178"/>
      <c r="I472" s="179"/>
      <c r="J472" s="378"/>
      <c r="K472" s="377"/>
      <c r="L472" s="377"/>
      <c r="M472" s="377"/>
    </row>
    <row r="473" spans="3:13" s="180" customFormat="1" x14ac:dyDescent="0.25">
      <c r="C473" s="1367"/>
      <c r="D473" s="1368"/>
      <c r="E473" s="377"/>
      <c r="F473" s="377"/>
      <c r="G473" s="178"/>
      <c r="H473" s="178"/>
      <c r="I473" s="179"/>
      <c r="J473" s="378"/>
      <c r="K473" s="377"/>
      <c r="L473" s="377"/>
      <c r="M473" s="377"/>
    </row>
    <row r="474" spans="3:13" s="180" customFormat="1" x14ac:dyDescent="0.25">
      <c r="C474" s="1367"/>
      <c r="D474" s="1368"/>
      <c r="E474" s="377"/>
      <c r="F474" s="377"/>
      <c r="G474" s="178"/>
      <c r="H474" s="178"/>
      <c r="I474" s="179"/>
      <c r="J474" s="378"/>
      <c r="K474" s="377"/>
      <c r="L474" s="377"/>
      <c r="M474" s="377"/>
    </row>
    <row r="475" spans="3:13" s="180" customFormat="1" x14ac:dyDescent="0.25">
      <c r="C475" s="1367"/>
      <c r="D475" s="1368"/>
      <c r="E475" s="377"/>
      <c r="F475" s="377"/>
      <c r="G475" s="178"/>
      <c r="H475" s="178"/>
      <c r="I475" s="179"/>
      <c r="J475" s="378"/>
      <c r="K475" s="377"/>
      <c r="L475" s="377"/>
      <c r="M475" s="377"/>
    </row>
    <row r="476" spans="3:13" s="180" customFormat="1" x14ac:dyDescent="0.25">
      <c r="C476" s="1367"/>
      <c r="D476" s="1368"/>
      <c r="E476" s="377"/>
      <c r="F476" s="377"/>
      <c r="G476" s="178"/>
      <c r="H476" s="178"/>
      <c r="I476" s="179"/>
      <c r="J476" s="378"/>
      <c r="K476" s="377"/>
      <c r="L476" s="377"/>
      <c r="M476" s="377"/>
    </row>
    <row r="477" spans="3:13" s="180" customFormat="1" x14ac:dyDescent="0.25">
      <c r="C477" s="1367"/>
      <c r="D477" s="1368"/>
      <c r="E477" s="377"/>
      <c r="F477" s="377"/>
      <c r="G477" s="178"/>
      <c r="H477" s="178"/>
      <c r="I477" s="179"/>
      <c r="J477" s="378"/>
      <c r="K477" s="377"/>
      <c r="L477" s="377"/>
      <c r="M477" s="377"/>
    </row>
    <row r="478" spans="3:13" s="180" customFormat="1" x14ac:dyDescent="0.25">
      <c r="C478" s="1367"/>
      <c r="D478" s="1368"/>
      <c r="E478" s="377"/>
      <c r="F478" s="377"/>
      <c r="G478" s="178"/>
      <c r="H478" s="178"/>
      <c r="I478" s="179"/>
      <c r="J478" s="378"/>
      <c r="K478" s="377"/>
      <c r="L478" s="377"/>
      <c r="M478" s="377"/>
    </row>
    <row r="479" spans="3:13" s="180" customFormat="1" x14ac:dyDescent="0.25">
      <c r="C479" s="1367"/>
      <c r="D479" s="1368"/>
      <c r="E479" s="377"/>
      <c r="F479" s="377"/>
      <c r="G479" s="178"/>
      <c r="H479" s="178"/>
      <c r="I479" s="179"/>
      <c r="J479" s="378"/>
      <c r="K479" s="377"/>
      <c r="L479" s="377"/>
      <c r="M479" s="377"/>
    </row>
    <row r="480" spans="3:13" s="180" customFormat="1" x14ac:dyDescent="0.25">
      <c r="C480" s="1367"/>
      <c r="D480" s="1368"/>
      <c r="E480" s="377"/>
      <c r="F480" s="377"/>
      <c r="G480" s="178"/>
      <c r="H480" s="178"/>
      <c r="I480" s="179"/>
      <c r="J480" s="378"/>
      <c r="K480" s="377"/>
      <c r="L480" s="377"/>
      <c r="M480" s="377"/>
    </row>
    <row r="481" spans="3:13" s="180" customFormat="1" x14ac:dyDescent="0.25">
      <c r="C481" s="1367"/>
      <c r="D481" s="1368"/>
      <c r="E481" s="377"/>
      <c r="F481" s="377"/>
      <c r="G481" s="178"/>
      <c r="H481" s="178"/>
      <c r="I481" s="179"/>
      <c r="J481" s="378"/>
      <c r="K481" s="377"/>
      <c r="L481" s="377"/>
      <c r="M481" s="377"/>
    </row>
    <row r="482" spans="3:13" s="180" customFormat="1" x14ac:dyDescent="0.25">
      <c r="C482" s="1367"/>
      <c r="D482" s="1368"/>
      <c r="E482" s="377"/>
      <c r="F482" s="377"/>
      <c r="G482" s="178"/>
      <c r="H482" s="178"/>
      <c r="I482" s="179"/>
      <c r="J482" s="378"/>
      <c r="K482" s="377"/>
      <c r="L482" s="377"/>
      <c r="M482" s="377"/>
    </row>
    <row r="483" spans="3:13" s="180" customFormat="1" x14ac:dyDescent="0.25">
      <c r="C483" s="1367"/>
      <c r="D483" s="1368"/>
      <c r="E483" s="377"/>
      <c r="F483" s="377"/>
      <c r="G483" s="178"/>
      <c r="H483" s="178"/>
      <c r="I483" s="179"/>
      <c r="J483" s="378"/>
      <c r="K483" s="377"/>
      <c r="L483" s="377"/>
      <c r="M483" s="377"/>
    </row>
    <row r="484" spans="3:13" s="180" customFormat="1" x14ac:dyDescent="0.25">
      <c r="C484" s="1367"/>
      <c r="D484" s="1368"/>
      <c r="E484" s="377"/>
      <c r="F484" s="377"/>
      <c r="G484" s="178"/>
      <c r="H484" s="178"/>
      <c r="I484" s="179"/>
      <c r="J484" s="378"/>
      <c r="K484" s="377"/>
      <c r="L484" s="377"/>
      <c r="M484" s="377"/>
    </row>
    <row r="485" spans="3:13" s="180" customFormat="1" x14ac:dyDescent="0.25">
      <c r="C485" s="1367"/>
      <c r="D485" s="1368"/>
      <c r="E485" s="377"/>
      <c r="F485" s="377"/>
      <c r="G485" s="178"/>
      <c r="H485" s="178"/>
      <c r="I485" s="179"/>
      <c r="J485" s="378"/>
      <c r="K485" s="377"/>
      <c r="L485" s="377"/>
      <c r="M485" s="377"/>
    </row>
    <row r="486" spans="3:13" s="180" customFormat="1" x14ac:dyDescent="0.25">
      <c r="C486" s="1367"/>
      <c r="D486" s="1368"/>
      <c r="E486" s="377"/>
      <c r="F486" s="377"/>
      <c r="G486" s="178"/>
      <c r="H486" s="178"/>
      <c r="I486" s="179"/>
      <c r="J486" s="378"/>
      <c r="K486" s="377"/>
      <c r="L486" s="377"/>
      <c r="M486" s="377"/>
    </row>
    <row r="487" spans="3:13" s="180" customFormat="1" x14ac:dyDescent="0.25">
      <c r="C487" s="1367"/>
      <c r="D487" s="1368"/>
      <c r="E487" s="377"/>
      <c r="F487" s="377"/>
      <c r="G487" s="178"/>
      <c r="H487" s="178"/>
      <c r="I487" s="179"/>
      <c r="J487" s="378"/>
      <c r="K487" s="377"/>
      <c r="L487" s="377"/>
      <c r="M487" s="377"/>
    </row>
    <row r="488" spans="3:13" s="180" customFormat="1" x14ac:dyDescent="0.25">
      <c r="C488" s="1367"/>
      <c r="D488" s="1368"/>
      <c r="E488" s="377"/>
      <c r="F488" s="377"/>
      <c r="G488" s="178"/>
      <c r="H488" s="178"/>
      <c r="I488" s="179"/>
      <c r="J488" s="378"/>
      <c r="K488" s="377"/>
      <c r="L488" s="377"/>
      <c r="M488" s="377"/>
    </row>
    <row r="489" spans="3:13" s="180" customFormat="1" x14ac:dyDescent="0.25">
      <c r="C489" s="1367"/>
      <c r="D489" s="1368"/>
      <c r="E489" s="377"/>
      <c r="F489" s="377"/>
      <c r="G489" s="178"/>
      <c r="H489" s="178"/>
      <c r="I489" s="179"/>
      <c r="J489" s="378"/>
      <c r="K489" s="377"/>
      <c r="L489" s="377"/>
      <c r="M489" s="377"/>
    </row>
    <row r="490" spans="3:13" s="180" customFormat="1" x14ac:dyDescent="0.25">
      <c r="C490" s="1367"/>
      <c r="D490" s="1368"/>
      <c r="E490" s="377"/>
      <c r="F490" s="377"/>
      <c r="G490" s="178"/>
      <c r="H490" s="178"/>
      <c r="I490" s="179"/>
      <c r="J490" s="378"/>
      <c r="K490" s="377"/>
      <c r="L490" s="377"/>
      <c r="M490" s="377"/>
    </row>
    <row r="491" spans="3:13" s="180" customFormat="1" x14ac:dyDescent="0.25">
      <c r="C491" s="1367"/>
      <c r="D491" s="1368"/>
      <c r="E491" s="377"/>
      <c r="F491" s="377"/>
      <c r="G491" s="178"/>
      <c r="H491" s="178"/>
      <c r="I491" s="179"/>
      <c r="J491" s="378"/>
      <c r="K491" s="377"/>
      <c r="L491" s="377"/>
      <c r="M491" s="377"/>
    </row>
    <row r="492" spans="3:13" s="180" customFormat="1" x14ac:dyDescent="0.25">
      <c r="C492" s="1367"/>
      <c r="D492" s="1368"/>
      <c r="E492" s="377"/>
      <c r="F492" s="377"/>
      <c r="G492" s="178"/>
      <c r="H492" s="178"/>
      <c r="I492" s="179"/>
      <c r="J492" s="378"/>
      <c r="K492" s="377"/>
      <c r="L492" s="377"/>
      <c r="M492" s="377"/>
    </row>
    <row r="493" spans="3:13" s="180" customFormat="1" x14ac:dyDescent="0.25">
      <c r="C493" s="1367"/>
      <c r="D493" s="1368"/>
      <c r="E493" s="377"/>
      <c r="F493" s="377"/>
      <c r="G493" s="178"/>
      <c r="H493" s="178"/>
      <c r="I493" s="179"/>
      <c r="J493" s="378"/>
      <c r="K493" s="377"/>
      <c r="L493" s="377"/>
      <c r="M493" s="377"/>
    </row>
    <row r="494" spans="3:13" s="180" customFormat="1" x14ac:dyDescent="0.25">
      <c r="C494" s="1367"/>
      <c r="D494" s="1368"/>
      <c r="E494" s="377"/>
      <c r="F494" s="377"/>
      <c r="G494" s="178"/>
      <c r="H494" s="178"/>
      <c r="I494" s="179"/>
      <c r="J494" s="378"/>
      <c r="K494" s="377"/>
      <c r="L494" s="377"/>
      <c r="M494" s="377"/>
    </row>
    <row r="495" spans="3:13" s="180" customFormat="1" x14ac:dyDescent="0.25">
      <c r="C495" s="1367"/>
      <c r="D495" s="1368"/>
      <c r="E495" s="377"/>
      <c r="F495" s="377"/>
      <c r="G495" s="178"/>
      <c r="H495" s="178"/>
      <c r="I495" s="179"/>
      <c r="J495" s="378"/>
      <c r="K495" s="377"/>
      <c r="L495" s="377"/>
      <c r="M495" s="377"/>
    </row>
    <row r="496" spans="3:13" s="180" customFormat="1" x14ac:dyDescent="0.25">
      <c r="C496" s="1367"/>
      <c r="D496" s="1368"/>
      <c r="E496" s="377"/>
      <c r="F496" s="377"/>
      <c r="G496" s="178"/>
      <c r="H496" s="178"/>
      <c r="I496" s="179"/>
      <c r="J496" s="378"/>
      <c r="K496" s="377"/>
      <c r="L496" s="377"/>
      <c r="M496" s="377"/>
    </row>
    <row r="497" spans="3:13" s="180" customFormat="1" x14ac:dyDescent="0.25">
      <c r="C497" s="1367"/>
      <c r="D497" s="1368"/>
      <c r="E497" s="377"/>
      <c r="F497" s="377"/>
      <c r="G497" s="178"/>
      <c r="H497" s="178"/>
      <c r="I497" s="179"/>
      <c r="J497" s="378"/>
      <c r="K497" s="377"/>
      <c r="L497" s="377"/>
      <c r="M497" s="377"/>
    </row>
    <row r="498" spans="3:13" s="180" customFormat="1" x14ac:dyDescent="0.25">
      <c r="C498" s="1367"/>
      <c r="D498" s="1368"/>
      <c r="E498" s="377"/>
      <c r="F498" s="377"/>
      <c r="G498" s="178"/>
      <c r="H498" s="178"/>
      <c r="I498" s="179"/>
      <c r="J498" s="378"/>
      <c r="K498" s="377"/>
      <c r="L498" s="377"/>
      <c r="M498" s="377"/>
    </row>
    <row r="499" spans="3:13" s="180" customFormat="1" x14ac:dyDescent="0.25">
      <c r="C499" s="1367"/>
      <c r="D499" s="1368"/>
      <c r="E499" s="377"/>
      <c r="F499" s="377"/>
      <c r="G499" s="178"/>
      <c r="H499" s="178"/>
      <c r="I499" s="179"/>
      <c r="J499" s="378"/>
      <c r="K499" s="377"/>
      <c r="L499" s="377"/>
      <c r="M499" s="377"/>
    </row>
    <row r="500" spans="3:13" s="180" customFormat="1" x14ac:dyDescent="0.25">
      <c r="C500" s="1367"/>
      <c r="D500" s="1368"/>
      <c r="E500" s="377"/>
      <c r="F500" s="377"/>
      <c r="G500" s="178"/>
      <c r="H500" s="178"/>
      <c r="I500" s="179"/>
      <c r="J500" s="378"/>
      <c r="K500" s="377"/>
      <c r="L500" s="377"/>
      <c r="M500" s="377"/>
    </row>
    <row r="501" spans="3:13" s="180" customFormat="1" x14ac:dyDescent="0.25">
      <c r="C501" s="1367"/>
      <c r="D501" s="1368"/>
      <c r="E501" s="377"/>
      <c r="F501" s="377"/>
      <c r="G501" s="178"/>
      <c r="H501" s="178"/>
      <c r="I501" s="179"/>
      <c r="J501" s="378"/>
      <c r="K501" s="377"/>
      <c r="L501" s="377"/>
      <c r="M501" s="377"/>
    </row>
    <row r="502" spans="3:13" s="180" customFormat="1" x14ac:dyDescent="0.25">
      <c r="C502" s="1367"/>
      <c r="D502" s="1368"/>
      <c r="E502" s="377"/>
      <c r="F502" s="377"/>
      <c r="G502" s="178"/>
      <c r="H502" s="178"/>
      <c r="I502" s="179"/>
      <c r="J502" s="378"/>
      <c r="K502" s="377"/>
      <c r="L502" s="377"/>
      <c r="M502" s="377"/>
    </row>
    <row r="503" spans="3:13" s="180" customFormat="1" x14ac:dyDescent="0.25">
      <c r="C503" s="1367"/>
      <c r="D503" s="1368"/>
      <c r="E503" s="377"/>
      <c r="F503" s="377"/>
      <c r="G503" s="178"/>
      <c r="H503" s="178"/>
      <c r="I503" s="179"/>
      <c r="J503" s="378"/>
      <c r="K503" s="377"/>
      <c r="L503" s="377"/>
      <c r="M503" s="377"/>
    </row>
    <row r="504" spans="3:13" s="180" customFormat="1" x14ac:dyDescent="0.25">
      <c r="C504" s="1367"/>
      <c r="D504" s="1368"/>
      <c r="E504" s="377"/>
      <c r="F504" s="377"/>
      <c r="G504" s="178"/>
      <c r="H504" s="178"/>
      <c r="I504" s="179"/>
      <c r="J504" s="378"/>
      <c r="K504" s="377"/>
      <c r="L504" s="377"/>
      <c r="M504" s="377"/>
    </row>
    <row r="505" spans="3:13" s="180" customFormat="1" x14ac:dyDescent="0.25">
      <c r="C505" s="1367"/>
      <c r="D505" s="1368"/>
      <c r="E505" s="377"/>
      <c r="F505" s="377"/>
      <c r="G505" s="178"/>
      <c r="H505" s="178"/>
      <c r="I505" s="179"/>
      <c r="J505" s="378"/>
      <c r="K505" s="377"/>
      <c r="L505" s="377"/>
      <c r="M505" s="377"/>
    </row>
    <row r="506" spans="3:13" s="180" customFormat="1" x14ac:dyDescent="0.25">
      <c r="C506" s="1367"/>
      <c r="D506" s="1368"/>
      <c r="E506" s="377"/>
      <c r="F506" s="377"/>
      <c r="G506" s="178"/>
      <c r="H506" s="178"/>
      <c r="I506" s="179"/>
      <c r="J506" s="378"/>
      <c r="K506" s="377"/>
      <c r="L506" s="377"/>
      <c r="M506" s="377"/>
    </row>
    <row r="507" spans="3:13" s="180" customFormat="1" x14ac:dyDescent="0.25">
      <c r="C507" s="1367"/>
      <c r="D507" s="1368"/>
      <c r="E507" s="377"/>
      <c r="F507" s="377"/>
      <c r="G507" s="178"/>
      <c r="H507" s="178"/>
      <c r="I507" s="179"/>
      <c r="J507" s="378"/>
      <c r="K507" s="377"/>
      <c r="L507" s="377"/>
      <c r="M507" s="377"/>
    </row>
    <row r="508" spans="3:13" s="180" customFormat="1" x14ac:dyDescent="0.25">
      <c r="C508" s="1367"/>
      <c r="D508" s="1368"/>
      <c r="E508" s="377"/>
      <c r="F508" s="377"/>
      <c r="G508" s="178"/>
      <c r="H508" s="178"/>
      <c r="I508" s="179"/>
      <c r="J508" s="378"/>
      <c r="K508" s="377"/>
      <c r="L508" s="377"/>
      <c r="M508" s="377"/>
    </row>
    <row r="509" spans="3:13" s="180" customFormat="1" x14ac:dyDescent="0.25">
      <c r="C509" s="1367"/>
      <c r="D509" s="1368"/>
      <c r="E509" s="377"/>
      <c r="F509" s="377"/>
      <c r="G509" s="178"/>
      <c r="H509" s="178"/>
      <c r="I509" s="179"/>
      <c r="J509" s="378"/>
      <c r="K509" s="377"/>
      <c r="L509" s="377"/>
      <c r="M509" s="377"/>
    </row>
    <row r="510" spans="3:13" s="180" customFormat="1" x14ac:dyDescent="0.25">
      <c r="C510" s="1367"/>
      <c r="D510" s="1368"/>
      <c r="E510" s="377"/>
      <c r="F510" s="377"/>
      <c r="G510" s="178"/>
      <c r="H510" s="178"/>
      <c r="I510" s="179"/>
      <c r="J510" s="378"/>
      <c r="K510" s="377"/>
      <c r="L510" s="377"/>
      <c r="M510" s="377"/>
    </row>
    <row r="511" spans="3:13" s="180" customFormat="1" x14ac:dyDescent="0.25">
      <c r="C511" s="1367"/>
      <c r="D511" s="1368"/>
      <c r="E511" s="377"/>
      <c r="F511" s="377"/>
      <c r="G511" s="178"/>
      <c r="H511" s="178"/>
      <c r="I511" s="179"/>
      <c r="J511" s="378"/>
      <c r="K511" s="377"/>
      <c r="L511" s="377"/>
      <c r="M511" s="377"/>
    </row>
    <row r="512" spans="3:13" s="180" customFormat="1" x14ac:dyDescent="0.25">
      <c r="C512" s="1367"/>
      <c r="D512" s="1368"/>
      <c r="E512" s="377"/>
      <c r="F512" s="377"/>
      <c r="G512" s="178"/>
      <c r="H512" s="178"/>
      <c r="I512" s="179"/>
      <c r="J512" s="378"/>
      <c r="K512" s="377"/>
      <c r="L512" s="377"/>
      <c r="M512" s="377"/>
    </row>
    <row r="513" spans="3:13" s="180" customFormat="1" x14ac:dyDescent="0.25">
      <c r="C513" s="1367"/>
      <c r="D513" s="1368"/>
      <c r="E513" s="377"/>
      <c r="F513" s="377"/>
      <c r="G513" s="178"/>
      <c r="H513" s="178"/>
      <c r="I513" s="179"/>
      <c r="J513" s="378"/>
      <c r="K513" s="377"/>
      <c r="L513" s="377"/>
      <c r="M513" s="377"/>
    </row>
    <row r="514" spans="3:13" s="180" customFormat="1" x14ac:dyDescent="0.25">
      <c r="C514" s="1367"/>
      <c r="D514" s="1368"/>
      <c r="E514" s="377"/>
      <c r="F514" s="377"/>
      <c r="G514" s="178"/>
      <c r="H514" s="178"/>
      <c r="I514" s="179"/>
      <c r="J514" s="378"/>
      <c r="K514" s="377"/>
      <c r="L514" s="377"/>
      <c r="M514" s="377"/>
    </row>
    <row r="515" spans="3:13" s="180" customFormat="1" x14ac:dyDescent="0.25">
      <c r="C515" s="1367"/>
      <c r="D515" s="1368"/>
      <c r="E515" s="377"/>
      <c r="F515" s="377"/>
      <c r="G515" s="178"/>
      <c r="H515" s="178"/>
      <c r="I515" s="179"/>
      <c r="J515" s="378"/>
      <c r="K515" s="377"/>
      <c r="L515" s="377"/>
      <c r="M515" s="377"/>
    </row>
    <row r="516" spans="3:13" s="180" customFormat="1" x14ac:dyDescent="0.25">
      <c r="C516" s="1367"/>
      <c r="D516" s="1368"/>
      <c r="E516" s="377"/>
      <c r="F516" s="377"/>
      <c r="G516" s="178"/>
      <c r="H516" s="178"/>
      <c r="I516" s="179"/>
      <c r="J516" s="378"/>
      <c r="K516" s="377"/>
      <c r="L516" s="377"/>
      <c r="M516" s="377"/>
    </row>
    <row r="517" spans="3:13" s="180" customFormat="1" x14ac:dyDescent="0.25">
      <c r="C517" s="1367"/>
      <c r="D517" s="1368"/>
      <c r="E517" s="377"/>
      <c r="F517" s="377"/>
      <c r="G517" s="178"/>
      <c r="H517" s="178"/>
      <c r="I517" s="179"/>
      <c r="J517" s="378"/>
      <c r="K517" s="377"/>
      <c r="L517" s="377"/>
      <c r="M517" s="377"/>
    </row>
    <row r="518" spans="3:13" s="180" customFormat="1" x14ac:dyDescent="0.25">
      <c r="C518" s="1367"/>
      <c r="D518" s="1368"/>
      <c r="E518" s="377"/>
      <c r="F518" s="377"/>
      <c r="G518" s="178"/>
      <c r="H518" s="178"/>
      <c r="I518" s="179"/>
      <c r="J518" s="378"/>
      <c r="K518" s="377"/>
      <c r="L518" s="377"/>
      <c r="M518" s="377"/>
    </row>
    <row r="519" spans="3:13" s="180" customFormat="1" x14ac:dyDescent="0.25">
      <c r="C519" s="1367"/>
      <c r="D519" s="1368"/>
      <c r="E519" s="377"/>
      <c r="F519" s="377"/>
      <c r="G519" s="178"/>
      <c r="H519" s="178"/>
      <c r="I519" s="179"/>
      <c r="J519" s="378"/>
      <c r="K519" s="377"/>
      <c r="L519" s="377"/>
      <c r="M519" s="377"/>
    </row>
    <row r="520" spans="3:13" s="180" customFormat="1" x14ac:dyDescent="0.25">
      <c r="C520" s="1367"/>
      <c r="D520" s="1368"/>
      <c r="E520" s="377"/>
      <c r="F520" s="377"/>
      <c r="G520" s="178"/>
      <c r="H520" s="178"/>
      <c r="I520" s="179"/>
      <c r="J520" s="378"/>
      <c r="K520" s="377"/>
      <c r="L520" s="377"/>
      <c r="M520" s="377"/>
    </row>
    <row r="521" spans="3:13" s="180" customFormat="1" x14ac:dyDescent="0.25">
      <c r="C521" s="1367"/>
      <c r="D521" s="1368"/>
      <c r="E521" s="377"/>
      <c r="F521" s="377"/>
      <c r="G521" s="178"/>
      <c r="H521" s="178"/>
      <c r="I521" s="179"/>
      <c r="J521" s="378"/>
      <c r="K521" s="377"/>
      <c r="L521" s="377"/>
      <c r="M521" s="377"/>
    </row>
    <row r="522" spans="3:13" s="180" customFormat="1" x14ac:dyDescent="0.25">
      <c r="C522" s="1367"/>
      <c r="D522" s="1368"/>
      <c r="E522" s="377"/>
      <c r="F522" s="377"/>
      <c r="G522" s="178"/>
      <c r="H522" s="178"/>
      <c r="I522" s="179"/>
      <c r="J522" s="378"/>
      <c r="K522" s="377"/>
      <c r="L522" s="377"/>
      <c r="M522" s="377"/>
    </row>
    <row r="523" spans="3:13" s="180" customFormat="1" x14ac:dyDescent="0.25">
      <c r="C523" s="1367"/>
      <c r="D523" s="1368"/>
      <c r="E523" s="377"/>
      <c r="F523" s="377"/>
      <c r="G523" s="178"/>
      <c r="H523" s="178"/>
      <c r="I523" s="179"/>
      <c r="J523" s="378"/>
      <c r="K523" s="377"/>
      <c r="L523" s="377"/>
      <c r="M523" s="377"/>
    </row>
    <row r="524" spans="3:13" s="180" customFormat="1" x14ac:dyDescent="0.25">
      <c r="C524" s="1367"/>
      <c r="D524" s="1368"/>
      <c r="E524" s="377"/>
      <c r="F524" s="377"/>
      <c r="G524" s="178"/>
      <c r="H524" s="178"/>
      <c r="I524" s="179"/>
      <c r="J524" s="378"/>
      <c r="K524" s="377"/>
      <c r="L524" s="377"/>
      <c r="M524" s="377"/>
    </row>
    <row r="525" spans="3:13" s="180" customFormat="1" x14ac:dyDescent="0.25">
      <c r="C525" s="1367"/>
      <c r="D525" s="1368"/>
      <c r="E525" s="377"/>
      <c r="F525" s="377"/>
      <c r="G525" s="178"/>
      <c r="H525" s="178"/>
      <c r="I525" s="179"/>
      <c r="J525" s="378"/>
      <c r="K525" s="377"/>
      <c r="L525" s="377"/>
      <c r="M525" s="377"/>
    </row>
    <row r="526" spans="3:13" s="180" customFormat="1" x14ac:dyDescent="0.25">
      <c r="C526" s="1367"/>
      <c r="D526" s="1368"/>
      <c r="E526" s="377"/>
      <c r="F526" s="377"/>
      <c r="G526" s="178"/>
      <c r="H526" s="178"/>
      <c r="I526" s="179"/>
      <c r="J526" s="378"/>
      <c r="K526" s="377"/>
      <c r="L526" s="377"/>
      <c r="M526" s="377"/>
    </row>
    <row r="527" spans="3:13" s="180" customFormat="1" x14ac:dyDescent="0.25">
      <c r="C527" s="1367"/>
      <c r="D527" s="1368"/>
      <c r="E527" s="377"/>
      <c r="F527" s="377"/>
      <c r="G527" s="178"/>
      <c r="H527" s="178"/>
      <c r="I527" s="179"/>
      <c r="J527" s="378"/>
      <c r="K527" s="377"/>
      <c r="L527" s="377"/>
      <c r="M527" s="377"/>
    </row>
    <row r="528" spans="3:13" s="180" customFormat="1" x14ac:dyDescent="0.25">
      <c r="C528" s="1367"/>
      <c r="D528" s="1368"/>
      <c r="E528" s="377"/>
      <c r="F528" s="377"/>
      <c r="G528" s="178"/>
      <c r="H528" s="178"/>
      <c r="I528" s="179"/>
      <c r="J528" s="378"/>
      <c r="K528" s="377"/>
      <c r="L528" s="377"/>
      <c r="M528" s="377"/>
    </row>
    <row r="529" spans="3:13" s="180" customFormat="1" x14ac:dyDescent="0.25">
      <c r="C529" s="1367"/>
      <c r="D529" s="1368"/>
      <c r="E529" s="377"/>
      <c r="F529" s="377"/>
      <c r="G529" s="178"/>
      <c r="H529" s="178"/>
      <c r="I529" s="179"/>
      <c r="J529" s="378"/>
      <c r="K529" s="377"/>
      <c r="L529" s="377"/>
      <c r="M529" s="377"/>
    </row>
    <row r="530" spans="3:13" s="180" customFormat="1" x14ac:dyDescent="0.25">
      <c r="C530" s="1367"/>
      <c r="D530" s="1368"/>
      <c r="E530" s="377"/>
      <c r="F530" s="377"/>
      <c r="G530" s="178"/>
      <c r="H530" s="178"/>
      <c r="I530" s="179"/>
      <c r="J530" s="378"/>
      <c r="K530" s="377"/>
      <c r="L530" s="377"/>
      <c r="M530" s="377"/>
    </row>
    <row r="531" spans="3:13" s="180" customFormat="1" x14ac:dyDescent="0.25">
      <c r="C531" s="1367"/>
      <c r="D531" s="1368"/>
      <c r="E531" s="377"/>
      <c r="F531" s="377"/>
      <c r="G531" s="178"/>
      <c r="H531" s="178"/>
      <c r="I531" s="179"/>
      <c r="J531" s="378"/>
      <c r="K531" s="377"/>
      <c r="L531" s="377"/>
      <c r="M531" s="377"/>
    </row>
    <row r="532" spans="3:13" s="180" customFormat="1" x14ac:dyDescent="0.25">
      <c r="C532" s="1367"/>
      <c r="D532" s="1368"/>
      <c r="E532" s="377"/>
      <c r="F532" s="377"/>
      <c r="G532" s="178"/>
      <c r="H532" s="178"/>
      <c r="I532" s="179"/>
      <c r="J532" s="378"/>
      <c r="K532" s="377"/>
      <c r="L532" s="377"/>
      <c r="M532" s="377"/>
    </row>
    <row r="533" spans="3:13" s="180" customFormat="1" x14ac:dyDescent="0.25">
      <c r="C533" s="1367"/>
      <c r="D533" s="1368"/>
      <c r="E533" s="377"/>
      <c r="F533" s="377"/>
      <c r="G533" s="178"/>
      <c r="H533" s="178"/>
      <c r="I533" s="179"/>
      <c r="J533" s="378"/>
      <c r="K533" s="377"/>
      <c r="L533" s="377"/>
      <c r="M533" s="377"/>
    </row>
    <row r="534" spans="3:13" s="180" customFormat="1" x14ac:dyDescent="0.25">
      <c r="C534" s="1367"/>
      <c r="D534" s="1368"/>
      <c r="E534" s="377"/>
      <c r="F534" s="377"/>
      <c r="G534" s="178"/>
      <c r="H534" s="178"/>
      <c r="I534" s="179"/>
      <c r="J534" s="378"/>
      <c r="K534" s="377"/>
      <c r="L534" s="377"/>
      <c r="M534" s="377"/>
    </row>
    <row r="535" spans="3:13" s="180" customFormat="1" x14ac:dyDescent="0.25">
      <c r="C535" s="1367"/>
      <c r="D535" s="1368"/>
      <c r="E535" s="377"/>
      <c r="F535" s="377"/>
      <c r="G535" s="178"/>
      <c r="H535" s="178"/>
      <c r="I535" s="179"/>
      <c r="J535" s="378"/>
      <c r="K535" s="377"/>
      <c r="L535" s="377"/>
      <c r="M535" s="377"/>
    </row>
    <row r="536" spans="3:13" s="180" customFormat="1" x14ac:dyDescent="0.25">
      <c r="C536" s="1367"/>
      <c r="D536" s="1368"/>
      <c r="E536" s="377"/>
      <c r="F536" s="377"/>
      <c r="G536" s="178"/>
      <c r="H536" s="178"/>
      <c r="I536" s="179"/>
      <c r="J536" s="378"/>
      <c r="K536" s="377"/>
      <c r="L536" s="377"/>
      <c r="M536" s="377"/>
    </row>
    <row r="537" spans="3:13" s="180" customFormat="1" x14ac:dyDescent="0.25">
      <c r="C537" s="1367"/>
      <c r="D537" s="1368"/>
      <c r="E537" s="377"/>
      <c r="F537" s="377"/>
      <c r="G537" s="178"/>
      <c r="H537" s="178"/>
      <c r="I537" s="179"/>
      <c r="J537" s="378"/>
      <c r="K537" s="377"/>
      <c r="L537" s="377"/>
      <c r="M537" s="377"/>
    </row>
    <row r="538" spans="3:13" s="180" customFormat="1" x14ac:dyDescent="0.25">
      <c r="C538" s="1367"/>
      <c r="D538" s="1368"/>
      <c r="E538" s="377"/>
      <c r="F538" s="377"/>
      <c r="G538" s="178"/>
      <c r="H538" s="178"/>
      <c r="I538" s="179"/>
      <c r="J538" s="378"/>
      <c r="K538" s="377"/>
      <c r="L538" s="377"/>
      <c r="M538" s="377"/>
    </row>
    <row r="539" spans="3:13" s="180" customFormat="1" x14ac:dyDescent="0.25">
      <c r="C539" s="1367"/>
      <c r="D539" s="1368"/>
      <c r="E539" s="377"/>
      <c r="F539" s="377"/>
      <c r="G539" s="178"/>
      <c r="H539" s="178"/>
      <c r="I539" s="179"/>
      <c r="J539" s="378"/>
      <c r="K539" s="377"/>
      <c r="L539" s="377"/>
      <c r="M539" s="377"/>
    </row>
    <row r="540" spans="3:13" s="180" customFormat="1" x14ac:dyDescent="0.25">
      <c r="C540" s="1367"/>
      <c r="D540" s="1368"/>
      <c r="E540" s="377"/>
      <c r="F540" s="377"/>
      <c r="G540" s="178"/>
      <c r="H540" s="178"/>
      <c r="I540" s="179"/>
      <c r="J540" s="378"/>
      <c r="K540" s="377"/>
      <c r="L540" s="377"/>
      <c r="M540" s="377"/>
    </row>
    <row r="541" spans="3:13" s="180" customFormat="1" x14ac:dyDescent="0.25">
      <c r="C541" s="1367"/>
      <c r="D541" s="1368"/>
      <c r="E541" s="377"/>
      <c r="F541" s="377"/>
      <c r="G541" s="178"/>
      <c r="H541" s="178"/>
      <c r="I541" s="179"/>
      <c r="J541" s="378"/>
      <c r="K541" s="377"/>
      <c r="L541" s="377"/>
      <c r="M541" s="377"/>
    </row>
    <row r="542" spans="3:13" s="180" customFormat="1" x14ac:dyDescent="0.25">
      <c r="C542" s="1367"/>
      <c r="D542" s="1368"/>
      <c r="E542" s="377"/>
      <c r="F542" s="377"/>
      <c r="G542" s="178"/>
      <c r="H542" s="178"/>
      <c r="I542" s="179"/>
      <c r="J542" s="378"/>
      <c r="K542" s="377"/>
      <c r="L542" s="377"/>
      <c r="M542" s="377"/>
    </row>
    <row r="543" spans="3:13" s="180" customFormat="1" x14ac:dyDescent="0.25">
      <c r="C543" s="1367"/>
      <c r="D543" s="1368"/>
      <c r="E543" s="377"/>
      <c r="F543" s="377"/>
      <c r="G543" s="178"/>
      <c r="H543" s="178"/>
      <c r="I543" s="179"/>
      <c r="J543" s="378"/>
      <c r="K543" s="377"/>
      <c r="L543" s="377"/>
      <c r="M543" s="377"/>
    </row>
    <row r="544" spans="3:13" s="180" customFormat="1" x14ac:dyDescent="0.25">
      <c r="C544" s="1367"/>
      <c r="D544" s="1368"/>
      <c r="E544" s="377"/>
      <c r="F544" s="377"/>
      <c r="G544" s="178"/>
      <c r="H544" s="178"/>
      <c r="I544" s="179"/>
      <c r="J544" s="378"/>
      <c r="K544" s="377"/>
      <c r="L544" s="377"/>
      <c r="M544" s="377"/>
    </row>
    <row r="545" spans="3:13" s="180" customFormat="1" x14ac:dyDescent="0.25">
      <c r="C545" s="1367"/>
      <c r="D545" s="1368"/>
      <c r="E545" s="377"/>
      <c r="F545" s="377"/>
      <c r="G545" s="178"/>
      <c r="H545" s="178"/>
      <c r="I545" s="179"/>
      <c r="J545" s="378"/>
      <c r="K545" s="377"/>
      <c r="L545" s="377"/>
      <c r="M545" s="377"/>
    </row>
    <row r="546" spans="3:13" s="180" customFormat="1" x14ac:dyDescent="0.25">
      <c r="C546" s="1367"/>
      <c r="D546" s="1368"/>
      <c r="E546" s="377"/>
      <c r="F546" s="377"/>
      <c r="G546" s="178"/>
      <c r="H546" s="178"/>
      <c r="I546" s="179"/>
      <c r="J546" s="378"/>
      <c r="K546" s="377"/>
      <c r="L546" s="377"/>
      <c r="M546" s="377"/>
    </row>
    <row r="547" spans="3:13" s="180" customFormat="1" x14ac:dyDescent="0.25">
      <c r="C547" s="1367"/>
      <c r="D547" s="1368"/>
      <c r="E547" s="377"/>
      <c r="F547" s="377"/>
      <c r="G547" s="178"/>
      <c r="H547" s="178"/>
      <c r="I547" s="179"/>
      <c r="J547" s="378"/>
      <c r="K547" s="377"/>
      <c r="L547" s="377"/>
      <c r="M547" s="377"/>
    </row>
    <row r="548" spans="3:13" s="180" customFormat="1" x14ac:dyDescent="0.25">
      <c r="C548" s="1367"/>
      <c r="D548" s="1368"/>
      <c r="E548" s="377"/>
      <c r="F548" s="377"/>
      <c r="G548" s="178"/>
      <c r="H548" s="178"/>
      <c r="I548" s="179"/>
      <c r="J548" s="378"/>
      <c r="K548" s="377"/>
      <c r="L548" s="377"/>
      <c r="M548" s="377"/>
    </row>
  </sheetData>
  <mergeCells count="7">
    <mergeCell ref="A1:M1"/>
    <mergeCell ref="A2:M2"/>
    <mergeCell ref="A3:M3"/>
    <mergeCell ref="A4:M4"/>
    <mergeCell ref="B156:B157"/>
    <mergeCell ref="C156:C157"/>
    <mergeCell ref="G5:M5"/>
  </mergeCells>
  <phoneticPr fontId="24" type="noConversion"/>
  <pageMargins left="0" right="0" top="0.98425196850393704" bottom="0.78740157480314965" header="0" footer="0"/>
  <pageSetup scale="38" fitToHeight="0" orientation="landscape" r:id="rId1"/>
  <headerFooter alignWithMargins="0">
    <oddHeader>&amp;L&amp;G&amp;R&amp;6&amp;F/&amp;A</oddHeader>
    <oddFooter>&amp;L&amp;6Esta información es propiedad del Instituto Nacional de Vivienda y Urbanismo. Se autoriza su utilización, pero no su alteración. Recuerde que puede acceder a los archivos PDF para verificación.&amp;R&amp;6&amp;P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8"/>
  <sheetViews>
    <sheetView topLeftCell="A7" workbookViewId="0">
      <selection activeCell="G20" sqref="G20"/>
    </sheetView>
  </sheetViews>
  <sheetFormatPr baseColWidth="10" defaultColWidth="11.44140625" defaultRowHeight="13.8" x14ac:dyDescent="0.25"/>
  <cols>
    <col min="1" max="1" width="9.6640625" style="73" customWidth="1"/>
    <col min="2" max="2" width="41.88671875" style="73" customWidth="1"/>
    <col min="3" max="3" width="20.88671875" style="73" customWidth="1"/>
    <col min="4" max="4" width="17.5546875" style="73" customWidth="1"/>
    <col min="5" max="5" width="16.44140625" style="73" customWidth="1"/>
    <col min="6" max="6" width="18.33203125" style="73" customWidth="1"/>
    <col min="7" max="7" width="19.88671875" style="73" customWidth="1"/>
    <col min="8" max="8" width="18.6640625" style="73" customWidth="1"/>
    <col min="9" max="9" width="20.88671875" style="73" customWidth="1"/>
    <col min="10" max="16384" width="11.44140625" style="73"/>
  </cols>
  <sheetData>
    <row r="2" spans="1:12" x14ac:dyDescent="0.25">
      <c r="A2" s="1901" t="s">
        <v>518</v>
      </c>
      <c r="B2" s="1901"/>
      <c r="C2" s="1901"/>
      <c r="D2" s="1901"/>
      <c r="E2" s="1901"/>
      <c r="F2" s="1901"/>
      <c r="G2" s="1901"/>
      <c r="H2" s="1901"/>
      <c r="I2" s="1901"/>
      <c r="J2" s="383"/>
      <c r="K2" s="383"/>
      <c r="L2" s="383"/>
    </row>
    <row r="3" spans="1:12" x14ac:dyDescent="0.25">
      <c r="A3" s="1901" t="s">
        <v>778</v>
      </c>
      <c r="B3" s="1901"/>
      <c r="C3" s="1901"/>
      <c r="D3" s="1901"/>
      <c r="E3" s="1901"/>
      <c r="F3" s="1901"/>
      <c r="G3" s="1901"/>
      <c r="H3" s="1901"/>
      <c r="I3" s="1901"/>
      <c r="J3" s="383"/>
      <c r="K3" s="383"/>
      <c r="L3" s="383"/>
    </row>
    <row r="4" spans="1:12" x14ac:dyDescent="0.25">
      <c r="A4" s="1901" t="s">
        <v>803</v>
      </c>
      <c r="B4" s="1901"/>
      <c r="C4" s="1901"/>
      <c r="D4" s="1901"/>
      <c r="E4" s="1901"/>
      <c r="F4" s="1901"/>
      <c r="G4" s="1901"/>
      <c r="H4" s="1901"/>
      <c r="I4" s="1901"/>
      <c r="J4" s="383"/>
      <c r="K4" s="383"/>
      <c r="L4" s="383"/>
    </row>
    <row r="5" spans="1:12" x14ac:dyDescent="0.25">
      <c r="A5" s="1901" t="s">
        <v>632</v>
      </c>
      <c r="B5" s="1901"/>
      <c r="C5" s="1901"/>
      <c r="D5" s="1901"/>
      <c r="E5" s="1901"/>
      <c r="F5" s="1901"/>
      <c r="G5" s="1901"/>
      <c r="H5" s="1901"/>
      <c r="I5" s="1901"/>
      <c r="J5" s="383"/>
      <c r="K5" s="383"/>
      <c r="L5" s="383"/>
    </row>
    <row r="6" spans="1:12" ht="14.4" thickBot="1" x14ac:dyDescent="0.3">
      <c r="A6" s="177"/>
      <c r="B6" s="177"/>
      <c r="C6" s="177"/>
      <c r="D6" s="177"/>
      <c r="E6" s="177"/>
      <c r="F6" s="177"/>
      <c r="G6" s="177"/>
      <c r="H6" s="177"/>
      <c r="I6" s="177"/>
    </row>
    <row r="7" spans="1:12" s="384" customFormat="1" ht="96" customHeight="1" thickBot="1" x14ac:dyDescent="0.3">
      <c r="A7" s="385" t="s">
        <v>804</v>
      </c>
      <c r="B7" s="386" t="s">
        <v>805</v>
      </c>
      <c r="C7" s="387" t="s">
        <v>812</v>
      </c>
      <c r="D7" s="388" t="s">
        <v>642</v>
      </c>
      <c r="E7" s="389" t="s">
        <v>610</v>
      </c>
      <c r="F7" s="390" t="s">
        <v>609</v>
      </c>
      <c r="G7" s="391" t="s">
        <v>643</v>
      </c>
      <c r="H7" s="392" t="s">
        <v>801</v>
      </c>
      <c r="I7" s="393" t="s">
        <v>802</v>
      </c>
    </row>
    <row r="8" spans="1:12" x14ac:dyDescent="0.25">
      <c r="A8" s="394"/>
      <c r="B8" s="394"/>
      <c r="C8" s="446">
        <f>SUM(C12+C14+C16)</f>
        <v>65065338341</v>
      </c>
      <c r="D8" s="395"/>
      <c r="E8" s="396"/>
      <c r="F8" s="397"/>
      <c r="G8" s="397"/>
      <c r="H8" s="398"/>
      <c r="I8" s="399"/>
    </row>
    <row r="9" spans="1:12" x14ac:dyDescent="0.25">
      <c r="A9" s="400">
        <v>3</v>
      </c>
      <c r="B9" s="401" t="s">
        <v>813</v>
      </c>
      <c r="C9" s="447"/>
      <c r="D9" s="292"/>
      <c r="E9" s="411"/>
      <c r="F9" s="411"/>
      <c r="G9" s="411"/>
      <c r="H9" s="412"/>
      <c r="I9" s="413"/>
    </row>
    <row r="10" spans="1:12" x14ac:dyDescent="0.25">
      <c r="A10" s="400" t="s">
        <v>814</v>
      </c>
      <c r="B10" s="401" t="s">
        <v>815</v>
      </c>
      <c r="C10" s="447"/>
      <c r="D10" s="292"/>
      <c r="E10" s="411"/>
      <c r="F10" s="411"/>
      <c r="G10" s="411"/>
      <c r="H10" s="412"/>
      <c r="I10" s="413"/>
    </row>
    <row r="11" spans="1:12" x14ac:dyDescent="0.25">
      <c r="A11" s="402"/>
      <c r="B11" s="292"/>
      <c r="C11" s="447"/>
      <c r="D11" s="292"/>
      <c r="E11" s="411"/>
      <c r="F11" s="411"/>
      <c r="G11" s="411"/>
      <c r="H11" s="412"/>
      <c r="I11" s="413"/>
    </row>
    <row r="12" spans="1:12" x14ac:dyDescent="0.25">
      <c r="A12" s="402" t="s">
        <v>806</v>
      </c>
      <c r="B12" s="292" t="s">
        <v>807</v>
      </c>
      <c r="C12" s="448">
        <f>SUM(F12+G12)</f>
        <v>59273427576</v>
      </c>
      <c r="D12" s="403"/>
      <c r="E12" s="411"/>
      <c r="F12" s="414">
        <f>'Egresos por Ctro de Costos '!AF7</f>
        <v>6180606913</v>
      </c>
      <c r="G12" s="415">
        <f>SUM(H12:I12)</f>
        <v>53092820663</v>
      </c>
      <c r="H12" s="416">
        <f>'Egresos por Ctro de Costos '!AL7</f>
        <v>43987597647</v>
      </c>
      <c r="I12" s="417">
        <f>'Egresos por Ctro de Costos '!AM7</f>
        <v>9105223016</v>
      </c>
    </row>
    <row r="13" spans="1:12" x14ac:dyDescent="0.25">
      <c r="A13" s="402"/>
      <c r="B13" s="292"/>
      <c r="C13" s="447"/>
      <c r="D13" s="292"/>
      <c r="E13" s="411"/>
      <c r="F13" s="411"/>
      <c r="G13" s="411"/>
      <c r="H13" s="412"/>
      <c r="I13" s="413"/>
    </row>
    <row r="14" spans="1:12" x14ac:dyDescent="0.25">
      <c r="A14" s="402" t="s">
        <v>808</v>
      </c>
      <c r="B14" s="292" t="s">
        <v>809</v>
      </c>
      <c r="C14" s="449">
        <f>SUM(E14)</f>
        <v>1508515764</v>
      </c>
      <c r="D14" s="404"/>
      <c r="E14" s="418">
        <f>'Egresos por Ctro de Costos '!Z7</f>
        <v>1508515764</v>
      </c>
      <c r="F14" s="411"/>
      <c r="G14" s="411"/>
      <c r="H14" s="412"/>
      <c r="I14" s="413"/>
    </row>
    <row r="15" spans="1:12" x14ac:dyDescent="0.25">
      <c r="A15" s="402"/>
      <c r="B15" s="292"/>
      <c r="C15" s="447"/>
      <c r="D15" s="292"/>
      <c r="E15" s="411"/>
      <c r="F15" s="411"/>
      <c r="G15" s="411"/>
      <c r="H15" s="412"/>
      <c r="I15" s="413"/>
    </row>
    <row r="16" spans="1:12" ht="26.4" x14ac:dyDescent="0.25">
      <c r="A16" s="402" t="s">
        <v>810</v>
      </c>
      <c r="B16" s="405" t="s">
        <v>811</v>
      </c>
      <c r="C16" s="450">
        <f>SUM(D16)</f>
        <v>4283395001</v>
      </c>
      <c r="D16" s="410">
        <f>'Egresos por Ctro de Costos '!F7</f>
        <v>4283395001</v>
      </c>
      <c r="E16" s="411"/>
      <c r="F16" s="411"/>
      <c r="G16" s="418"/>
      <c r="H16" s="416"/>
      <c r="I16" s="413"/>
    </row>
    <row r="17" spans="1:9" x14ac:dyDescent="0.25">
      <c r="A17" s="402"/>
      <c r="B17" s="292"/>
      <c r="C17" s="402"/>
      <c r="D17" s="292"/>
      <c r="E17" s="397"/>
      <c r="F17" s="397"/>
      <c r="G17" s="397"/>
      <c r="H17" s="398"/>
      <c r="I17" s="399"/>
    </row>
    <row r="18" spans="1:9" ht="14.4" thickBot="1" x14ac:dyDescent="0.3">
      <c r="A18" s="406"/>
      <c r="B18" s="293"/>
      <c r="C18" s="293"/>
      <c r="D18" s="293"/>
      <c r="E18" s="407"/>
      <c r="F18" s="407"/>
      <c r="G18" s="407"/>
      <c r="H18" s="408"/>
      <c r="I18" s="409"/>
    </row>
  </sheetData>
  <mergeCells count="4">
    <mergeCell ref="A2:I2"/>
    <mergeCell ref="A3:I3"/>
    <mergeCell ref="A4:I4"/>
    <mergeCell ref="A5:I5"/>
  </mergeCells>
  <printOptions horizontalCentered="1"/>
  <pageMargins left="0.19685039370078741" right="0" top="1.3385826771653544" bottom="0.74803149606299213" header="0.31496062992125984" footer="0.31496062992125984"/>
  <pageSetup scale="65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AV1026"/>
  <sheetViews>
    <sheetView showGridLines="0" topLeftCell="AG1" zoomScale="75" zoomScaleNormal="100" workbookViewId="0">
      <pane ySplit="3312"/>
      <selection activeCell="AP2" sqref="AP2"/>
      <selection pane="bottomLeft" activeCell="AT248" sqref="AT248"/>
    </sheetView>
  </sheetViews>
  <sheetFormatPr baseColWidth="10" defaultColWidth="11.44140625" defaultRowHeight="15.6" x14ac:dyDescent="0.3"/>
  <cols>
    <col min="1" max="1" width="19" style="76" bestFit="1" customWidth="1"/>
    <col min="2" max="2" width="44.6640625" style="76" customWidth="1"/>
    <col min="3" max="3" width="1.88671875" style="194" customWidth="1"/>
    <col min="4" max="4" width="24.33203125" style="76" customWidth="1"/>
    <col min="5" max="5" width="24.33203125" style="76" hidden="1" customWidth="1"/>
    <col min="6" max="6" width="22.6640625" style="130" customWidth="1"/>
    <col min="7" max="7" width="23.44140625" style="76" customWidth="1"/>
    <col min="8" max="8" width="21.6640625" style="76" customWidth="1"/>
    <col min="9" max="9" width="21" style="76" customWidth="1"/>
    <col min="10" max="11" width="21.6640625" style="76" customWidth="1"/>
    <col min="12" max="12" width="21.44140625" style="191" customWidth="1"/>
    <col min="13" max="13" width="21.88671875" style="76" customWidth="1"/>
    <col min="14" max="14" width="22.33203125" style="76" customWidth="1"/>
    <col min="15" max="15" width="21" style="76" customWidth="1"/>
    <col min="16" max="16" width="21.44140625" style="76" customWidth="1"/>
    <col min="17" max="17" width="21.44140625" style="372" customWidth="1"/>
    <col min="18" max="18" width="27.109375" style="191" customWidth="1"/>
    <col min="19" max="20" width="25.88671875" style="191" customWidth="1"/>
    <col min="21" max="24" width="21.33203125" style="191" customWidth="1"/>
    <col min="25" max="25" width="22.109375" style="191" customWidth="1"/>
    <col min="26" max="26" width="26.88671875" style="130" customWidth="1"/>
    <col min="27" max="29" width="26.88671875" style="76" customWidth="1"/>
    <col min="30" max="30" width="34.6640625" style="76" customWidth="1"/>
    <col min="31" max="31" width="26.88671875" style="76" customWidth="1"/>
    <col min="32" max="32" width="27.109375" style="130" customWidth="1"/>
    <col min="33" max="33" width="23.5546875" style="196" customWidth="1"/>
    <col min="34" max="34" width="25.88671875" style="76" customWidth="1"/>
    <col min="35" max="35" width="20.6640625" style="76" customWidth="1"/>
    <col min="36" max="36" width="24.33203125" style="76" customWidth="1"/>
    <col min="37" max="37" width="21.33203125" style="130" customWidth="1"/>
    <col min="38" max="38" width="27.109375" style="76" customWidth="1"/>
    <col min="39" max="39" width="20.6640625" style="130" customWidth="1"/>
    <col min="40" max="43" width="20.6640625" style="76" customWidth="1"/>
    <col min="44" max="44" width="27.109375" style="76" customWidth="1"/>
    <col min="45" max="45" width="23.109375" style="76" customWidth="1"/>
    <col min="46" max="46" width="28" style="76" customWidth="1"/>
    <col min="47" max="47" width="23.44140625" style="76" customWidth="1"/>
    <col min="48" max="71" width="20.6640625" style="76" customWidth="1"/>
    <col min="72" max="16384" width="11.44140625" style="76"/>
  </cols>
  <sheetData>
    <row r="1" spans="1:48" x14ac:dyDescent="0.3">
      <c r="A1" s="1902" t="s">
        <v>518</v>
      </c>
      <c r="B1" s="1902"/>
      <c r="C1" s="1902"/>
      <c r="D1" s="1902"/>
      <c r="E1" s="1902"/>
      <c r="F1" s="1902"/>
      <c r="G1" s="1902"/>
      <c r="H1" s="1902"/>
      <c r="I1" s="1902"/>
      <c r="J1" s="1902"/>
      <c r="K1" s="1902"/>
      <c r="L1" s="1902"/>
      <c r="M1" s="1902"/>
      <c r="N1" s="1902"/>
      <c r="O1" s="1902"/>
      <c r="P1" s="1902"/>
      <c r="Q1" s="1902"/>
      <c r="R1" s="1902"/>
      <c r="S1" s="1902"/>
      <c r="T1" s="1902"/>
      <c r="U1" s="1902"/>
      <c r="V1" s="1902"/>
      <c r="W1" s="1902"/>
      <c r="X1" s="1902"/>
      <c r="Y1" s="1902"/>
      <c r="Z1" s="1902"/>
      <c r="AA1" s="1902"/>
      <c r="AB1" s="1902"/>
      <c r="AC1" s="1902"/>
      <c r="AD1" s="1902"/>
      <c r="AE1" s="1902"/>
      <c r="AF1" s="1902"/>
      <c r="AG1" s="1902"/>
      <c r="AH1" s="1902"/>
      <c r="AI1" s="1902"/>
      <c r="AJ1" s="1902"/>
      <c r="AK1" s="1902"/>
      <c r="AL1" s="1902"/>
      <c r="AM1" s="1902"/>
      <c r="AN1" s="300"/>
      <c r="AO1" s="300"/>
      <c r="AP1" s="300"/>
      <c r="AQ1" s="300"/>
    </row>
    <row r="2" spans="1:48" x14ac:dyDescent="0.3">
      <c r="A2" s="1902" t="s">
        <v>778</v>
      </c>
      <c r="B2" s="1902"/>
      <c r="C2" s="1902"/>
      <c r="D2" s="1902"/>
      <c r="E2" s="1902"/>
      <c r="F2" s="1902"/>
      <c r="G2" s="1902"/>
      <c r="H2" s="1902"/>
      <c r="I2" s="1902"/>
      <c r="J2" s="1902"/>
      <c r="K2" s="1902"/>
      <c r="L2" s="1902"/>
      <c r="M2" s="1902"/>
      <c r="N2" s="1902"/>
      <c r="O2" s="1902"/>
      <c r="P2" s="1902"/>
      <c r="Q2" s="1902"/>
      <c r="R2" s="1902"/>
      <c r="S2" s="1902"/>
      <c r="T2" s="1902"/>
      <c r="U2" s="1902"/>
      <c r="V2" s="1902"/>
      <c r="W2" s="1902"/>
      <c r="X2" s="1902"/>
      <c r="Y2" s="1902"/>
      <c r="Z2" s="1902"/>
      <c r="AA2" s="1902"/>
      <c r="AB2" s="1902"/>
      <c r="AC2" s="1902"/>
      <c r="AD2" s="1902"/>
      <c r="AE2" s="1902"/>
      <c r="AF2" s="1902"/>
      <c r="AG2" s="1902"/>
      <c r="AH2" s="1902"/>
      <c r="AI2" s="1902"/>
      <c r="AJ2" s="1902"/>
      <c r="AK2" s="1902"/>
      <c r="AL2" s="1902"/>
      <c r="AM2" s="1902"/>
      <c r="AN2" s="300"/>
      <c r="AO2" s="300"/>
      <c r="AP2" s="300"/>
      <c r="AQ2" s="300"/>
    </row>
    <row r="3" spans="1:48" ht="16.2" thickBot="1" x14ac:dyDescent="0.35">
      <c r="A3" s="1902" t="s">
        <v>632</v>
      </c>
      <c r="B3" s="1902"/>
      <c r="C3" s="1902"/>
      <c r="D3" s="1902"/>
      <c r="E3" s="1902"/>
      <c r="F3" s="1902"/>
      <c r="G3" s="1902"/>
      <c r="H3" s="1902"/>
      <c r="I3" s="1902"/>
      <c r="J3" s="1902"/>
      <c r="K3" s="1902"/>
      <c r="L3" s="1902"/>
      <c r="M3" s="1902"/>
      <c r="N3" s="1902"/>
      <c r="O3" s="1902"/>
      <c r="P3" s="1902"/>
      <c r="Q3" s="1902"/>
      <c r="R3" s="1902"/>
      <c r="S3" s="1902"/>
      <c r="T3" s="1902"/>
      <c r="U3" s="1902"/>
      <c r="V3" s="1902"/>
      <c r="W3" s="1902"/>
      <c r="X3" s="1902"/>
      <c r="Y3" s="1902"/>
      <c r="Z3" s="1902"/>
      <c r="AA3" s="1902"/>
      <c r="AB3" s="1902"/>
      <c r="AC3" s="1902"/>
      <c r="AD3" s="1902"/>
      <c r="AE3" s="1902"/>
      <c r="AF3" s="1902"/>
      <c r="AG3" s="1902"/>
      <c r="AH3" s="1902"/>
      <c r="AI3" s="1902"/>
      <c r="AJ3" s="1902"/>
      <c r="AK3" s="1902"/>
      <c r="AL3" s="1902"/>
      <c r="AM3" s="1902"/>
      <c r="AN3" s="300"/>
      <c r="AO3" s="300"/>
      <c r="AP3" s="300"/>
      <c r="AQ3" s="300"/>
    </row>
    <row r="4" spans="1:48" ht="33" hidden="1" customHeight="1" thickBot="1" x14ac:dyDescent="0.3">
      <c r="A4" s="1907"/>
      <c r="B4" s="1908"/>
      <c r="C4" s="1908"/>
      <c r="D4" s="1908"/>
      <c r="E4" s="1908"/>
      <c r="F4" s="1908"/>
      <c r="G4" s="1908"/>
      <c r="H4" s="1908"/>
      <c r="I4" s="1908"/>
      <c r="J4" s="1908"/>
      <c r="K4" s="1908"/>
      <c r="L4" s="1908"/>
      <c r="M4" s="1908"/>
      <c r="N4" s="1908"/>
      <c r="O4" s="1908"/>
      <c r="P4" s="1908"/>
      <c r="Q4" s="1908"/>
      <c r="R4" s="1908"/>
      <c r="S4" s="1908"/>
      <c r="T4" s="1908"/>
      <c r="U4" s="1908"/>
      <c r="V4" s="1908"/>
      <c r="W4" s="1908"/>
      <c r="X4" s="1908"/>
      <c r="Y4" s="1908"/>
      <c r="Z4" s="1908"/>
      <c r="AA4" s="1908"/>
      <c r="AB4" s="1908"/>
      <c r="AC4" s="1908"/>
      <c r="AD4" s="1908"/>
      <c r="AE4" s="1908"/>
      <c r="AF4" s="1908"/>
      <c r="AG4" s="1908"/>
      <c r="AH4" s="1908"/>
      <c r="AI4" s="1908"/>
      <c r="AJ4" s="1908"/>
      <c r="AK4" s="1908"/>
      <c r="AL4" s="96"/>
      <c r="AM4" s="154"/>
      <c r="AN4" s="96"/>
      <c r="AO4" s="96"/>
      <c r="AP4" s="96"/>
      <c r="AQ4" s="96"/>
    </row>
    <row r="5" spans="1:48" s="194" customFormat="1" ht="11.25" hidden="1" customHeight="1" thickTop="1" thickBot="1" x14ac:dyDescent="0.35">
      <c r="A5" s="193"/>
      <c r="B5" s="194" t="s">
        <v>0</v>
      </c>
      <c r="C5" s="194" t="s">
        <v>0</v>
      </c>
      <c r="D5" s="299" t="s">
        <v>0</v>
      </c>
      <c r="E5" s="192"/>
      <c r="F5" s="299" t="s">
        <v>0</v>
      </c>
      <c r="G5" s="333" t="s">
        <v>1</v>
      </c>
      <c r="H5" s="334" t="s">
        <v>2</v>
      </c>
      <c r="I5" s="335" t="s">
        <v>3</v>
      </c>
      <c r="J5" s="335" t="s">
        <v>4</v>
      </c>
      <c r="K5" s="335" t="s">
        <v>477</v>
      </c>
      <c r="L5" s="335" t="s">
        <v>479</v>
      </c>
      <c r="M5" s="335" t="s">
        <v>5</v>
      </c>
      <c r="N5" s="335" t="s">
        <v>6</v>
      </c>
      <c r="O5" s="335" t="s">
        <v>7</v>
      </c>
      <c r="P5" s="335" t="s">
        <v>8</v>
      </c>
      <c r="Q5" s="299" t="s">
        <v>9</v>
      </c>
      <c r="R5" s="299" t="s">
        <v>468</v>
      </c>
      <c r="S5" s="299" t="s">
        <v>10</v>
      </c>
      <c r="T5" s="299" t="s">
        <v>10</v>
      </c>
      <c r="U5" s="299" t="s">
        <v>11</v>
      </c>
      <c r="V5" s="299" t="s">
        <v>11</v>
      </c>
      <c r="W5" s="299" t="s">
        <v>11</v>
      </c>
      <c r="X5" s="299" t="s">
        <v>11</v>
      </c>
      <c r="Y5" s="299" t="s">
        <v>12</v>
      </c>
      <c r="Z5" s="299" t="s">
        <v>0</v>
      </c>
      <c r="AA5" s="299" t="s">
        <v>0</v>
      </c>
      <c r="AB5" s="299" t="s">
        <v>0</v>
      </c>
      <c r="AC5" s="299" t="s">
        <v>0</v>
      </c>
      <c r="AD5" s="299" t="s">
        <v>0</v>
      </c>
      <c r="AE5" s="299" t="s">
        <v>0</v>
      </c>
      <c r="AF5" s="122"/>
      <c r="AG5" s="336"/>
      <c r="AK5" s="122"/>
      <c r="AM5" s="195"/>
    </row>
    <row r="6" spans="1:48" s="241" customFormat="1" ht="94.2" thickBot="1" x14ac:dyDescent="0.3">
      <c r="A6" s="1381" t="s">
        <v>13</v>
      </c>
      <c r="B6" s="1914" t="s">
        <v>14</v>
      </c>
      <c r="C6" s="1915"/>
      <c r="D6" s="1382" t="s">
        <v>476</v>
      </c>
      <c r="E6" s="1383" t="s">
        <v>550</v>
      </c>
      <c r="F6" s="1384" t="s">
        <v>642</v>
      </c>
      <c r="G6" s="1385" t="s">
        <v>618</v>
      </c>
      <c r="H6" s="1386" t="s">
        <v>15</v>
      </c>
      <c r="I6" s="1386" t="s">
        <v>16</v>
      </c>
      <c r="J6" s="1386" t="s">
        <v>17</v>
      </c>
      <c r="K6" s="1386" t="s">
        <v>478</v>
      </c>
      <c r="L6" s="1387" t="s">
        <v>598</v>
      </c>
      <c r="M6" s="1386" t="s">
        <v>18</v>
      </c>
      <c r="N6" s="1386" t="s">
        <v>19</v>
      </c>
      <c r="O6" s="1386" t="s">
        <v>599</v>
      </c>
      <c r="P6" s="1386" t="s">
        <v>20</v>
      </c>
      <c r="Q6" s="1387" t="s">
        <v>600</v>
      </c>
      <c r="R6" s="1387" t="s">
        <v>619</v>
      </c>
      <c r="S6" s="1387" t="s">
        <v>601</v>
      </c>
      <c r="T6" s="1387" t="s">
        <v>602</v>
      </c>
      <c r="U6" s="1387" t="s">
        <v>620</v>
      </c>
      <c r="V6" s="1387" t="s">
        <v>647</v>
      </c>
      <c r="W6" s="1387" t="s">
        <v>648</v>
      </c>
      <c r="X6" s="1387" t="s">
        <v>649</v>
      </c>
      <c r="Y6" s="1387" t="s">
        <v>603</v>
      </c>
      <c r="Z6" s="1388" t="s">
        <v>610</v>
      </c>
      <c r="AA6" s="1389" t="s">
        <v>604</v>
      </c>
      <c r="AB6" s="1389" t="s">
        <v>605</v>
      </c>
      <c r="AC6" s="1389" t="s">
        <v>606</v>
      </c>
      <c r="AD6" s="1389" t="s">
        <v>607</v>
      </c>
      <c r="AE6" s="1389" t="s">
        <v>608</v>
      </c>
      <c r="AF6" s="1382" t="s">
        <v>609</v>
      </c>
      <c r="AG6" s="1390" t="s">
        <v>611</v>
      </c>
      <c r="AH6" s="1383" t="s">
        <v>612</v>
      </c>
      <c r="AI6" s="1383" t="s">
        <v>613</v>
      </c>
      <c r="AJ6" s="1383" t="s">
        <v>614</v>
      </c>
      <c r="AK6" s="1391" t="s">
        <v>643</v>
      </c>
      <c r="AL6" s="1382" t="s">
        <v>801</v>
      </c>
      <c r="AM6" s="1392" t="s">
        <v>802</v>
      </c>
      <c r="AN6" s="1393" t="s">
        <v>623</v>
      </c>
      <c r="AO6" s="1394" t="s">
        <v>615</v>
      </c>
      <c r="AP6" s="1394" t="s">
        <v>616</v>
      </c>
      <c r="AQ6" s="1394" t="s">
        <v>617</v>
      </c>
    </row>
    <row r="7" spans="1:48" ht="16.2" thickTop="1" x14ac:dyDescent="0.25">
      <c r="A7" s="436"/>
      <c r="B7" s="1910" t="s">
        <v>21</v>
      </c>
      <c r="C7" s="1911"/>
      <c r="D7" s="437">
        <f t="shared" ref="D7:R7" si="0">+D9+D61+D133+D168+D182+D194+D246+D269+D287+D295</f>
        <v>65065338341</v>
      </c>
      <c r="E7" s="438">
        <f t="shared" si="0"/>
        <v>65065338341</v>
      </c>
      <c r="F7" s="438">
        <f t="shared" si="0"/>
        <v>4283395001</v>
      </c>
      <c r="G7" s="438">
        <f t="shared" si="0"/>
        <v>29606036</v>
      </c>
      <c r="H7" s="438">
        <f t="shared" si="0"/>
        <v>196421448</v>
      </c>
      <c r="I7" s="438">
        <f t="shared" si="0"/>
        <v>211432271</v>
      </c>
      <c r="J7" s="438">
        <f t="shared" si="0"/>
        <v>140331791</v>
      </c>
      <c r="K7" s="438">
        <f t="shared" si="0"/>
        <v>86147131</v>
      </c>
      <c r="L7" s="438">
        <f t="shared" si="0"/>
        <v>668982108</v>
      </c>
      <c r="M7" s="438">
        <f t="shared" si="0"/>
        <v>50424975</v>
      </c>
      <c r="N7" s="438">
        <f t="shared" si="0"/>
        <v>25715509</v>
      </c>
      <c r="O7" s="438">
        <f t="shared" si="0"/>
        <v>203414530</v>
      </c>
      <c r="P7" s="438">
        <f t="shared" si="0"/>
        <v>416997683</v>
      </c>
      <c r="Q7" s="438">
        <f t="shared" si="0"/>
        <v>190713301</v>
      </c>
      <c r="R7" s="438">
        <f t="shared" si="0"/>
        <v>725909575</v>
      </c>
      <c r="S7" s="438">
        <f>SUM(S9+S61+S133+S168+S194+S246+S271+S287+S295)</f>
        <v>487215440</v>
      </c>
      <c r="T7" s="438">
        <f t="shared" ref="T7:AE7" si="1">+T9+T61+T133+T168+T182+T194+T246+T269+T287+T295</f>
        <v>131923342</v>
      </c>
      <c r="U7" s="438">
        <f t="shared" si="1"/>
        <v>28510566</v>
      </c>
      <c r="V7" s="438">
        <f t="shared" si="1"/>
        <v>152048935</v>
      </c>
      <c r="W7" s="438">
        <f t="shared" si="1"/>
        <v>355352254</v>
      </c>
      <c r="X7" s="438">
        <f t="shared" si="1"/>
        <v>128716312</v>
      </c>
      <c r="Y7" s="438">
        <f t="shared" si="1"/>
        <v>45131794</v>
      </c>
      <c r="Z7" s="438">
        <f t="shared" si="1"/>
        <v>1508515764</v>
      </c>
      <c r="AA7" s="438">
        <f t="shared" si="1"/>
        <v>240274587</v>
      </c>
      <c r="AB7" s="438">
        <f t="shared" si="1"/>
        <v>233598134</v>
      </c>
      <c r="AC7" s="438">
        <f t="shared" si="1"/>
        <v>241128093</v>
      </c>
      <c r="AD7" s="438">
        <f t="shared" si="1"/>
        <v>620235401</v>
      </c>
      <c r="AE7" s="438">
        <f t="shared" si="1"/>
        <v>173279549</v>
      </c>
      <c r="AF7" s="439">
        <f>SUM(AF9+AF61+AF133+AF168+AF182+AF194+AF246+AF269+AF295)</f>
        <v>6180606913</v>
      </c>
      <c r="AG7" s="440">
        <f t="shared" ref="AG7:AQ7" si="2">+AG9+AG61+AG133+AG168+AG182+AG194+AG246+AG269+AG287+AG295</f>
        <v>53140486</v>
      </c>
      <c r="AH7" s="438">
        <f t="shared" si="2"/>
        <v>3173539814</v>
      </c>
      <c r="AI7" s="438">
        <f t="shared" si="2"/>
        <v>109581837</v>
      </c>
      <c r="AJ7" s="438">
        <f t="shared" si="2"/>
        <v>2844344776</v>
      </c>
      <c r="AK7" s="435">
        <f t="shared" si="2"/>
        <v>53092820663</v>
      </c>
      <c r="AL7" s="438">
        <f t="shared" si="2"/>
        <v>43987597647</v>
      </c>
      <c r="AM7" s="435">
        <f t="shared" si="2"/>
        <v>9105223016</v>
      </c>
      <c r="AN7" s="301">
        <f t="shared" si="2"/>
        <v>58354466</v>
      </c>
      <c r="AO7" s="71">
        <f t="shared" si="2"/>
        <v>237580213</v>
      </c>
      <c r="AP7" s="71">
        <f t="shared" si="2"/>
        <v>168197876</v>
      </c>
      <c r="AQ7" s="71">
        <f t="shared" si="2"/>
        <v>8641090461</v>
      </c>
      <c r="AS7" s="196"/>
    </row>
    <row r="8" spans="1:48" ht="15" customHeight="1" x14ac:dyDescent="0.3">
      <c r="A8" s="197"/>
      <c r="B8" s="198" t="s">
        <v>0</v>
      </c>
      <c r="C8" s="199"/>
      <c r="D8" s="75"/>
      <c r="E8" s="98"/>
      <c r="F8" s="232"/>
      <c r="G8" s="75"/>
      <c r="H8" s="75"/>
      <c r="I8" s="75"/>
      <c r="J8" s="75"/>
      <c r="K8" s="75"/>
      <c r="L8" s="123"/>
      <c r="M8" s="75"/>
      <c r="N8" s="75"/>
      <c r="O8" s="75"/>
      <c r="P8" s="75"/>
      <c r="Q8" s="123"/>
      <c r="R8" s="123"/>
      <c r="S8" s="123"/>
      <c r="T8" s="123"/>
      <c r="U8" s="123"/>
      <c r="V8" s="123"/>
      <c r="W8" s="123"/>
      <c r="X8" s="123"/>
      <c r="Y8" s="123"/>
      <c r="Z8" s="3"/>
      <c r="AA8" s="3"/>
      <c r="AB8" s="3"/>
      <c r="AC8" s="3"/>
      <c r="AD8" s="3"/>
      <c r="AE8" s="3"/>
      <c r="AF8" s="123"/>
      <c r="AG8" s="337"/>
      <c r="AH8" s="3"/>
      <c r="AI8" s="3"/>
      <c r="AJ8" s="3"/>
      <c r="AK8" s="124"/>
      <c r="AL8" s="242"/>
      <c r="AM8" s="243"/>
      <c r="AN8" s="302"/>
      <c r="AO8" s="3"/>
      <c r="AP8" s="3"/>
      <c r="AQ8" s="3"/>
      <c r="AR8" s="196"/>
      <c r="AT8" s="130"/>
      <c r="AU8" s="200"/>
    </row>
    <row r="9" spans="1:48" ht="15.75" customHeight="1" x14ac:dyDescent="0.3">
      <c r="A9" s="31">
        <v>0</v>
      </c>
      <c r="B9" s="1909" t="s">
        <v>22</v>
      </c>
      <c r="C9" s="1904"/>
      <c r="D9" s="19">
        <f>D11+D17+D23+D43+D50+D56</f>
        <v>3788630245</v>
      </c>
      <c r="E9" s="71">
        <f>SUM(E11+E17+E23+E43+E50+E57)</f>
        <v>3788630245</v>
      </c>
      <c r="F9" s="19">
        <f>F11+F17+F23+F43+F50+F56</f>
        <v>1906624633</v>
      </c>
      <c r="G9" s="19">
        <f>G11+G17+G23+G43+G50</f>
        <v>27746128</v>
      </c>
      <c r="H9" s="19">
        <f>H11+H17+H23+H43+H50</f>
        <v>174410551</v>
      </c>
      <c r="I9" s="19">
        <f>I11+I17+I23+I43+I50</f>
        <v>169162246</v>
      </c>
      <c r="J9" s="19">
        <f>J11+J17+J23+J43+J50</f>
        <v>95495364</v>
      </c>
      <c r="K9" s="19">
        <f>K11+K17+K23+K43+K50</f>
        <v>17770378</v>
      </c>
      <c r="L9" s="19">
        <f>L11+L17+L23+L43+L50+L56</f>
        <v>175714421</v>
      </c>
      <c r="M9" s="19">
        <f>M11+M17+M23+M43+M50</f>
        <v>43128715</v>
      </c>
      <c r="N9" s="19">
        <f>N11+N17+N23+N43+N50</f>
        <v>22039788</v>
      </c>
      <c r="O9" s="19">
        <f>O11+O17+O23+O43+O50</f>
        <v>154914379</v>
      </c>
      <c r="P9" s="19">
        <f>P11+P17+P23+P43+P50</f>
        <v>300530750</v>
      </c>
      <c r="Q9" s="19">
        <f t="shared" ref="Q9:AE9" si="3">Q11+Q17+Q23+Q43+Q50+Q56</f>
        <v>42228997</v>
      </c>
      <c r="R9" s="19">
        <f t="shared" si="3"/>
        <v>167131702</v>
      </c>
      <c r="S9" s="19">
        <f t="shared" si="3"/>
        <v>94574500</v>
      </c>
      <c r="T9" s="19">
        <f t="shared" si="3"/>
        <v>109012972</v>
      </c>
      <c r="U9" s="19">
        <f t="shared" si="3"/>
        <v>26539669</v>
      </c>
      <c r="V9" s="19">
        <f t="shared" si="3"/>
        <v>126908901</v>
      </c>
      <c r="W9" s="19">
        <f t="shared" si="3"/>
        <v>58885520</v>
      </c>
      <c r="X9" s="19">
        <f t="shared" si="3"/>
        <v>67054935</v>
      </c>
      <c r="Y9" s="19">
        <f t="shared" si="3"/>
        <v>33374717</v>
      </c>
      <c r="Z9" s="19">
        <f t="shared" si="3"/>
        <v>750363848</v>
      </c>
      <c r="AA9" s="19">
        <f t="shared" si="3"/>
        <v>79343355</v>
      </c>
      <c r="AB9" s="19">
        <f t="shared" si="3"/>
        <v>110399345</v>
      </c>
      <c r="AC9" s="19">
        <f t="shared" si="3"/>
        <v>207214876</v>
      </c>
      <c r="AD9" s="19">
        <f t="shared" si="3"/>
        <v>224628914</v>
      </c>
      <c r="AE9" s="19">
        <f t="shared" si="3"/>
        <v>128777358</v>
      </c>
      <c r="AF9" s="4">
        <f>SUM(AF11+AF17+AF23+AF43+AF50)</f>
        <v>553123238</v>
      </c>
      <c r="AG9" s="19">
        <f>AG11+AG17+AG23+AG43+AG50+AG56</f>
        <v>47264021</v>
      </c>
      <c r="AH9" s="19">
        <f>AH11+AH17+AH23+AH43+AH50+AH56</f>
        <v>251742627</v>
      </c>
      <c r="AI9" s="4">
        <f t="shared" ref="AI9:AQ9" si="4">+AI11+AI17+AI23+AI43+AI50+AI56</f>
        <v>104095526</v>
      </c>
      <c r="AJ9" s="4">
        <f t="shared" si="4"/>
        <v>150021064</v>
      </c>
      <c r="AK9" s="77">
        <f t="shared" si="4"/>
        <v>578518526</v>
      </c>
      <c r="AL9" s="4">
        <f t="shared" si="4"/>
        <v>178232020</v>
      </c>
      <c r="AM9" s="77">
        <f t="shared" si="4"/>
        <v>400286506</v>
      </c>
      <c r="AN9" s="303">
        <f t="shared" si="4"/>
        <v>51219406</v>
      </c>
      <c r="AO9" s="4">
        <f t="shared" si="4"/>
        <v>67431241</v>
      </c>
      <c r="AP9" s="4">
        <f t="shared" si="4"/>
        <v>150193686</v>
      </c>
      <c r="AQ9" s="4">
        <f t="shared" si="4"/>
        <v>131442173</v>
      </c>
      <c r="AR9" s="201"/>
    </row>
    <row r="10" spans="1:48" ht="15.75" customHeight="1" x14ac:dyDescent="0.3">
      <c r="A10" s="193"/>
      <c r="B10" s="202"/>
      <c r="D10" s="5" t="s">
        <v>0</v>
      </c>
      <c r="E10" s="98"/>
      <c r="F10" s="175"/>
      <c r="G10" s="5"/>
      <c r="H10" s="5"/>
      <c r="I10" s="5"/>
      <c r="J10" s="5"/>
      <c r="K10" s="5"/>
      <c r="L10" s="1"/>
      <c r="M10" s="5"/>
      <c r="N10" s="5"/>
      <c r="O10" s="5"/>
      <c r="P10" s="5"/>
      <c r="Q10" s="338"/>
      <c r="R10" s="1"/>
      <c r="S10" s="1"/>
      <c r="T10" s="1"/>
      <c r="U10" s="1"/>
      <c r="V10" s="1"/>
      <c r="W10" s="1"/>
      <c r="X10" s="1"/>
      <c r="Y10" s="1"/>
      <c r="Z10" s="175"/>
      <c r="AA10" s="5"/>
      <c r="AB10" s="5"/>
      <c r="AC10" s="5"/>
      <c r="AD10" s="5"/>
      <c r="AE10" s="5"/>
      <c r="AF10" s="2">
        <f>SUM(AG10:AI10)</f>
        <v>0</v>
      </c>
      <c r="AG10" s="339"/>
      <c r="AH10" s="5"/>
      <c r="AI10" s="1"/>
      <c r="AJ10" s="1"/>
      <c r="AK10" s="70"/>
      <c r="AL10" s="1"/>
      <c r="AM10" s="70"/>
      <c r="AN10" s="304"/>
      <c r="AO10" s="1"/>
      <c r="AP10" s="1"/>
      <c r="AQ10" s="1"/>
      <c r="AR10" s="203"/>
    </row>
    <row r="11" spans="1:48" ht="15.75" customHeight="1" x14ac:dyDescent="0.3">
      <c r="A11" s="32" t="s">
        <v>23</v>
      </c>
      <c r="B11" s="1916" t="s">
        <v>24</v>
      </c>
      <c r="C11" s="1917"/>
      <c r="D11" s="21">
        <f>SUM(D12:D15)</f>
        <v>1310966064</v>
      </c>
      <c r="E11" s="71">
        <f>SUM(E12:E15)</f>
        <v>1310966064</v>
      </c>
      <c r="F11" s="21">
        <f>SUM(F12:F15)</f>
        <v>692152323</v>
      </c>
      <c r="G11" s="21">
        <f t="shared" ref="G11:Z11" si="5">SUM(G12:G15)</f>
        <v>0</v>
      </c>
      <c r="H11" s="21">
        <f t="shared" si="5"/>
        <v>52504812</v>
      </c>
      <c r="I11" s="21">
        <f t="shared" si="5"/>
        <v>81995115</v>
      </c>
      <c r="J11" s="21">
        <f t="shared" si="5"/>
        <v>46718563</v>
      </c>
      <c r="K11" s="21">
        <f t="shared" si="5"/>
        <v>6173716</v>
      </c>
      <c r="L11" s="21">
        <f t="shared" si="5"/>
        <v>56218122</v>
      </c>
      <c r="M11" s="21">
        <f t="shared" si="5"/>
        <v>26977557</v>
      </c>
      <c r="N11" s="21">
        <f t="shared" si="5"/>
        <v>8254324</v>
      </c>
      <c r="O11" s="21">
        <f t="shared" si="5"/>
        <v>52318287</v>
      </c>
      <c r="P11" s="21">
        <f t="shared" si="5"/>
        <v>83110786</v>
      </c>
      <c r="Q11" s="21">
        <f t="shared" si="5"/>
        <v>15454538</v>
      </c>
      <c r="R11" s="21">
        <f t="shared" si="5"/>
        <v>68139739</v>
      </c>
      <c r="S11" s="21">
        <f t="shared" si="5"/>
        <v>35445795</v>
      </c>
      <c r="T11" s="21">
        <f>SUM(T12:T15)</f>
        <v>32091421</v>
      </c>
      <c r="U11" s="21">
        <f t="shared" si="5"/>
        <v>10514093</v>
      </c>
      <c r="V11" s="21">
        <f>SUM(V12:V15)</f>
        <v>53560761</v>
      </c>
      <c r="W11" s="21">
        <f>SUM(W12:W15)</f>
        <v>22720405</v>
      </c>
      <c r="X11" s="21">
        <f>SUM(X12:X15)</f>
        <v>26638647</v>
      </c>
      <c r="Y11" s="21">
        <f t="shared" si="5"/>
        <v>13315642</v>
      </c>
      <c r="Z11" s="2">
        <f t="shared" si="5"/>
        <v>222081371</v>
      </c>
      <c r="AA11" s="2">
        <f>SUM(AA12:AA15)</f>
        <v>23591670</v>
      </c>
      <c r="AB11" s="2">
        <f>SUM(AB12:AB15)</f>
        <v>27039920</v>
      </c>
      <c r="AC11" s="2">
        <f>SUM(AC12:AC15)</f>
        <v>60079303</v>
      </c>
      <c r="AD11" s="2">
        <f>SUM(AD12:AD15)</f>
        <v>71757333</v>
      </c>
      <c r="AE11" s="315">
        <f t="shared" ref="AE11:AQ11" si="6">SUM(AE12:AE15)</f>
        <v>39613145</v>
      </c>
      <c r="AF11" s="2">
        <f>SUM(AF12:AF15)</f>
        <v>194299647</v>
      </c>
      <c r="AG11" s="340">
        <f t="shared" si="6"/>
        <v>18060359</v>
      </c>
      <c r="AH11" s="2">
        <f t="shared" si="6"/>
        <v>94539094</v>
      </c>
      <c r="AI11" s="33">
        <f t="shared" si="6"/>
        <v>32567549</v>
      </c>
      <c r="AJ11" s="33">
        <f t="shared" si="6"/>
        <v>49132645</v>
      </c>
      <c r="AK11" s="34">
        <f t="shared" si="6"/>
        <v>202432723</v>
      </c>
      <c r="AL11" s="35">
        <f t="shared" si="6"/>
        <v>65297549</v>
      </c>
      <c r="AM11" s="34">
        <f t="shared" si="6"/>
        <v>137135174</v>
      </c>
      <c r="AN11" s="305">
        <f>SUM(AN12:AN15)</f>
        <v>18060359</v>
      </c>
      <c r="AO11" s="35">
        <f t="shared" si="6"/>
        <v>26393833</v>
      </c>
      <c r="AP11" s="35">
        <f t="shared" si="6"/>
        <v>53225140</v>
      </c>
      <c r="AQ11" s="35">
        <f t="shared" si="6"/>
        <v>39455842</v>
      </c>
      <c r="AR11" s="203"/>
      <c r="AU11" s="204"/>
      <c r="AV11" s="205"/>
    </row>
    <row r="12" spans="1:48" ht="15.75" customHeight="1" x14ac:dyDescent="0.3">
      <c r="A12" s="36" t="s">
        <v>25</v>
      </c>
      <c r="B12" s="1903" t="s">
        <v>26</v>
      </c>
      <c r="C12" s="1904"/>
      <c r="D12" s="20">
        <f>+F12+Z12+AF12+AK12</f>
        <v>1306966064</v>
      </c>
      <c r="E12" s="98">
        <f>SUM(G12+H12+I12+J12+K12+L12+M12+N12+O12+P12+Q12+R12+S12+T12+U12+V12+W12+X12+Y12+AA12+AB12+AC12+AD12+AE12+AG12+AH12+AI12+AJ12+AL12+AN12+AO12+AP12+AQ12)</f>
        <v>1306966064</v>
      </c>
      <c r="F12" s="21">
        <f>SUM(G12:Y12)</f>
        <v>690152323</v>
      </c>
      <c r="G12" s="341"/>
      <c r="H12" s="341">
        <v>52504812</v>
      </c>
      <c r="I12" s="341">
        <v>79995115</v>
      </c>
      <c r="J12" s="341">
        <v>46718563</v>
      </c>
      <c r="K12" s="341">
        <v>6173716</v>
      </c>
      <c r="L12" s="1">
        <v>56218122</v>
      </c>
      <c r="M12" s="341">
        <v>26977557</v>
      </c>
      <c r="N12" s="341">
        <v>8254324</v>
      </c>
      <c r="O12" s="341">
        <v>52318287</v>
      </c>
      <c r="P12" s="341">
        <v>83110786</v>
      </c>
      <c r="Q12" s="1">
        <v>15454538</v>
      </c>
      <c r="R12" s="1">
        <v>68139739</v>
      </c>
      <c r="S12" s="1">
        <v>35445795</v>
      </c>
      <c r="T12" s="1">
        <v>32091421</v>
      </c>
      <c r="U12" s="1">
        <v>10514093</v>
      </c>
      <c r="V12" s="1">
        <v>53560761</v>
      </c>
      <c r="W12" s="1">
        <v>22720405</v>
      </c>
      <c r="X12" s="1">
        <v>26638647</v>
      </c>
      <c r="Y12" s="1">
        <v>13315642</v>
      </c>
      <c r="Z12" s="10">
        <f>SUM(AA12:AE12)</f>
        <v>222081371</v>
      </c>
      <c r="AA12" s="8">
        <v>23591670</v>
      </c>
      <c r="AB12" s="8">
        <v>27039920</v>
      </c>
      <c r="AC12" s="8">
        <v>60079303</v>
      </c>
      <c r="AD12" s="8">
        <v>71757333</v>
      </c>
      <c r="AE12" s="8">
        <v>39613145</v>
      </c>
      <c r="AF12" s="2">
        <f>SUM(AG12:AJ12)</f>
        <v>194299647</v>
      </c>
      <c r="AG12" s="339">
        <v>18060359</v>
      </c>
      <c r="AH12" s="13">
        <v>94539094</v>
      </c>
      <c r="AI12" s="35">
        <v>32567549</v>
      </c>
      <c r="AJ12" s="35">
        <v>49132645</v>
      </c>
      <c r="AK12" s="34">
        <f>SUM(AL12+AM12)</f>
        <v>200432723</v>
      </c>
      <c r="AL12" s="35">
        <v>65297549</v>
      </c>
      <c r="AM12" s="30">
        <f>SUM(AN12:AQ12)</f>
        <v>135135174</v>
      </c>
      <c r="AN12" s="305">
        <v>18060359</v>
      </c>
      <c r="AO12" s="35">
        <v>26393833</v>
      </c>
      <c r="AP12" s="35">
        <v>53225140</v>
      </c>
      <c r="AQ12" s="35">
        <v>37455842</v>
      </c>
    </row>
    <row r="13" spans="1:48" ht="15.75" hidden="1" customHeight="1" x14ac:dyDescent="0.3">
      <c r="A13" s="36" t="s">
        <v>27</v>
      </c>
      <c r="B13" s="1903" t="s">
        <v>28</v>
      </c>
      <c r="C13" s="1904"/>
      <c r="D13" s="20">
        <f t="shared" ref="D13:D15" si="7">+F13+Z13+AF13+AK13</f>
        <v>0</v>
      </c>
      <c r="E13" s="98">
        <f t="shared" ref="E13:E15" si="8">SUM(G13+H13+I13+J13+K13+L13+M13+N13+O13+P13+Q13+R13+S13+T13+U13+V13+W13+X13+Y13+AA13+AB13+AC13+AD13+AE13+AG13+AH13+AI13+AJ13+AL13+AN13+AO13+AP13+AQ13)</f>
        <v>0</v>
      </c>
      <c r="F13" s="21">
        <f>SUM(G13:Y13)</f>
        <v>0</v>
      </c>
      <c r="G13" s="341"/>
      <c r="H13" s="341"/>
      <c r="I13" s="341"/>
      <c r="J13" s="341"/>
      <c r="K13" s="341"/>
      <c r="L13" s="1"/>
      <c r="M13" s="341"/>
      <c r="N13" s="341"/>
      <c r="O13" s="341"/>
      <c r="P13" s="341"/>
      <c r="Q13" s="1"/>
      <c r="R13" s="1"/>
      <c r="S13" s="1"/>
      <c r="T13" s="1"/>
      <c r="U13" s="1"/>
      <c r="V13" s="1"/>
      <c r="W13" s="1"/>
      <c r="X13" s="1"/>
      <c r="Y13" s="1"/>
      <c r="Z13" s="10">
        <f>SUM(AA13:AE13)</f>
        <v>0</v>
      </c>
      <c r="AA13" s="8"/>
      <c r="AB13" s="8"/>
      <c r="AC13" s="8"/>
      <c r="AD13" s="8"/>
      <c r="AE13" s="8"/>
      <c r="AF13" s="2">
        <f>SUM(AG13:AJ13)</f>
        <v>0</v>
      </c>
      <c r="AG13" s="339"/>
      <c r="AH13" s="13"/>
      <c r="AI13" s="35"/>
      <c r="AJ13" s="35"/>
      <c r="AK13" s="34">
        <f>SUM(AL13+AM13)</f>
        <v>0</v>
      </c>
      <c r="AL13" s="35"/>
      <c r="AM13" s="30">
        <f>SUM(AN13:AQ13)</f>
        <v>0</v>
      </c>
      <c r="AN13" s="305"/>
      <c r="AO13" s="35"/>
      <c r="AP13" s="35"/>
      <c r="AQ13" s="35"/>
    </row>
    <row r="14" spans="1:48" ht="15.75" hidden="1" customHeight="1" x14ac:dyDescent="0.3">
      <c r="A14" s="36" t="s">
        <v>29</v>
      </c>
      <c r="B14" s="1903" t="s">
        <v>30</v>
      </c>
      <c r="C14" s="1904"/>
      <c r="D14" s="20">
        <f t="shared" si="7"/>
        <v>0</v>
      </c>
      <c r="E14" s="98">
        <f t="shared" si="8"/>
        <v>0</v>
      </c>
      <c r="F14" s="21">
        <f>SUM(G14:Y14)</f>
        <v>0</v>
      </c>
      <c r="G14" s="20"/>
      <c r="H14" s="20"/>
      <c r="I14" s="20"/>
      <c r="J14" s="20"/>
      <c r="K14" s="20"/>
      <c r="L14" s="1"/>
      <c r="M14" s="20"/>
      <c r="N14" s="20"/>
      <c r="O14" s="20"/>
      <c r="P14" s="20"/>
      <c r="Q14" s="1"/>
      <c r="R14" s="1"/>
      <c r="S14" s="1"/>
      <c r="T14" s="1"/>
      <c r="U14" s="1"/>
      <c r="V14" s="1"/>
      <c r="W14" s="1"/>
      <c r="X14" s="1"/>
      <c r="Y14" s="1"/>
      <c r="Z14" s="10">
        <f>SUM(AA14:AE14)</f>
        <v>0</v>
      </c>
      <c r="AA14" s="8"/>
      <c r="AB14" s="8"/>
      <c r="AC14" s="8"/>
      <c r="AD14" s="8"/>
      <c r="AE14" s="8"/>
      <c r="AF14" s="2">
        <f>SUM(AG14:AJ14)</f>
        <v>0</v>
      </c>
      <c r="AG14" s="339"/>
      <c r="AH14" s="13"/>
      <c r="AI14" s="35"/>
      <c r="AJ14" s="35"/>
      <c r="AK14" s="34">
        <f>SUM(AL14+AM14)</f>
        <v>0</v>
      </c>
      <c r="AL14" s="35"/>
      <c r="AM14" s="30">
        <f>SUM(AN14:AQ14)</f>
        <v>0</v>
      </c>
      <c r="AN14" s="305"/>
      <c r="AO14" s="35"/>
      <c r="AP14" s="35"/>
      <c r="AQ14" s="35"/>
      <c r="AV14" s="204"/>
    </row>
    <row r="15" spans="1:48" ht="15.75" customHeight="1" x14ac:dyDescent="0.3">
      <c r="A15" s="36" t="s">
        <v>31</v>
      </c>
      <c r="B15" s="1903" t="s">
        <v>32</v>
      </c>
      <c r="C15" s="1904"/>
      <c r="D15" s="20">
        <f t="shared" si="7"/>
        <v>4000000</v>
      </c>
      <c r="E15" s="98">
        <f t="shared" si="8"/>
        <v>4000000</v>
      </c>
      <c r="F15" s="21">
        <f>SUM(G15:Y15)</f>
        <v>2000000</v>
      </c>
      <c r="G15" s="341"/>
      <c r="H15" s="341"/>
      <c r="I15" s="341">
        <v>2000000</v>
      </c>
      <c r="J15" s="341"/>
      <c r="K15" s="341">
        <v>0</v>
      </c>
      <c r="L15" s="1">
        <v>0</v>
      </c>
      <c r="M15" s="341">
        <v>0</v>
      </c>
      <c r="N15" s="341"/>
      <c r="O15" s="341"/>
      <c r="P15" s="341"/>
      <c r="Q15" s="1"/>
      <c r="R15" s="1"/>
      <c r="S15" s="1"/>
      <c r="T15" s="1"/>
      <c r="U15" s="1"/>
      <c r="V15" s="1"/>
      <c r="W15" s="1"/>
      <c r="X15" s="1"/>
      <c r="Y15" s="1"/>
      <c r="Z15" s="10">
        <f>SUM(AA15:AE15)</f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2">
        <f>SUM(AG15:AJ15)</f>
        <v>0</v>
      </c>
      <c r="AG15" s="339"/>
      <c r="AH15" s="13"/>
      <c r="AI15" s="35"/>
      <c r="AJ15" s="35"/>
      <c r="AK15" s="34">
        <f>SUM(AL15+AM15)</f>
        <v>2000000</v>
      </c>
      <c r="AL15" s="35">
        <v>0</v>
      </c>
      <c r="AM15" s="30">
        <f>SUM(AN15:AQ15)</f>
        <v>2000000</v>
      </c>
      <c r="AN15" s="305"/>
      <c r="AO15" s="35"/>
      <c r="AP15" s="35"/>
      <c r="AQ15" s="35">
        <v>2000000</v>
      </c>
    </row>
    <row r="16" spans="1:48" ht="15.75" customHeight="1" x14ac:dyDescent="0.3">
      <c r="A16" s="206"/>
      <c r="B16" s="381"/>
      <c r="C16" s="99"/>
      <c r="D16" s="20"/>
      <c r="E16" s="98"/>
      <c r="F16" s="21"/>
      <c r="G16" s="341"/>
      <c r="H16" s="341"/>
      <c r="I16" s="341"/>
      <c r="J16" s="341"/>
      <c r="K16" s="341"/>
      <c r="L16" s="1"/>
      <c r="M16" s="341"/>
      <c r="N16" s="341"/>
      <c r="O16" s="341"/>
      <c r="P16" s="341"/>
      <c r="Q16" s="1"/>
      <c r="R16" s="1"/>
      <c r="S16" s="1"/>
      <c r="T16" s="1"/>
      <c r="U16" s="1"/>
      <c r="V16" s="1"/>
      <c r="W16" s="1"/>
      <c r="X16" s="1"/>
      <c r="Y16" s="1"/>
      <c r="Z16" s="10" t="s">
        <v>0</v>
      </c>
      <c r="AA16" s="8" t="s">
        <v>0</v>
      </c>
      <c r="AB16" s="8" t="s">
        <v>0</v>
      </c>
      <c r="AC16" s="8" t="s">
        <v>0</v>
      </c>
      <c r="AD16" s="8" t="s">
        <v>0</v>
      </c>
      <c r="AE16" s="8" t="s">
        <v>0</v>
      </c>
      <c r="AF16" s="2">
        <f>SUM(AG16:AI16)</f>
        <v>0</v>
      </c>
      <c r="AG16" s="339"/>
      <c r="AH16" s="13"/>
      <c r="AI16" s="5"/>
      <c r="AJ16" s="5"/>
      <c r="AK16" s="124"/>
      <c r="AL16" s="5"/>
      <c r="AM16" s="124"/>
      <c r="AN16" s="306"/>
      <c r="AO16" s="5"/>
      <c r="AP16" s="5"/>
      <c r="AQ16" s="5"/>
      <c r="AR16" s="207"/>
      <c r="AT16" s="130"/>
      <c r="AU16" s="130"/>
    </row>
    <row r="17" spans="1:47" ht="15.75" customHeight="1" x14ac:dyDescent="0.3">
      <c r="A17" s="32" t="s">
        <v>33</v>
      </c>
      <c r="B17" s="1912" t="s">
        <v>34</v>
      </c>
      <c r="C17" s="1919"/>
      <c r="D17" s="21">
        <f>SUM(D18:D21)</f>
        <v>49246128</v>
      </c>
      <c r="E17" s="71">
        <f>SUM(E18:E21)</f>
        <v>49246128</v>
      </c>
      <c r="F17" s="21">
        <f>SUM(G17:Y17)</f>
        <v>44746128</v>
      </c>
      <c r="G17" s="21">
        <f t="shared" ref="G17:Z17" si="9">SUM(G18:G21)</f>
        <v>27746128</v>
      </c>
      <c r="H17" s="21">
        <f t="shared" si="9"/>
        <v>0</v>
      </c>
      <c r="I17" s="21">
        <f t="shared" si="9"/>
        <v>0</v>
      </c>
      <c r="J17" s="21">
        <f t="shared" si="9"/>
        <v>0</v>
      </c>
      <c r="K17" s="21">
        <f t="shared" si="9"/>
        <v>0</v>
      </c>
      <c r="L17" s="21">
        <f t="shared" si="9"/>
        <v>2000000</v>
      </c>
      <c r="M17" s="21">
        <f t="shared" si="9"/>
        <v>0</v>
      </c>
      <c r="N17" s="21">
        <f t="shared" si="9"/>
        <v>0</v>
      </c>
      <c r="O17" s="21">
        <f t="shared" si="9"/>
        <v>0</v>
      </c>
      <c r="P17" s="21">
        <f t="shared" si="9"/>
        <v>0</v>
      </c>
      <c r="Q17" s="21">
        <f t="shared" si="9"/>
        <v>0</v>
      </c>
      <c r="R17" s="21">
        <f t="shared" si="9"/>
        <v>10000000</v>
      </c>
      <c r="S17" s="21">
        <f t="shared" si="9"/>
        <v>0</v>
      </c>
      <c r="T17" s="21">
        <f>SUM(T18:T21)</f>
        <v>0</v>
      </c>
      <c r="U17" s="21">
        <f t="shared" si="9"/>
        <v>0</v>
      </c>
      <c r="V17" s="21">
        <f>SUM(V18:V21)</f>
        <v>2500000</v>
      </c>
      <c r="W17" s="21">
        <f>SUM(W18:W21)</f>
        <v>2500000</v>
      </c>
      <c r="X17" s="21">
        <f>SUM(X18:X21)</f>
        <v>0</v>
      </c>
      <c r="Y17" s="21">
        <f t="shared" si="9"/>
        <v>0</v>
      </c>
      <c r="Z17" s="2">
        <f t="shared" si="9"/>
        <v>1500000</v>
      </c>
      <c r="AA17" s="2">
        <f t="shared" ref="AA17:AF17" si="10">SUM(AA18:AA21)</f>
        <v>0</v>
      </c>
      <c r="AB17" s="2">
        <f t="shared" si="10"/>
        <v>0</v>
      </c>
      <c r="AC17" s="2">
        <f t="shared" si="10"/>
        <v>0</v>
      </c>
      <c r="AD17" s="2">
        <f t="shared" si="10"/>
        <v>0</v>
      </c>
      <c r="AE17" s="2">
        <f t="shared" si="10"/>
        <v>1500000</v>
      </c>
      <c r="AF17" s="2">
        <f t="shared" si="10"/>
        <v>0</v>
      </c>
      <c r="AG17" s="340">
        <f t="shared" ref="AG17:AQ17" si="11">SUM(AG18:AG21)</f>
        <v>0</v>
      </c>
      <c r="AH17" s="2">
        <f t="shared" si="11"/>
        <v>0</v>
      </c>
      <c r="AI17" s="33">
        <f t="shared" si="11"/>
        <v>0</v>
      </c>
      <c r="AJ17" s="33">
        <f t="shared" si="11"/>
        <v>0</v>
      </c>
      <c r="AK17" s="34">
        <f t="shared" si="11"/>
        <v>3000000</v>
      </c>
      <c r="AL17" s="35">
        <f t="shared" si="11"/>
        <v>1000000</v>
      </c>
      <c r="AM17" s="34">
        <f t="shared" si="11"/>
        <v>2000000</v>
      </c>
      <c r="AN17" s="305">
        <f>SUM(AN18:AN21)</f>
        <v>0</v>
      </c>
      <c r="AO17" s="35">
        <f t="shared" si="11"/>
        <v>0</v>
      </c>
      <c r="AP17" s="33">
        <f t="shared" si="11"/>
        <v>1000000</v>
      </c>
      <c r="AQ17" s="33">
        <f t="shared" si="11"/>
        <v>1000000</v>
      </c>
      <c r="AR17" s="244"/>
    </row>
    <row r="18" spans="1:47" ht="15.75" customHeight="1" x14ac:dyDescent="0.3">
      <c r="A18" s="36" t="s">
        <v>35</v>
      </c>
      <c r="B18" s="1903" t="s">
        <v>36</v>
      </c>
      <c r="C18" s="1904"/>
      <c r="D18" s="20">
        <f>+F18+Z18+AF18+AK18</f>
        <v>21500000</v>
      </c>
      <c r="E18" s="98">
        <f t="shared" ref="E18:E21" si="12">SUM(G18+H18+I18+J18+K18+L18+M18+N18+O18+P18+Q18+R18+S18+T18+U18+V18+W18+X18+Y18+AA18+AB18+AC18+AD18+AE18+AG18+AH18+AI18+AJ18+AL18+AN18+AO18+AP18+AQ18)</f>
        <v>21500000</v>
      </c>
      <c r="F18" s="21">
        <f>SUM(G18:Y18)</f>
        <v>17000000</v>
      </c>
      <c r="G18" s="341"/>
      <c r="H18" s="341">
        <v>0</v>
      </c>
      <c r="I18" s="341">
        <v>0</v>
      </c>
      <c r="J18" s="341">
        <v>0</v>
      </c>
      <c r="K18" s="341">
        <v>0</v>
      </c>
      <c r="L18" s="1">
        <v>2000000</v>
      </c>
      <c r="M18" s="341">
        <v>0</v>
      </c>
      <c r="N18" s="341">
        <v>0</v>
      </c>
      <c r="O18" s="341">
        <v>0</v>
      </c>
      <c r="P18" s="341">
        <v>0</v>
      </c>
      <c r="Q18" s="1">
        <v>0</v>
      </c>
      <c r="R18" s="1">
        <v>10000000</v>
      </c>
      <c r="S18" s="1">
        <v>0</v>
      </c>
      <c r="T18" s="1">
        <v>0</v>
      </c>
      <c r="U18" s="1">
        <v>0</v>
      </c>
      <c r="V18" s="1">
        <v>2500000</v>
      </c>
      <c r="W18" s="1">
        <v>2500000</v>
      </c>
      <c r="X18" s="1">
        <v>0</v>
      </c>
      <c r="Y18" s="1">
        <v>0</v>
      </c>
      <c r="Z18" s="10">
        <f>SUM(AA18:AE18)</f>
        <v>1500000</v>
      </c>
      <c r="AA18" s="8">
        <v>0</v>
      </c>
      <c r="AB18" s="8">
        <v>0</v>
      </c>
      <c r="AC18" s="8">
        <v>0</v>
      </c>
      <c r="AD18" s="8">
        <v>0</v>
      </c>
      <c r="AE18" s="8">
        <v>1500000</v>
      </c>
      <c r="AF18" s="2">
        <f>SUM(AG18:AJ18)</f>
        <v>0</v>
      </c>
      <c r="AG18" s="339">
        <v>0</v>
      </c>
      <c r="AH18" s="13">
        <v>0</v>
      </c>
      <c r="AI18" s="35"/>
      <c r="AJ18" s="35">
        <v>0</v>
      </c>
      <c r="AK18" s="34">
        <f>SUM(AL18+AM18)</f>
        <v>3000000</v>
      </c>
      <c r="AL18" s="35">
        <v>1000000</v>
      </c>
      <c r="AM18" s="30">
        <f>SUM(AN18:AQ18)</f>
        <v>2000000</v>
      </c>
      <c r="AN18" s="305">
        <v>0</v>
      </c>
      <c r="AO18" s="35">
        <v>0</v>
      </c>
      <c r="AP18" s="35">
        <v>1000000</v>
      </c>
      <c r="AQ18" s="35">
        <v>1000000</v>
      </c>
    </row>
    <row r="19" spans="1:47" ht="15.75" hidden="1" customHeight="1" x14ac:dyDescent="0.3">
      <c r="A19" s="36" t="s">
        <v>37</v>
      </c>
      <c r="B19" s="1903" t="s">
        <v>38</v>
      </c>
      <c r="C19" s="1904"/>
      <c r="D19" s="20">
        <f t="shared" ref="D19:D21" si="13">+F19+Z19+AF19+AK19</f>
        <v>0</v>
      </c>
      <c r="E19" s="98">
        <f t="shared" si="12"/>
        <v>0</v>
      </c>
      <c r="F19" s="21">
        <f>SUM(G19:Y19)</f>
        <v>0</v>
      </c>
      <c r="G19" s="341"/>
      <c r="H19" s="341">
        <v>0</v>
      </c>
      <c r="I19" s="341">
        <v>0</v>
      </c>
      <c r="J19" s="341">
        <v>0</v>
      </c>
      <c r="K19" s="341">
        <v>0</v>
      </c>
      <c r="L19" s="1">
        <v>0</v>
      </c>
      <c r="M19" s="341">
        <v>0</v>
      </c>
      <c r="N19" s="341">
        <v>0</v>
      </c>
      <c r="O19" s="341">
        <v>0</v>
      </c>
      <c r="P19" s="34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0">
        <f>SUM(AA19:AE19)</f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2">
        <f>SUM(AG19:AJ19)</f>
        <v>0</v>
      </c>
      <c r="AG19" s="339">
        <v>0</v>
      </c>
      <c r="AH19" s="13">
        <v>0</v>
      </c>
      <c r="AI19" s="35">
        <v>0</v>
      </c>
      <c r="AJ19" s="35">
        <v>0</v>
      </c>
      <c r="AK19" s="34">
        <f>SUM(AL19+AM19)</f>
        <v>0</v>
      </c>
      <c r="AL19" s="35">
        <v>0</v>
      </c>
      <c r="AM19" s="30">
        <f>SUM(AN19:AQ19)</f>
        <v>0</v>
      </c>
      <c r="AN19" s="305">
        <v>0</v>
      </c>
      <c r="AO19" s="35">
        <v>0</v>
      </c>
      <c r="AP19" s="35">
        <v>0</v>
      </c>
      <c r="AQ19" s="35">
        <v>0</v>
      </c>
      <c r="AU19" s="130"/>
    </row>
    <row r="20" spans="1:47" ht="15.75" hidden="1" customHeight="1" x14ac:dyDescent="0.3">
      <c r="A20" s="36" t="s">
        <v>39</v>
      </c>
      <c r="B20" s="1903" t="s">
        <v>40</v>
      </c>
      <c r="C20" s="1904"/>
      <c r="D20" s="20">
        <f t="shared" si="13"/>
        <v>0</v>
      </c>
      <c r="E20" s="98">
        <f t="shared" si="12"/>
        <v>0</v>
      </c>
      <c r="F20" s="21">
        <f t="shared" ref="F20:F21" si="14">SUM(G20:Y20)</f>
        <v>0</v>
      </c>
      <c r="G20" s="341"/>
      <c r="H20" s="341"/>
      <c r="I20" s="341"/>
      <c r="J20" s="341"/>
      <c r="K20" s="341"/>
      <c r="L20" s="1"/>
      <c r="M20" s="341"/>
      <c r="N20" s="341"/>
      <c r="O20" s="341"/>
      <c r="P20" s="341"/>
      <c r="Q20" s="1"/>
      <c r="R20" s="1"/>
      <c r="S20" s="1"/>
      <c r="T20" s="1"/>
      <c r="U20" s="1"/>
      <c r="V20" s="1"/>
      <c r="W20" s="1"/>
      <c r="X20" s="1"/>
      <c r="Y20" s="1"/>
      <c r="Z20" s="10">
        <f>SUM(AA20:AE20)</f>
        <v>0</v>
      </c>
      <c r="AA20" s="8"/>
      <c r="AB20" s="8"/>
      <c r="AC20" s="8"/>
      <c r="AD20" s="8"/>
      <c r="AE20" s="8"/>
      <c r="AF20" s="2">
        <f>SUM(AG20:AJ20)</f>
        <v>0</v>
      </c>
      <c r="AG20" s="339"/>
      <c r="AH20" s="13"/>
      <c r="AI20" s="35"/>
      <c r="AJ20" s="35"/>
      <c r="AK20" s="34">
        <f>SUM(AL20+AM20)</f>
        <v>0</v>
      </c>
      <c r="AL20" s="35"/>
      <c r="AM20" s="30">
        <f>SUM(AN20:AQ20)</f>
        <v>0</v>
      </c>
      <c r="AN20" s="305"/>
      <c r="AO20" s="35"/>
      <c r="AP20" s="35"/>
      <c r="AQ20" s="35"/>
    </row>
    <row r="21" spans="1:47" ht="15.75" customHeight="1" x14ac:dyDescent="0.3">
      <c r="A21" s="36" t="s">
        <v>41</v>
      </c>
      <c r="B21" s="1903" t="s">
        <v>42</v>
      </c>
      <c r="C21" s="1904"/>
      <c r="D21" s="20">
        <f t="shared" si="13"/>
        <v>27746128</v>
      </c>
      <c r="E21" s="98">
        <f t="shared" si="12"/>
        <v>27746128</v>
      </c>
      <c r="F21" s="21">
        <f t="shared" si="14"/>
        <v>27746128</v>
      </c>
      <c r="G21" s="341">
        <v>27746128</v>
      </c>
      <c r="H21" s="341"/>
      <c r="I21" s="341">
        <v>0</v>
      </c>
      <c r="J21" s="341">
        <v>0</v>
      </c>
      <c r="K21" s="341">
        <v>0</v>
      </c>
      <c r="L21" s="1">
        <v>0</v>
      </c>
      <c r="M21" s="341">
        <v>0</v>
      </c>
      <c r="N21" s="341">
        <v>0</v>
      </c>
      <c r="O21" s="341">
        <v>0</v>
      </c>
      <c r="P21" s="34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0">
        <f>SUM(AA21:AE21)</f>
        <v>0</v>
      </c>
      <c r="AA21" s="8">
        <v>0</v>
      </c>
      <c r="AB21" s="8">
        <v>0</v>
      </c>
      <c r="AC21" s="8"/>
      <c r="AD21" s="8"/>
      <c r="AE21" s="8"/>
      <c r="AF21" s="2">
        <f>SUM(AG21:AJ21)</f>
        <v>0</v>
      </c>
      <c r="AG21" s="339">
        <v>0</v>
      </c>
      <c r="AH21" s="13">
        <v>0</v>
      </c>
      <c r="AI21" s="35">
        <v>0</v>
      </c>
      <c r="AJ21" s="35">
        <v>0</v>
      </c>
      <c r="AK21" s="34">
        <f>SUM(AL21+AM21)</f>
        <v>0</v>
      </c>
      <c r="AL21" s="35">
        <v>0</v>
      </c>
      <c r="AM21" s="30">
        <f>SUM(AN21:AQ21)</f>
        <v>0</v>
      </c>
      <c r="AN21" s="305">
        <v>0</v>
      </c>
      <c r="AO21" s="35">
        <v>0</v>
      </c>
      <c r="AP21" s="35">
        <v>0</v>
      </c>
      <c r="AQ21" s="35">
        <v>0</v>
      </c>
    </row>
    <row r="22" spans="1:47" ht="15.75" customHeight="1" x14ac:dyDescent="0.3">
      <c r="A22" s="206"/>
      <c r="B22" s="381"/>
      <c r="C22" s="99"/>
      <c r="D22" s="20"/>
      <c r="E22" s="98"/>
      <c r="F22" s="21"/>
      <c r="G22" s="341"/>
      <c r="H22" s="341"/>
      <c r="I22" s="341"/>
      <c r="J22" s="341"/>
      <c r="K22" s="341"/>
      <c r="L22" s="1"/>
      <c r="M22" s="341"/>
      <c r="N22" s="341"/>
      <c r="O22" s="341"/>
      <c r="P22" s="341"/>
      <c r="Q22" s="1"/>
      <c r="R22" s="1"/>
      <c r="S22" s="1"/>
      <c r="T22" s="1"/>
      <c r="U22" s="1"/>
      <c r="V22" s="1"/>
      <c r="W22" s="1"/>
      <c r="X22" s="1"/>
      <c r="Y22" s="1"/>
      <c r="Z22" s="10"/>
      <c r="AA22" s="8"/>
      <c r="AB22" s="8"/>
      <c r="AC22" s="8"/>
      <c r="AD22" s="8"/>
      <c r="AE22" s="8"/>
      <c r="AF22" s="2">
        <f>SUM(AG22:AI22)</f>
        <v>0</v>
      </c>
      <c r="AG22" s="339"/>
      <c r="AH22" s="13"/>
      <c r="AI22" s="35"/>
      <c r="AJ22" s="35"/>
      <c r="AK22" s="34"/>
      <c r="AL22" s="35"/>
      <c r="AM22" s="34"/>
      <c r="AN22" s="305"/>
      <c r="AO22" s="35"/>
      <c r="AP22" s="35"/>
      <c r="AQ22" s="35"/>
    </row>
    <row r="23" spans="1:47" ht="15.75" customHeight="1" x14ac:dyDescent="0.3">
      <c r="A23" s="239" t="s">
        <v>43</v>
      </c>
      <c r="B23" s="1920" t="s">
        <v>44</v>
      </c>
      <c r="C23" s="1917"/>
      <c r="D23" s="20">
        <f>+D24+D28+D32+D33+D35</f>
        <v>1606428957</v>
      </c>
      <c r="E23" s="98">
        <f>SUM(E24+E28+E32+E33+E35)</f>
        <v>1606428957</v>
      </c>
      <c r="F23" s="21">
        <f>SUM(G23:Y23)</f>
        <v>759002113</v>
      </c>
      <c r="G23" s="20">
        <f t="shared" ref="G23:Z23" si="15">G24+G28+G32+G33+G35</f>
        <v>0</v>
      </c>
      <c r="H23" s="20">
        <f t="shared" si="15"/>
        <v>83756706</v>
      </c>
      <c r="I23" s="20">
        <f t="shared" si="15"/>
        <v>50166066</v>
      </c>
      <c r="J23" s="20">
        <f t="shared" si="15"/>
        <v>27888983</v>
      </c>
      <c r="K23" s="20">
        <f t="shared" si="15"/>
        <v>7709725</v>
      </c>
      <c r="L23" s="20">
        <f t="shared" si="15"/>
        <v>79062069</v>
      </c>
      <c r="M23" s="20">
        <f t="shared" si="15"/>
        <v>6717561</v>
      </c>
      <c r="N23" s="20">
        <f t="shared" si="15"/>
        <v>8964674</v>
      </c>
      <c r="O23" s="20">
        <f t="shared" si="15"/>
        <v>68711481</v>
      </c>
      <c r="P23" s="20">
        <f t="shared" si="15"/>
        <v>151684505</v>
      </c>
      <c r="Q23" s="20">
        <f t="shared" si="15"/>
        <v>17537658</v>
      </c>
      <c r="R23" s="20">
        <f t="shared" si="15"/>
        <v>52578272</v>
      </c>
      <c r="S23" s="20">
        <f t="shared" si="15"/>
        <v>38442310</v>
      </c>
      <c r="T23" s="20">
        <f>T24+T28+T32+T33+T35</f>
        <v>53077008</v>
      </c>
      <c r="U23" s="20">
        <f t="shared" si="15"/>
        <v>10220522</v>
      </c>
      <c r="V23" s="20">
        <f>V24+V28+V32+V33+V35</f>
        <v>43191299</v>
      </c>
      <c r="W23" s="20">
        <f>W24+W28+W32+W33+W35</f>
        <v>20785013</v>
      </c>
      <c r="X23" s="20">
        <f>X24+X28+X32+X33+X35</f>
        <v>25749280</v>
      </c>
      <c r="Y23" s="20">
        <f t="shared" si="15"/>
        <v>12758981</v>
      </c>
      <c r="Z23" s="2">
        <f t="shared" si="15"/>
        <v>362654392</v>
      </c>
      <c r="AA23" s="11">
        <f>AA24+AA28+AA32+AA33+AA35</f>
        <v>38396736</v>
      </c>
      <c r="AB23" s="11">
        <f>AB24+AB28+AB32+AB33+AB35</f>
        <v>59211641</v>
      </c>
      <c r="AC23" s="11">
        <f>AC24+AC28+AC32+AC33+AC35</f>
        <v>101811210</v>
      </c>
      <c r="AD23" s="11">
        <f>AD24+AD28+AD32+AD33+AD35</f>
        <v>103738222</v>
      </c>
      <c r="AE23" s="11">
        <f>AE24+AE28+AE32+AE33+AE35</f>
        <v>59496583</v>
      </c>
      <c r="AF23" s="2">
        <f>SUM(AF24+AF28+AF32+AF33+AF35)</f>
        <v>237838268</v>
      </c>
      <c r="AG23" s="342">
        <f t="shared" ref="AG23:AQ23" si="16">AG24+AG28+AG32+AG33+AG35</f>
        <v>18865544</v>
      </c>
      <c r="AH23" s="11">
        <f t="shared" si="16"/>
        <v>102139561</v>
      </c>
      <c r="AI23" s="11">
        <f t="shared" si="16"/>
        <v>48759035</v>
      </c>
      <c r="AJ23" s="11">
        <f t="shared" si="16"/>
        <v>68074128</v>
      </c>
      <c r="AK23" s="29">
        <f t="shared" si="16"/>
        <v>246934184</v>
      </c>
      <c r="AL23" s="11">
        <f t="shared" si="16"/>
        <v>72949564</v>
      </c>
      <c r="AM23" s="240">
        <f t="shared" si="16"/>
        <v>173984620</v>
      </c>
      <c r="AN23" s="307">
        <f>AN24+AN28+AN32+AN33+AN35</f>
        <v>21955764</v>
      </c>
      <c r="AO23" s="11">
        <f t="shared" si="16"/>
        <v>26288090</v>
      </c>
      <c r="AP23" s="2">
        <f t="shared" si="16"/>
        <v>62679034</v>
      </c>
      <c r="AQ23" s="2">
        <f t="shared" si="16"/>
        <v>63061732</v>
      </c>
    </row>
    <row r="24" spans="1:47" ht="15.75" customHeight="1" x14ac:dyDescent="0.3">
      <c r="A24" s="36" t="s">
        <v>45</v>
      </c>
      <c r="B24" s="1912" t="s">
        <v>46</v>
      </c>
      <c r="C24" s="1913"/>
      <c r="D24" s="21">
        <f>+D25+D26</f>
        <v>500534621</v>
      </c>
      <c r="E24" s="71">
        <f>SUM(E25:E26)</f>
        <v>500534621</v>
      </c>
      <c r="F24" s="21">
        <f>SUM(F25:F26)</f>
        <v>250463625</v>
      </c>
      <c r="G24" s="21"/>
      <c r="H24" s="21">
        <f>SUM(H25:H26)</f>
        <v>27683981</v>
      </c>
      <c r="I24" s="21">
        <f>SUM(I25:I26)</f>
        <v>9933265</v>
      </c>
      <c r="J24" s="21">
        <f>SUM(J25:J26)</f>
        <v>7104855</v>
      </c>
      <c r="K24" s="21">
        <f>SUM(K25:K26)</f>
        <v>1326053</v>
      </c>
      <c r="L24" s="21">
        <f>+L25+L26</f>
        <v>24479580</v>
      </c>
      <c r="M24" s="21">
        <f>+M25+M26</f>
        <v>1733960</v>
      </c>
      <c r="N24" s="21">
        <f>SUM(N25:N26)</f>
        <v>805871</v>
      </c>
      <c r="O24" s="21">
        <f>SUM(O25:O26)</f>
        <v>17386728</v>
      </c>
      <c r="P24" s="21">
        <f>SUM(P25:P26)</f>
        <v>67628420</v>
      </c>
      <c r="Q24" s="21">
        <f>SUM(Q25:Q26)</f>
        <v>4449848</v>
      </c>
      <c r="R24" s="21">
        <f t="shared" ref="R24:Y24" si="17">+R25+R26</f>
        <v>25092136</v>
      </c>
      <c r="S24" s="21">
        <f t="shared" si="17"/>
        <v>11088349</v>
      </c>
      <c r="T24" s="21">
        <f t="shared" si="17"/>
        <v>16254439</v>
      </c>
      <c r="U24" s="21">
        <f t="shared" si="17"/>
        <v>821224</v>
      </c>
      <c r="V24" s="21">
        <f t="shared" si="17"/>
        <v>16097989</v>
      </c>
      <c r="W24" s="21">
        <f t="shared" si="17"/>
        <v>7818325</v>
      </c>
      <c r="X24" s="21">
        <f t="shared" si="17"/>
        <v>7342448</v>
      </c>
      <c r="Y24" s="21">
        <f t="shared" si="17"/>
        <v>3416154</v>
      </c>
      <c r="Z24" s="2">
        <f t="shared" ref="Z24:AH24" si="18">SUM(Z25:Z26)</f>
        <v>142842384</v>
      </c>
      <c r="AA24" s="2">
        <f t="shared" si="18"/>
        <v>19683945</v>
      </c>
      <c r="AB24" s="2">
        <f t="shared" si="18"/>
        <v>30947614</v>
      </c>
      <c r="AC24" s="2">
        <f t="shared" si="18"/>
        <v>39508149</v>
      </c>
      <c r="AD24" s="2">
        <f t="shared" si="18"/>
        <v>30122794</v>
      </c>
      <c r="AE24" s="2">
        <f t="shared" si="18"/>
        <v>22579882</v>
      </c>
      <c r="AF24" s="2">
        <f t="shared" si="18"/>
        <v>55200243</v>
      </c>
      <c r="AG24" s="340">
        <f t="shared" si="18"/>
        <v>4347738</v>
      </c>
      <c r="AH24" s="2">
        <f t="shared" si="18"/>
        <v>12840341</v>
      </c>
      <c r="AI24" s="33">
        <f>+AI25+AI26</f>
        <v>14007356</v>
      </c>
      <c r="AJ24" s="33">
        <f>+AJ25+AJ26</f>
        <v>24004808</v>
      </c>
      <c r="AK24" s="34">
        <f>SUM(AK25:AK26)</f>
        <v>52028369</v>
      </c>
      <c r="AL24" s="33">
        <f t="shared" ref="AL24:AQ24" si="19">+AL25+AL26</f>
        <v>13823999</v>
      </c>
      <c r="AM24" s="34">
        <f t="shared" si="19"/>
        <v>38204370</v>
      </c>
      <c r="AN24" s="308">
        <f t="shared" si="19"/>
        <v>6411383</v>
      </c>
      <c r="AO24" s="33">
        <f t="shared" si="19"/>
        <v>1707305</v>
      </c>
      <c r="AP24" s="33">
        <f t="shared" si="19"/>
        <v>11518575</v>
      </c>
      <c r="AQ24" s="33">
        <f t="shared" si="19"/>
        <v>18567107</v>
      </c>
    </row>
    <row r="25" spans="1:47" ht="15.75" customHeight="1" x14ac:dyDescent="0.3">
      <c r="A25" s="36" t="s">
        <v>47</v>
      </c>
      <c r="B25" s="1903" t="s">
        <v>745</v>
      </c>
      <c r="C25" s="1904"/>
      <c r="D25" s="20">
        <f t="shared" ref="D25:D26" si="20">+F25+Z25+AF25+AK25</f>
        <v>386214859</v>
      </c>
      <c r="E25" s="98">
        <f t="shared" ref="E25:E26" si="21">SUM(G25+H25+I25+J25+K25+L25+M25+N25+O25+P25+Q25+R25+S25+T25+U25+V25+W25+X25+Y25+AA25+AB25+AC25+AD25+AE25+AG25+AH25+AI25+AJ25+AL25+AN25+AO25+AP25+AQ25)</f>
        <v>386214859</v>
      </c>
      <c r="F25" s="21">
        <f>SUM(G25:Y25)</f>
        <v>205064469</v>
      </c>
      <c r="G25" s="341"/>
      <c r="H25" s="341">
        <f>15856415+3000000</f>
        <v>18856415</v>
      </c>
      <c r="I25" s="341">
        <v>9933265</v>
      </c>
      <c r="J25" s="341">
        <v>7104855</v>
      </c>
      <c r="K25" s="341">
        <v>1326053</v>
      </c>
      <c r="L25" s="1">
        <v>19036771</v>
      </c>
      <c r="M25" s="341">
        <v>1733960</v>
      </c>
      <c r="N25" s="341">
        <v>805871</v>
      </c>
      <c r="O25" s="341">
        <v>17386728</v>
      </c>
      <c r="P25" s="341">
        <v>42367712</v>
      </c>
      <c r="Q25" s="1">
        <v>4449848</v>
      </c>
      <c r="R25" s="1">
        <v>25092136</v>
      </c>
      <c r="S25" s="1">
        <v>11088349</v>
      </c>
      <c r="T25" s="1">
        <v>10386366</v>
      </c>
      <c r="U25" s="1">
        <v>821224</v>
      </c>
      <c r="V25" s="1">
        <v>16097989</v>
      </c>
      <c r="W25" s="1">
        <v>7818325</v>
      </c>
      <c r="X25" s="1">
        <v>7342448</v>
      </c>
      <c r="Y25" s="1">
        <v>3416154</v>
      </c>
      <c r="Z25" s="10">
        <f>SUM(AA25:AE25)</f>
        <v>86633932</v>
      </c>
      <c r="AA25" s="8">
        <v>8697255</v>
      </c>
      <c r="AB25" s="8">
        <v>16405306</v>
      </c>
      <c r="AC25" s="8">
        <v>26993717</v>
      </c>
      <c r="AD25" s="8">
        <v>17316497</v>
      </c>
      <c r="AE25" s="8">
        <v>17221157</v>
      </c>
      <c r="AF25" s="2">
        <f>SUM(AG25:AJ25)</f>
        <v>42488089</v>
      </c>
      <c r="AG25" s="339">
        <v>4347738</v>
      </c>
      <c r="AH25" s="13">
        <v>12840341</v>
      </c>
      <c r="AI25" s="35">
        <v>14007356</v>
      </c>
      <c r="AJ25" s="35">
        <v>11292654</v>
      </c>
      <c r="AK25" s="34">
        <f>SUM(AL25+AM25)</f>
        <v>52028369</v>
      </c>
      <c r="AL25" s="35">
        <v>13823999</v>
      </c>
      <c r="AM25" s="30">
        <f>SUM(AN25:AQ25)</f>
        <v>38204370</v>
      </c>
      <c r="AN25" s="305">
        <v>6411383</v>
      </c>
      <c r="AO25" s="35">
        <v>1707305</v>
      </c>
      <c r="AP25" s="35">
        <v>11518575</v>
      </c>
      <c r="AQ25" s="35">
        <v>18567107</v>
      </c>
    </row>
    <row r="26" spans="1:47" ht="15.75" customHeight="1" x14ac:dyDescent="0.3">
      <c r="A26" s="36" t="s">
        <v>48</v>
      </c>
      <c r="B26" s="1903" t="s">
        <v>49</v>
      </c>
      <c r="C26" s="1904"/>
      <c r="D26" s="20">
        <f t="shared" si="20"/>
        <v>114319762</v>
      </c>
      <c r="E26" s="98">
        <f t="shared" si="21"/>
        <v>114319762</v>
      </c>
      <c r="F26" s="21">
        <f>SUM(G26:Y26)</f>
        <v>45399156</v>
      </c>
      <c r="G26" s="341"/>
      <c r="H26" s="341">
        <v>8827566</v>
      </c>
      <c r="I26" s="341"/>
      <c r="J26" s="341"/>
      <c r="K26" s="341"/>
      <c r="L26" s="1">
        <v>5442809</v>
      </c>
      <c r="M26" s="341"/>
      <c r="N26" s="341"/>
      <c r="O26" s="341"/>
      <c r="P26" s="341">
        <v>25260708</v>
      </c>
      <c r="Q26" s="1"/>
      <c r="R26" s="1"/>
      <c r="S26" s="1"/>
      <c r="T26" s="1">
        <v>5868073</v>
      </c>
      <c r="U26" s="1"/>
      <c r="V26" s="1"/>
      <c r="W26" s="1"/>
      <c r="X26" s="1"/>
      <c r="Y26" s="1"/>
      <c r="Z26" s="10">
        <f>SUM(AA26:AE26)</f>
        <v>56208452</v>
      </c>
      <c r="AA26" s="8">
        <v>10986690</v>
      </c>
      <c r="AB26" s="8">
        <v>14542308</v>
      </c>
      <c r="AC26" s="8">
        <v>12514432</v>
      </c>
      <c r="AD26" s="8">
        <v>12806297</v>
      </c>
      <c r="AE26" s="8">
        <v>5358725</v>
      </c>
      <c r="AF26" s="2">
        <f>SUM(AG26:AJ26)</f>
        <v>12712154</v>
      </c>
      <c r="AG26" s="339"/>
      <c r="AH26" s="13"/>
      <c r="AI26" s="35"/>
      <c r="AJ26" s="35">
        <v>12712154</v>
      </c>
      <c r="AK26" s="34">
        <f>SUM(AL26+AM26)</f>
        <v>0</v>
      </c>
      <c r="AL26" s="35"/>
      <c r="AM26" s="30">
        <f>SUM(AN26:AQ26)</f>
        <v>0</v>
      </c>
      <c r="AN26" s="305"/>
      <c r="AO26" s="35"/>
      <c r="AP26" s="35"/>
      <c r="AQ26" s="35"/>
    </row>
    <row r="27" spans="1:47" ht="15.75" customHeight="1" x14ac:dyDescent="0.3">
      <c r="A27" s="36"/>
      <c r="B27" s="381"/>
      <c r="C27" s="99"/>
      <c r="D27" s="20"/>
      <c r="E27" s="98"/>
      <c r="F27" s="21"/>
      <c r="G27" s="341"/>
      <c r="H27" s="341"/>
      <c r="I27" s="341"/>
      <c r="J27" s="341"/>
      <c r="K27" s="341"/>
      <c r="L27" s="1"/>
      <c r="M27" s="341"/>
      <c r="N27" s="341"/>
      <c r="O27" s="341"/>
      <c r="P27" s="341"/>
      <c r="Q27" s="1"/>
      <c r="R27" s="1"/>
      <c r="S27" s="1"/>
      <c r="T27" s="1"/>
      <c r="U27" s="1"/>
      <c r="V27" s="1"/>
      <c r="W27" s="1"/>
      <c r="X27" s="1"/>
      <c r="Y27" s="1"/>
      <c r="Z27" s="10"/>
      <c r="AA27" s="8"/>
      <c r="AB27" s="8"/>
      <c r="AC27" s="8"/>
      <c r="AD27" s="8"/>
      <c r="AE27" s="8"/>
      <c r="AF27" s="2">
        <f>SUM(AG27:AI27)</f>
        <v>0</v>
      </c>
      <c r="AG27" s="339"/>
      <c r="AH27" s="13"/>
      <c r="AI27" s="35"/>
      <c r="AJ27" s="35"/>
      <c r="AK27" s="34"/>
      <c r="AL27" s="35"/>
      <c r="AM27" s="34"/>
      <c r="AN27" s="305"/>
      <c r="AO27" s="35"/>
      <c r="AP27" s="35"/>
      <c r="AQ27" s="35"/>
    </row>
    <row r="28" spans="1:47" ht="15.75" customHeight="1" x14ac:dyDescent="0.3">
      <c r="A28" s="41" t="s">
        <v>50</v>
      </c>
      <c r="B28" s="1912" t="s">
        <v>51</v>
      </c>
      <c r="C28" s="1913"/>
      <c r="D28" s="21">
        <f>SUM(D29:D30)</f>
        <v>556975780</v>
      </c>
      <c r="E28" s="71">
        <f>SUM(E29:E30)</f>
        <v>556975780</v>
      </c>
      <c r="F28" s="21">
        <f t="shared" ref="F28:Y28" si="22">SUM(F29:F30)</f>
        <v>240778235</v>
      </c>
      <c r="G28" s="23">
        <f t="shared" si="22"/>
        <v>0</v>
      </c>
      <c r="H28" s="23">
        <f>SUM(H29:H30)</f>
        <v>28730114</v>
      </c>
      <c r="I28" s="23">
        <f>SUM(I29)</f>
        <v>17691115</v>
      </c>
      <c r="J28" s="23">
        <f>SUM(J29)</f>
        <v>8539817</v>
      </c>
      <c r="K28" s="23">
        <f>SUM(K29)</f>
        <v>3395544</v>
      </c>
      <c r="L28" s="23">
        <f>SUM(L29:L30)</f>
        <v>28535123</v>
      </c>
      <c r="M28" s="23">
        <f>SUM(M29:M30)</f>
        <v>0</v>
      </c>
      <c r="N28" s="23">
        <f t="shared" si="22"/>
        <v>4539878</v>
      </c>
      <c r="O28" s="23">
        <f t="shared" si="22"/>
        <v>26592353</v>
      </c>
      <c r="P28" s="23">
        <f t="shared" si="22"/>
        <v>38758537</v>
      </c>
      <c r="Q28" s="23">
        <f t="shared" si="22"/>
        <v>7465889</v>
      </c>
      <c r="R28" s="23">
        <f t="shared" si="22"/>
        <v>5395007</v>
      </c>
      <c r="S28" s="23">
        <f t="shared" si="22"/>
        <v>14322568</v>
      </c>
      <c r="T28" s="23">
        <f>SUM(T29:T30)</f>
        <v>21696657</v>
      </c>
      <c r="U28" s="23">
        <f t="shared" si="22"/>
        <v>5782751</v>
      </c>
      <c r="V28" s="23">
        <f>SUM(V29:V30)</f>
        <v>9976730</v>
      </c>
      <c r="W28" s="23">
        <f>SUM(W29:W30)</f>
        <v>4938758</v>
      </c>
      <c r="X28" s="23">
        <f>SUM(X29:X30)</f>
        <v>9478636</v>
      </c>
      <c r="Y28" s="23">
        <f t="shared" si="22"/>
        <v>4938758</v>
      </c>
      <c r="Z28" s="9">
        <f t="shared" ref="Z28:AQ28" si="23">SUM(Z29:Z30)</f>
        <v>110815475</v>
      </c>
      <c r="AA28" s="9">
        <f t="shared" si="23"/>
        <v>8527330</v>
      </c>
      <c r="AB28" s="9">
        <f t="shared" si="23"/>
        <v>12689251</v>
      </c>
      <c r="AC28" s="9">
        <f t="shared" si="23"/>
        <v>30729976</v>
      </c>
      <c r="AD28" s="9">
        <f t="shared" si="23"/>
        <v>39466533</v>
      </c>
      <c r="AE28" s="9">
        <f t="shared" si="23"/>
        <v>19402385</v>
      </c>
      <c r="AF28" s="2">
        <f t="shared" si="23"/>
        <v>99711622</v>
      </c>
      <c r="AG28" s="343">
        <f t="shared" si="23"/>
        <v>7750493</v>
      </c>
      <c r="AH28" s="9">
        <f t="shared" si="23"/>
        <v>51996502</v>
      </c>
      <c r="AI28" s="33">
        <f t="shared" si="23"/>
        <v>17912152</v>
      </c>
      <c r="AJ28" s="33">
        <f t="shared" si="23"/>
        <v>22052475</v>
      </c>
      <c r="AK28" s="34">
        <f t="shared" si="23"/>
        <v>105670448</v>
      </c>
      <c r="AL28" s="33">
        <f t="shared" si="23"/>
        <v>33528807</v>
      </c>
      <c r="AM28" s="34">
        <f t="shared" si="23"/>
        <v>72141641</v>
      </c>
      <c r="AN28" s="308">
        <f>SUM(AN29:AN30)</f>
        <v>7750493</v>
      </c>
      <c r="AO28" s="33">
        <f t="shared" si="23"/>
        <v>14516608</v>
      </c>
      <c r="AP28" s="33">
        <f t="shared" si="23"/>
        <v>29273827</v>
      </c>
      <c r="AQ28" s="33">
        <f t="shared" si="23"/>
        <v>20600713</v>
      </c>
    </row>
    <row r="29" spans="1:47" ht="15.75" customHeight="1" x14ac:dyDescent="0.3">
      <c r="A29" s="36" t="s">
        <v>52</v>
      </c>
      <c r="B29" s="1903" t="s">
        <v>53</v>
      </c>
      <c r="C29" s="1904"/>
      <c r="D29" s="20">
        <f t="shared" ref="D29:D33" si="24">+F29+Z29+AF29+AK29</f>
        <v>513945627</v>
      </c>
      <c r="E29" s="98">
        <f t="shared" ref="E29:E33" si="25">SUM(G29+H29+I29+J29+K29+L29+M29+N29+O29+P29+Q29+R29+S29+T29+U29+V29+W29+X29+Y29+AA29+AB29+AC29+AD29+AE29+AG29+AH29+AI29+AJ29+AL29+AN29+AO29+AP29+AQ29)</f>
        <v>513945627</v>
      </c>
      <c r="F29" s="21">
        <f>SUM(G29:Y29)</f>
        <v>197748082</v>
      </c>
      <c r="G29" s="341"/>
      <c r="H29" s="341">
        <v>0</v>
      </c>
      <c r="I29" s="341">
        <v>17691115</v>
      </c>
      <c r="J29" s="341">
        <v>8539817</v>
      </c>
      <c r="K29" s="341">
        <v>3395544</v>
      </c>
      <c r="L29" s="1">
        <v>28535123</v>
      </c>
      <c r="M29" s="341">
        <v>0</v>
      </c>
      <c r="N29" s="341">
        <v>4539878</v>
      </c>
      <c r="O29" s="341">
        <v>26592353</v>
      </c>
      <c r="P29" s="341">
        <v>38758537</v>
      </c>
      <c r="Q29" s="1"/>
      <c r="R29" s="1">
        <v>5395007</v>
      </c>
      <c r="S29" s="1">
        <v>14322568</v>
      </c>
      <c r="T29" s="1">
        <v>14862507</v>
      </c>
      <c r="U29" s="1">
        <v>5782751</v>
      </c>
      <c r="V29" s="1">
        <v>9976730</v>
      </c>
      <c r="W29" s="1">
        <v>4938758</v>
      </c>
      <c r="X29" s="1">
        <v>9478636</v>
      </c>
      <c r="Y29" s="1">
        <v>4938758</v>
      </c>
      <c r="Z29" s="10">
        <f>SUM(AA29:AE29)</f>
        <v>110815475</v>
      </c>
      <c r="AA29" s="8">
        <v>8527330</v>
      </c>
      <c r="AB29" s="8">
        <v>12689251</v>
      </c>
      <c r="AC29" s="8">
        <v>30729976</v>
      </c>
      <c r="AD29" s="8">
        <v>39466533</v>
      </c>
      <c r="AE29" s="8">
        <v>19402385</v>
      </c>
      <c r="AF29" s="2">
        <f>SUM(AG29:AJ29)</f>
        <v>99711622</v>
      </c>
      <c r="AG29" s="344">
        <v>7750493</v>
      </c>
      <c r="AH29" s="8">
        <v>51996502</v>
      </c>
      <c r="AI29" s="35">
        <v>17912152</v>
      </c>
      <c r="AJ29" s="35">
        <v>22052475</v>
      </c>
      <c r="AK29" s="34">
        <f>SUM(AL29+AM29)</f>
        <v>105670448</v>
      </c>
      <c r="AL29" s="35">
        <v>33528807</v>
      </c>
      <c r="AM29" s="30">
        <f>SUM(AN29:AQ29)</f>
        <v>72141641</v>
      </c>
      <c r="AN29" s="305">
        <v>7750493</v>
      </c>
      <c r="AO29" s="35">
        <v>14516608</v>
      </c>
      <c r="AP29" s="35">
        <v>29273827</v>
      </c>
      <c r="AQ29" s="35">
        <v>20600713</v>
      </c>
    </row>
    <row r="30" spans="1:47" ht="15.75" customHeight="1" x14ac:dyDescent="0.3">
      <c r="A30" s="36" t="s">
        <v>54</v>
      </c>
      <c r="B30" s="1903" t="s">
        <v>55</v>
      </c>
      <c r="C30" s="1904"/>
      <c r="D30" s="20">
        <f t="shared" si="24"/>
        <v>43030153</v>
      </c>
      <c r="E30" s="98">
        <f t="shared" si="25"/>
        <v>43030153</v>
      </c>
      <c r="F30" s="21">
        <f>SUM(G30:Y30)</f>
        <v>43030153</v>
      </c>
      <c r="G30" s="20"/>
      <c r="H30" s="20">
        <v>28730114</v>
      </c>
      <c r="I30" s="20"/>
      <c r="J30" s="20">
        <v>0</v>
      </c>
      <c r="K30" s="20"/>
      <c r="L30" s="1"/>
      <c r="M30" s="20">
        <v>0</v>
      </c>
      <c r="N30" s="20"/>
      <c r="O30" s="20"/>
      <c r="P30" s="20"/>
      <c r="Q30" s="1">
        <v>7465889</v>
      </c>
      <c r="R30" s="1"/>
      <c r="S30" s="1"/>
      <c r="T30" s="1">
        <v>6834150</v>
      </c>
      <c r="U30" s="1"/>
      <c r="V30" s="1"/>
      <c r="W30" s="1"/>
      <c r="X30" s="1"/>
      <c r="Y30" s="1"/>
      <c r="Z30" s="10">
        <f>SUM(AA30:AD30)</f>
        <v>0</v>
      </c>
      <c r="AA30" s="8"/>
      <c r="AB30" s="8"/>
      <c r="AC30" s="8"/>
      <c r="AD30" s="8"/>
      <c r="AE30" s="8"/>
      <c r="AF30" s="2">
        <f>SUM(AG30:AJ30)</f>
        <v>0</v>
      </c>
      <c r="AG30" s="339"/>
      <c r="AH30" s="13"/>
      <c r="AI30" s="35"/>
      <c r="AJ30" s="35"/>
      <c r="AK30" s="34">
        <f>SUM(AL30+AM30)</f>
        <v>0</v>
      </c>
      <c r="AL30" s="35">
        <v>0</v>
      </c>
      <c r="AM30" s="34"/>
      <c r="AN30" s="305"/>
      <c r="AO30" s="35"/>
      <c r="AP30" s="35"/>
      <c r="AQ30" s="35"/>
    </row>
    <row r="31" spans="1:47" ht="15.75" customHeight="1" x14ac:dyDescent="0.3">
      <c r="A31" s="36"/>
      <c r="B31" s="381"/>
      <c r="C31" s="99"/>
      <c r="D31" s="20"/>
      <c r="E31" s="98"/>
      <c r="F31" s="21"/>
      <c r="G31" s="20"/>
      <c r="H31" s="20"/>
      <c r="I31" s="20"/>
      <c r="J31" s="20"/>
      <c r="K31" s="20"/>
      <c r="L31" s="1"/>
      <c r="M31" s="20"/>
      <c r="N31" s="20"/>
      <c r="O31" s="20"/>
      <c r="P31" s="20"/>
      <c r="Q31" s="1"/>
      <c r="R31" s="1"/>
      <c r="S31" s="1"/>
      <c r="T31" s="1"/>
      <c r="U31" s="1"/>
      <c r="V31" s="1"/>
      <c r="W31" s="1"/>
      <c r="X31" s="1"/>
      <c r="Y31" s="1"/>
      <c r="Z31" s="10"/>
      <c r="AA31" s="8"/>
      <c r="AB31" s="8"/>
      <c r="AC31" s="8"/>
      <c r="AD31" s="8"/>
      <c r="AE31" s="8"/>
      <c r="AF31" s="2">
        <f>SUM(AG31:AI31)</f>
        <v>0</v>
      </c>
      <c r="AG31" s="339"/>
      <c r="AH31" s="13"/>
      <c r="AI31" s="35"/>
      <c r="AJ31" s="35"/>
      <c r="AK31" s="34"/>
      <c r="AL31" s="35"/>
      <c r="AM31" s="34"/>
      <c r="AN31" s="305"/>
      <c r="AO31" s="35"/>
      <c r="AP31" s="35"/>
      <c r="AQ31" s="35"/>
    </row>
    <row r="32" spans="1:47" ht="15.75" customHeight="1" x14ac:dyDescent="0.3">
      <c r="A32" s="36" t="s">
        <v>56</v>
      </c>
      <c r="B32" s="1903" t="s">
        <v>57</v>
      </c>
      <c r="C32" s="1904"/>
      <c r="D32" s="20">
        <f t="shared" si="24"/>
        <v>228743462</v>
      </c>
      <c r="E32" s="98">
        <f t="shared" si="25"/>
        <v>228743462</v>
      </c>
      <c r="F32" s="21">
        <f>SUM(G32:Y32)</f>
        <v>113970271</v>
      </c>
      <c r="G32" s="341"/>
      <c r="H32" s="341">
        <v>10481652</v>
      </c>
      <c r="I32" s="341">
        <v>10166245</v>
      </c>
      <c r="J32" s="341">
        <v>5739042</v>
      </c>
      <c r="K32" s="341">
        <v>1067957</v>
      </c>
      <c r="L32" s="1">
        <v>10560015</v>
      </c>
      <c r="M32" s="341">
        <v>2591932</v>
      </c>
      <c r="N32" s="341">
        <v>1324538</v>
      </c>
      <c r="O32" s="341">
        <v>9309982</v>
      </c>
      <c r="P32" s="341">
        <v>18061176</v>
      </c>
      <c r="Q32" s="1">
        <v>2537861</v>
      </c>
      <c r="R32" s="1">
        <v>10659687</v>
      </c>
      <c r="S32" s="1">
        <v>5683700</v>
      </c>
      <c r="T32" s="1">
        <v>6551418</v>
      </c>
      <c r="U32" s="1">
        <v>1594970</v>
      </c>
      <c r="V32" s="1">
        <v>8065637</v>
      </c>
      <c r="W32" s="1">
        <v>3538878</v>
      </c>
      <c r="X32" s="1">
        <v>4029841</v>
      </c>
      <c r="Y32" s="1">
        <v>2005740</v>
      </c>
      <c r="Z32" s="10">
        <f>SUM(AA32:AE32)</f>
        <v>45095059</v>
      </c>
      <c r="AA32" s="8">
        <v>4768339</v>
      </c>
      <c r="AB32" s="8">
        <v>6634736</v>
      </c>
      <c r="AC32" s="8">
        <v>12453116</v>
      </c>
      <c r="AD32" s="8">
        <v>13499658</v>
      </c>
      <c r="AE32" s="8">
        <v>7739210</v>
      </c>
      <c r="AF32" s="2">
        <f>SUM(AG32:AJ32)</f>
        <v>33241378</v>
      </c>
      <c r="AG32" s="339">
        <v>2840454</v>
      </c>
      <c r="AH32" s="13">
        <v>15129127</v>
      </c>
      <c r="AI32" s="35">
        <v>6255891</v>
      </c>
      <c r="AJ32" s="35">
        <v>9015906</v>
      </c>
      <c r="AK32" s="34">
        <f>SUM(AL32+AM32)</f>
        <v>36436754</v>
      </c>
      <c r="AL32" s="35">
        <v>10711316</v>
      </c>
      <c r="AM32" s="30">
        <f>SUM(AN32:AQ32)</f>
        <v>25725438</v>
      </c>
      <c r="AN32" s="305">
        <v>3078163</v>
      </c>
      <c r="AO32" s="35">
        <v>4052456</v>
      </c>
      <c r="AP32" s="35">
        <v>9146475</v>
      </c>
      <c r="AQ32" s="35">
        <v>9448344</v>
      </c>
    </row>
    <row r="33" spans="1:44" ht="15.75" customHeight="1" x14ac:dyDescent="0.3">
      <c r="A33" s="36" t="s">
        <v>58</v>
      </c>
      <c r="B33" s="1903" t="s">
        <v>59</v>
      </c>
      <c r="C33" s="1904"/>
      <c r="D33" s="20">
        <f t="shared" si="24"/>
        <v>209109025</v>
      </c>
      <c r="E33" s="98">
        <f t="shared" si="25"/>
        <v>209109025</v>
      </c>
      <c r="F33" s="21">
        <f>SUM(G33:Y33)</f>
        <v>103703482</v>
      </c>
      <c r="G33" s="341"/>
      <c r="H33" s="341">
        <v>9671801</v>
      </c>
      <c r="I33" s="341">
        <v>9226971</v>
      </c>
      <c r="J33" s="341">
        <v>5295621</v>
      </c>
      <c r="K33" s="341">
        <v>985443</v>
      </c>
      <c r="L33" s="1">
        <v>9590317</v>
      </c>
      <c r="M33" s="341">
        <v>2391669</v>
      </c>
      <c r="N33" s="341">
        <v>1222199</v>
      </c>
      <c r="O33" s="341">
        <v>8590656</v>
      </c>
      <c r="P33" s="341">
        <v>16665698</v>
      </c>
      <c r="Q33" s="1">
        <v>2341776</v>
      </c>
      <c r="R33" s="1">
        <v>9067130</v>
      </c>
      <c r="S33" s="1">
        <v>5244555</v>
      </c>
      <c r="T33" s="1">
        <v>6045230</v>
      </c>
      <c r="U33" s="1">
        <v>1471737</v>
      </c>
      <c r="V33" s="1">
        <v>7250217</v>
      </c>
      <c r="W33" s="1">
        <v>3073214</v>
      </c>
      <c r="X33" s="1">
        <v>3718479</v>
      </c>
      <c r="Y33" s="1">
        <v>1850769</v>
      </c>
      <c r="Z33" s="10">
        <f>SUM(AA33:AE33)</f>
        <v>41495494</v>
      </c>
      <c r="AA33" s="8">
        <v>4399918</v>
      </c>
      <c r="AB33" s="8">
        <v>6122110</v>
      </c>
      <c r="AC33" s="8">
        <v>11490939</v>
      </c>
      <c r="AD33" s="8">
        <v>12456621</v>
      </c>
      <c r="AE33" s="8">
        <v>7025906</v>
      </c>
      <c r="AF33" s="2">
        <f>SUM(AG33:AJ33)</f>
        <v>30673017</v>
      </c>
      <c r="AG33" s="339">
        <v>2620989</v>
      </c>
      <c r="AH33" s="13">
        <v>13960191</v>
      </c>
      <c r="AI33" s="35">
        <v>5772536</v>
      </c>
      <c r="AJ33" s="35">
        <v>8319301</v>
      </c>
      <c r="AK33" s="34">
        <f>SUM(AL33+AM33)</f>
        <v>33237032</v>
      </c>
      <c r="AL33" s="35">
        <v>9806823</v>
      </c>
      <c r="AM33" s="30">
        <f>SUM(AN33:AQ33)</f>
        <v>23430209</v>
      </c>
      <c r="AN33" s="305">
        <v>2840332</v>
      </c>
      <c r="AO33" s="35">
        <v>3739347</v>
      </c>
      <c r="AP33" s="35">
        <v>8209098</v>
      </c>
      <c r="AQ33" s="35">
        <v>8641432</v>
      </c>
    </row>
    <row r="34" spans="1:44" ht="15.75" customHeight="1" x14ac:dyDescent="0.3">
      <c r="A34" s="36"/>
      <c r="B34" s="381"/>
      <c r="C34" s="99"/>
      <c r="D34" s="20"/>
      <c r="E34" s="98"/>
      <c r="F34" s="21"/>
      <c r="G34" s="341"/>
      <c r="H34" s="341"/>
      <c r="I34" s="341"/>
      <c r="J34" s="341"/>
      <c r="K34" s="341"/>
      <c r="L34" s="1"/>
      <c r="M34" s="341"/>
      <c r="N34" s="341"/>
      <c r="O34" s="341"/>
      <c r="P34" s="341"/>
      <c r="Q34" s="1"/>
      <c r="R34" s="1"/>
      <c r="S34" s="1"/>
      <c r="T34" s="1"/>
      <c r="U34" s="1"/>
      <c r="V34" s="1"/>
      <c r="W34" s="1"/>
      <c r="X34" s="1"/>
      <c r="Y34" s="1"/>
      <c r="Z34" s="10"/>
      <c r="AA34" s="8"/>
      <c r="AB34" s="8"/>
      <c r="AC34" s="8"/>
      <c r="AD34" s="8"/>
      <c r="AE34" s="8"/>
      <c r="AF34" s="2">
        <f>SUM(AG34:AI34)</f>
        <v>0</v>
      </c>
      <c r="AG34" s="339"/>
      <c r="AH34" s="13"/>
      <c r="AI34" s="35"/>
      <c r="AJ34" s="35"/>
      <c r="AK34" s="34"/>
      <c r="AL34" s="35"/>
      <c r="AM34" s="34"/>
      <c r="AN34" s="305"/>
      <c r="AO34" s="35"/>
      <c r="AP34" s="35"/>
      <c r="AQ34" s="35"/>
    </row>
    <row r="35" spans="1:44" ht="15.75" customHeight="1" x14ac:dyDescent="0.3">
      <c r="A35" s="36" t="s">
        <v>60</v>
      </c>
      <c r="B35" s="1903" t="s">
        <v>61</v>
      </c>
      <c r="C35" s="1917"/>
      <c r="D35" s="22">
        <f>SUM(D36:D40)</f>
        <v>111066069</v>
      </c>
      <c r="E35" s="98">
        <f>SUM(E36:E36)</f>
        <v>111066069</v>
      </c>
      <c r="F35" s="25">
        <f t="shared" ref="F35:AQ35" si="26">SUM(F36:F41)</f>
        <v>50086500</v>
      </c>
      <c r="G35" s="22">
        <f t="shared" si="26"/>
        <v>0</v>
      </c>
      <c r="H35" s="22">
        <f t="shared" si="26"/>
        <v>7189158</v>
      </c>
      <c r="I35" s="22">
        <f t="shared" si="26"/>
        <v>3148470</v>
      </c>
      <c r="J35" s="22">
        <f t="shared" si="26"/>
        <v>1209648</v>
      </c>
      <c r="K35" s="22">
        <f t="shared" si="26"/>
        <v>934728</v>
      </c>
      <c r="L35" s="22">
        <f t="shared" si="26"/>
        <v>5897034</v>
      </c>
      <c r="M35" s="22">
        <f t="shared" si="26"/>
        <v>0</v>
      </c>
      <c r="N35" s="22">
        <f t="shared" si="26"/>
        <v>1072188</v>
      </c>
      <c r="O35" s="22">
        <f t="shared" si="26"/>
        <v>6831762</v>
      </c>
      <c r="P35" s="22">
        <f t="shared" si="26"/>
        <v>10570674</v>
      </c>
      <c r="Q35" s="22">
        <f t="shared" si="26"/>
        <v>742284</v>
      </c>
      <c r="R35" s="22">
        <f t="shared" si="26"/>
        <v>2364312</v>
      </c>
      <c r="S35" s="22">
        <f t="shared" si="26"/>
        <v>2103138</v>
      </c>
      <c r="T35" s="22">
        <f t="shared" si="26"/>
        <v>2529264</v>
      </c>
      <c r="U35" s="22">
        <f t="shared" si="26"/>
        <v>549840</v>
      </c>
      <c r="V35" s="22">
        <f t="shared" si="26"/>
        <v>1800726</v>
      </c>
      <c r="W35" s="22">
        <f t="shared" si="26"/>
        <v>1415838</v>
      </c>
      <c r="X35" s="22">
        <f t="shared" si="26"/>
        <v>1179876</v>
      </c>
      <c r="Y35" s="22">
        <f t="shared" si="26"/>
        <v>547560</v>
      </c>
      <c r="Z35" s="6">
        <f t="shared" si="26"/>
        <v>22405980</v>
      </c>
      <c r="AA35" s="7">
        <f t="shared" si="26"/>
        <v>1017204</v>
      </c>
      <c r="AB35" s="7">
        <f t="shared" si="26"/>
        <v>2817930</v>
      </c>
      <c r="AC35" s="7">
        <f t="shared" si="26"/>
        <v>7629030</v>
      </c>
      <c r="AD35" s="7">
        <f t="shared" si="26"/>
        <v>8192616</v>
      </c>
      <c r="AE35" s="7">
        <f t="shared" si="26"/>
        <v>2749200</v>
      </c>
      <c r="AF35" s="2">
        <f t="shared" si="26"/>
        <v>19012008</v>
      </c>
      <c r="AG35" s="345">
        <f t="shared" si="26"/>
        <v>1305870</v>
      </c>
      <c r="AH35" s="6">
        <f t="shared" si="26"/>
        <v>8213400</v>
      </c>
      <c r="AI35" s="33">
        <f t="shared" si="26"/>
        <v>4811100</v>
      </c>
      <c r="AJ35" s="33">
        <f t="shared" si="26"/>
        <v>4681638</v>
      </c>
      <c r="AK35" s="34">
        <f t="shared" si="26"/>
        <v>19561581</v>
      </c>
      <c r="AL35" s="35">
        <f t="shared" si="26"/>
        <v>5078619</v>
      </c>
      <c r="AM35" s="34">
        <f t="shared" si="26"/>
        <v>14482962</v>
      </c>
      <c r="AN35" s="305">
        <f t="shared" si="26"/>
        <v>1875393</v>
      </c>
      <c r="AO35" s="35">
        <f t="shared" si="26"/>
        <v>2272374</v>
      </c>
      <c r="AP35" s="35">
        <f t="shared" si="26"/>
        <v>4531059</v>
      </c>
      <c r="AQ35" s="35">
        <f t="shared" si="26"/>
        <v>5804136</v>
      </c>
    </row>
    <row r="36" spans="1:44" ht="15.75" customHeight="1" x14ac:dyDescent="0.3">
      <c r="A36" s="36" t="s">
        <v>62</v>
      </c>
      <c r="B36" s="1903" t="s">
        <v>63</v>
      </c>
      <c r="C36" s="1904"/>
      <c r="D36" s="20">
        <f t="shared" ref="D36:D41" si="27">+F36+Z36+AF36+AK36</f>
        <v>111066069</v>
      </c>
      <c r="E36" s="98">
        <f t="shared" ref="E36" si="28">SUM(G36+H36+I36+J36+K36+L36+M36+N36+O36+P36+Q36+R36+S36+T36+U36+V36+W36+X36+Y36+AA36+AB36+AC36+AD36+AE36+AG36+AH36+AI36+AJ36+AL36+AN36+AO36+AP36+AQ36)</f>
        <v>111066069</v>
      </c>
      <c r="F36" s="21">
        <f t="shared" ref="F36:F41" si="29">SUM(G36:Y36)</f>
        <v>50086500</v>
      </c>
      <c r="G36" s="346"/>
      <c r="H36" s="346">
        <v>7189158</v>
      </c>
      <c r="I36" s="346">
        <v>3148470</v>
      </c>
      <c r="J36" s="346">
        <v>1209648</v>
      </c>
      <c r="K36" s="346">
        <v>934728</v>
      </c>
      <c r="L36" s="1">
        <v>5897034</v>
      </c>
      <c r="M36" s="346">
        <v>0</v>
      </c>
      <c r="N36" s="346">
        <v>1072188</v>
      </c>
      <c r="O36" s="346">
        <v>6831762</v>
      </c>
      <c r="P36" s="346">
        <v>10570674</v>
      </c>
      <c r="Q36" s="1">
        <v>742284</v>
      </c>
      <c r="R36" s="1">
        <v>2364312</v>
      </c>
      <c r="S36" s="1">
        <v>2103138</v>
      </c>
      <c r="T36" s="1">
        <v>2529264</v>
      </c>
      <c r="U36" s="1">
        <v>549840</v>
      </c>
      <c r="V36" s="1">
        <v>1800726</v>
      </c>
      <c r="W36" s="1">
        <v>1415838</v>
      </c>
      <c r="X36" s="1">
        <v>1179876</v>
      </c>
      <c r="Y36" s="1">
        <v>547560</v>
      </c>
      <c r="Z36" s="10">
        <f t="shared" ref="Z36:Z41" si="30">SUM(AA36:AE36)</f>
        <v>22405980</v>
      </c>
      <c r="AA36" s="8">
        <v>1017204</v>
      </c>
      <c r="AB36" s="8">
        <v>2817930</v>
      </c>
      <c r="AC36" s="8">
        <v>7629030</v>
      </c>
      <c r="AD36" s="8">
        <v>8192616</v>
      </c>
      <c r="AE36" s="8">
        <v>2749200</v>
      </c>
      <c r="AF36" s="2">
        <f t="shared" ref="AF36:AF41" si="31">SUM(AG36:AJ36)</f>
        <v>19012008</v>
      </c>
      <c r="AG36" s="339">
        <v>1305870</v>
      </c>
      <c r="AH36" s="13">
        <v>8213400</v>
      </c>
      <c r="AI36" s="35">
        <v>4811100</v>
      </c>
      <c r="AJ36" s="35">
        <v>4681638</v>
      </c>
      <c r="AK36" s="34">
        <f t="shared" ref="AK36:AK41" si="32">SUM(AL36+AM36)</f>
        <v>19561581</v>
      </c>
      <c r="AL36" s="35">
        <v>5078619</v>
      </c>
      <c r="AM36" s="30">
        <f t="shared" ref="AM36:AM41" si="33">SUM(AN36:AQ36)</f>
        <v>14482962</v>
      </c>
      <c r="AN36" s="305">
        <v>1875393</v>
      </c>
      <c r="AO36" s="35">
        <v>2272374</v>
      </c>
      <c r="AP36" s="35">
        <v>4531059</v>
      </c>
      <c r="AQ36" s="35">
        <v>5804136</v>
      </c>
    </row>
    <row r="37" spans="1:44" ht="15.75" hidden="1" customHeight="1" x14ac:dyDescent="0.3">
      <c r="A37" s="36" t="s">
        <v>64</v>
      </c>
      <c r="B37" s="1903" t="s">
        <v>65</v>
      </c>
      <c r="C37" s="1904"/>
      <c r="D37" s="20">
        <f t="shared" si="27"/>
        <v>0</v>
      </c>
      <c r="E37" s="98">
        <f t="shared" ref="E37:E40" si="34">SUM(F37+Z37+AF37+AK37)</f>
        <v>0</v>
      </c>
      <c r="F37" s="21">
        <f t="shared" si="29"/>
        <v>0</v>
      </c>
      <c r="G37" s="347"/>
      <c r="H37" s="347"/>
      <c r="I37" s="347"/>
      <c r="J37" s="347"/>
      <c r="K37" s="347"/>
      <c r="L37" s="1"/>
      <c r="M37" s="347"/>
      <c r="N37" s="347"/>
      <c r="O37" s="347"/>
      <c r="P37" s="347"/>
      <c r="Q37" s="1"/>
      <c r="R37" s="1"/>
      <c r="S37" s="1"/>
      <c r="T37" s="1"/>
      <c r="U37" s="1"/>
      <c r="V37" s="1"/>
      <c r="W37" s="1"/>
      <c r="X37" s="1"/>
      <c r="Y37" s="1"/>
      <c r="Z37" s="10">
        <f t="shared" si="30"/>
        <v>0</v>
      </c>
      <c r="AA37" s="8"/>
      <c r="AB37" s="8"/>
      <c r="AC37" s="8"/>
      <c r="AD37" s="8"/>
      <c r="AE37" s="8"/>
      <c r="AF37" s="2">
        <f t="shared" si="31"/>
        <v>0</v>
      </c>
      <c r="AG37" s="339"/>
      <c r="AH37" s="13">
        <v>0</v>
      </c>
      <c r="AI37" s="35"/>
      <c r="AJ37" s="35"/>
      <c r="AK37" s="34">
        <f t="shared" si="32"/>
        <v>0</v>
      </c>
      <c r="AL37" s="35"/>
      <c r="AM37" s="30">
        <f t="shared" si="33"/>
        <v>0</v>
      </c>
      <c r="AN37" s="305"/>
      <c r="AO37" s="35"/>
      <c r="AP37" s="35"/>
      <c r="AQ37" s="35"/>
    </row>
    <row r="38" spans="1:44" ht="15.75" hidden="1" customHeight="1" x14ac:dyDescent="0.3">
      <c r="A38" s="36" t="s">
        <v>66</v>
      </c>
      <c r="B38" s="1903" t="s">
        <v>67</v>
      </c>
      <c r="C38" s="1904"/>
      <c r="D38" s="20">
        <f t="shared" si="27"/>
        <v>0</v>
      </c>
      <c r="E38" s="98">
        <f t="shared" si="34"/>
        <v>0</v>
      </c>
      <c r="F38" s="21">
        <f t="shared" si="29"/>
        <v>0</v>
      </c>
      <c r="G38" s="347"/>
      <c r="H38" s="347"/>
      <c r="I38" s="347"/>
      <c r="J38" s="347"/>
      <c r="K38" s="347"/>
      <c r="L38" s="1"/>
      <c r="M38" s="347"/>
      <c r="N38" s="347"/>
      <c r="O38" s="347"/>
      <c r="P38" s="347"/>
      <c r="Q38" s="1"/>
      <c r="R38" s="1"/>
      <c r="S38" s="1"/>
      <c r="T38" s="1"/>
      <c r="U38" s="1"/>
      <c r="V38" s="1"/>
      <c r="W38" s="1"/>
      <c r="X38" s="1"/>
      <c r="Y38" s="1"/>
      <c r="Z38" s="10">
        <f t="shared" si="30"/>
        <v>0</v>
      </c>
      <c r="AA38" s="8"/>
      <c r="AB38" s="8"/>
      <c r="AC38" s="8"/>
      <c r="AD38" s="8"/>
      <c r="AE38" s="8"/>
      <c r="AF38" s="2">
        <f t="shared" si="31"/>
        <v>0</v>
      </c>
      <c r="AG38" s="339"/>
      <c r="AH38" s="13">
        <v>0</v>
      </c>
      <c r="AI38" s="35"/>
      <c r="AJ38" s="35"/>
      <c r="AK38" s="34">
        <f t="shared" si="32"/>
        <v>0</v>
      </c>
      <c r="AL38" s="35"/>
      <c r="AM38" s="30">
        <f t="shared" si="33"/>
        <v>0</v>
      </c>
      <c r="AN38" s="305"/>
      <c r="AO38" s="35"/>
      <c r="AP38" s="35"/>
      <c r="AQ38" s="35"/>
    </row>
    <row r="39" spans="1:44" ht="15.75" hidden="1" customHeight="1" x14ac:dyDescent="0.3">
      <c r="A39" s="36" t="s">
        <v>68</v>
      </c>
      <c r="B39" s="1903" t="s">
        <v>69</v>
      </c>
      <c r="C39" s="1904"/>
      <c r="D39" s="20">
        <f t="shared" si="27"/>
        <v>0</v>
      </c>
      <c r="E39" s="98">
        <f t="shared" si="34"/>
        <v>0</v>
      </c>
      <c r="F39" s="21">
        <f t="shared" si="29"/>
        <v>0</v>
      </c>
      <c r="G39" s="347"/>
      <c r="H39" s="347"/>
      <c r="I39" s="347"/>
      <c r="J39" s="347"/>
      <c r="K39" s="347"/>
      <c r="L39" s="1"/>
      <c r="M39" s="347"/>
      <c r="N39" s="347"/>
      <c r="O39" s="347"/>
      <c r="P39" s="347"/>
      <c r="Q39" s="1"/>
      <c r="R39" s="1"/>
      <c r="S39" s="1"/>
      <c r="T39" s="1"/>
      <c r="U39" s="1"/>
      <c r="V39" s="1"/>
      <c r="W39" s="1"/>
      <c r="X39" s="1"/>
      <c r="Y39" s="1"/>
      <c r="Z39" s="10">
        <f t="shared" si="30"/>
        <v>0</v>
      </c>
      <c r="AA39" s="8"/>
      <c r="AB39" s="8"/>
      <c r="AC39" s="8"/>
      <c r="AD39" s="8"/>
      <c r="AE39" s="8"/>
      <c r="AF39" s="2">
        <f t="shared" si="31"/>
        <v>0</v>
      </c>
      <c r="AG39" s="339"/>
      <c r="AH39" s="13">
        <v>0</v>
      </c>
      <c r="AI39" s="35"/>
      <c r="AJ39" s="35"/>
      <c r="AK39" s="34">
        <f t="shared" si="32"/>
        <v>0</v>
      </c>
      <c r="AL39" s="35"/>
      <c r="AM39" s="30">
        <f t="shared" si="33"/>
        <v>0</v>
      </c>
      <c r="AN39" s="305"/>
      <c r="AO39" s="35"/>
      <c r="AP39" s="35"/>
      <c r="AQ39" s="35"/>
    </row>
    <row r="40" spans="1:44" ht="15.75" hidden="1" customHeight="1" x14ac:dyDescent="0.3">
      <c r="A40" s="36" t="s">
        <v>70</v>
      </c>
      <c r="B40" s="1903" t="s">
        <v>71</v>
      </c>
      <c r="C40" s="1904"/>
      <c r="D40" s="20">
        <f t="shared" si="27"/>
        <v>0</v>
      </c>
      <c r="E40" s="98">
        <f t="shared" si="34"/>
        <v>0</v>
      </c>
      <c r="F40" s="21">
        <f t="shared" si="29"/>
        <v>0</v>
      </c>
      <c r="G40" s="347"/>
      <c r="H40" s="347"/>
      <c r="I40" s="347"/>
      <c r="J40" s="347"/>
      <c r="K40" s="347"/>
      <c r="L40" s="1"/>
      <c r="M40" s="347"/>
      <c r="N40" s="347"/>
      <c r="O40" s="347"/>
      <c r="P40" s="347"/>
      <c r="Q40" s="1"/>
      <c r="R40" s="1"/>
      <c r="S40" s="1"/>
      <c r="T40" s="1"/>
      <c r="U40" s="1"/>
      <c r="V40" s="1"/>
      <c r="W40" s="1"/>
      <c r="X40" s="1"/>
      <c r="Y40" s="1"/>
      <c r="Z40" s="10">
        <f t="shared" si="30"/>
        <v>0</v>
      </c>
      <c r="AA40" s="8"/>
      <c r="AB40" s="8"/>
      <c r="AC40" s="8"/>
      <c r="AD40" s="8"/>
      <c r="AE40" s="8"/>
      <c r="AF40" s="2">
        <f t="shared" si="31"/>
        <v>0</v>
      </c>
      <c r="AG40" s="339"/>
      <c r="AH40" s="13">
        <v>0</v>
      </c>
      <c r="AI40" s="35"/>
      <c r="AJ40" s="35"/>
      <c r="AK40" s="34">
        <f t="shared" si="32"/>
        <v>0</v>
      </c>
      <c r="AL40" s="35"/>
      <c r="AM40" s="30">
        <f t="shared" si="33"/>
        <v>0</v>
      </c>
      <c r="AN40" s="305"/>
      <c r="AO40" s="35"/>
      <c r="AP40" s="35"/>
      <c r="AQ40" s="35"/>
    </row>
    <row r="41" spans="1:44" ht="15.75" hidden="1" customHeight="1" x14ac:dyDescent="0.3">
      <c r="A41" s="36" t="s">
        <v>72</v>
      </c>
      <c r="B41" s="381" t="s">
        <v>73</v>
      </c>
      <c r="C41" s="99"/>
      <c r="D41" s="20">
        <f t="shared" si="27"/>
        <v>0</v>
      </c>
      <c r="E41" s="98"/>
      <c r="F41" s="21">
        <f t="shared" si="29"/>
        <v>0</v>
      </c>
      <c r="G41" s="341">
        <v>0</v>
      </c>
      <c r="H41" s="341">
        <v>0</v>
      </c>
      <c r="I41" s="341">
        <v>0</v>
      </c>
      <c r="J41" s="341">
        <v>0</v>
      </c>
      <c r="K41" s="341">
        <v>0</v>
      </c>
      <c r="L41" s="1"/>
      <c r="M41" s="341"/>
      <c r="N41" s="341"/>
      <c r="O41" s="341"/>
      <c r="P41" s="341"/>
      <c r="Q41" s="1"/>
      <c r="R41" s="1"/>
      <c r="S41" s="1"/>
      <c r="T41" s="1"/>
      <c r="U41" s="1"/>
      <c r="V41" s="1"/>
      <c r="W41" s="1"/>
      <c r="X41" s="1"/>
      <c r="Y41" s="1"/>
      <c r="Z41" s="10">
        <f t="shared" si="30"/>
        <v>0</v>
      </c>
      <c r="AA41" s="8"/>
      <c r="AB41" s="8"/>
      <c r="AC41" s="8"/>
      <c r="AD41" s="8"/>
      <c r="AE41" s="8"/>
      <c r="AF41" s="2">
        <f t="shared" si="31"/>
        <v>0</v>
      </c>
      <c r="AG41" s="339"/>
      <c r="AH41" s="1"/>
      <c r="AI41" s="35"/>
      <c r="AJ41" s="35"/>
      <c r="AK41" s="34">
        <f t="shared" si="32"/>
        <v>0</v>
      </c>
      <c r="AL41" s="35"/>
      <c r="AM41" s="30">
        <f t="shared" si="33"/>
        <v>0</v>
      </c>
      <c r="AN41" s="305"/>
      <c r="AO41" s="35"/>
      <c r="AP41" s="35"/>
      <c r="AQ41" s="35"/>
    </row>
    <row r="42" spans="1:44" ht="15.75" customHeight="1" x14ac:dyDescent="0.3">
      <c r="A42" s="36"/>
      <c r="B42" s="381"/>
      <c r="C42" s="99"/>
      <c r="D42" s="20"/>
      <c r="E42" s="98"/>
      <c r="F42" s="21"/>
      <c r="G42" s="346"/>
      <c r="H42" s="346"/>
      <c r="I42" s="346"/>
      <c r="J42" s="346"/>
      <c r="K42" s="346"/>
      <c r="L42" s="1"/>
      <c r="M42" s="346"/>
      <c r="N42" s="346"/>
      <c r="O42" s="346"/>
      <c r="P42" s="346"/>
      <c r="Q42" s="1"/>
      <c r="R42" s="1"/>
      <c r="S42" s="1"/>
      <c r="T42" s="1"/>
      <c r="U42" s="1"/>
      <c r="V42" s="1"/>
      <c r="W42" s="1"/>
      <c r="X42" s="1"/>
      <c r="Y42" s="1"/>
      <c r="Z42" s="10"/>
      <c r="AA42" s="8"/>
      <c r="AB42" s="8"/>
      <c r="AC42" s="8"/>
      <c r="AD42" s="8"/>
      <c r="AE42" s="8"/>
      <c r="AF42" s="2">
        <f>SUM(AG42:AI42)</f>
        <v>0</v>
      </c>
      <c r="AG42" s="339"/>
      <c r="AH42" s="13"/>
      <c r="AI42" s="35"/>
      <c r="AJ42" s="35"/>
      <c r="AK42" s="34"/>
      <c r="AL42" s="35"/>
      <c r="AM42" s="34"/>
      <c r="AN42" s="305"/>
      <c r="AO42" s="35"/>
      <c r="AP42" s="35"/>
      <c r="AQ42" s="35"/>
    </row>
    <row r="43" spans="1:44" ht="15.75" customHeight="1" x14ac:dyDescent="0.3">
      <c r="A43" s="37" t="s">
        <v>74</v>
      </c>
      <c r="B43" s="1912" t="s">
        <v>75</v>
      </c>
      <c r="C43" s="1919"/>
      <c r="D43" s="23">
        <f>SUM(D44:D48)</f>
        <v>453950403</v>
      </c>
      <c r="E43" s="71">
        <f>SUM(E44:E48)</f>
        <v>453950403</v>
      </c>
      <c r="F43" s="23">
        <f t="shared" ref="F43:Z43" si="35">SUM(F44:F48)</f>
        <v>226825855</v>
      </c>
      <c r="G43" s="23">
        <f t="shared" si="35"/>
        <v>0</v>
      </c>
      <c r="H43" s="23">
        <f t="shared" si="35"/>
        <v>21068127</v>
      </c>
      <c r="I43" s="23">
        <f t="shared" si="35"/>
        <v>20434153</v>
      </c>
      <c r="J43" s="23">
        <f t="shared" si="35"/>
        <v>11535475</v>
      </c>
      <c r="K43" s="23">
        <f t="shared" si="35"/>
        <v>2146594</v>
      </c>
      <c r="L43" s="23">
        <f t="shared" si="35"/>
        <v>21225630</v>
      </c>
      <c r="M43" s="23">
        <f t="shared" si="35"/>
        <v>5209784</v>
      </c>
      <c r="N43" s="23">
        <f t="shared" si="35"/>
        <v>2662322</v>
      </c>
      <c r="O43" s="23">
        <f t="shared" si="35"/>
        <v>18713064</v>
      </c>
      <c r="P43" s="23">
        <f t="shared" si="35"/>
        <v>36302966</v>
      </c>
      <c r="Q43" s="23">
        <f t="shared" si="35"/>
        <v>5101102</v>
      </c>
      <c r="R43" s="23">
        <f t="shared" si="35"/>
        <v>20109770</v>
      </c>
      <c r="S43" s="23">
        <f t="shared" si="35"/>
        <v>11424237</v>
      </c>
      <c r="T43" s="23">
        <f>SUM(T44:T48)</f>
        <v>13168351</v>
      </c>
      <c r="U43" s="23">
        <f t="shared" si="35"/>
        <v>3205890</v>
      </c>
      <c r="V43" s="23">
        <f>SUM(V44:V48)</f>
        <v>15273725</v>
      </c>
      <c r="W43" s="23">
        <f>SUM(W44:W48)</f>
        <v>7113146</v>
      </c>
      <c r="X43" s="23">
        <f>SUM(X44:X48)</f>
        <v>8099980</v>
      </c>
      <c r="Y43" s="23">
        <f t="shared" si="35"/>
        <v>4031539</v>
      </c>
      <c r="Z43" s="9">
        <f t="shared" si="35"/>
        <v>90641073</v>
      </c>
      <c r="AA43" s="9">
        <f t="shared" ref="AA43:AF43" si="36">SUM(AA44:AA48)</f>
        <v>9584363</v>
      </c>
      <c r="AB43" s="9">
        <f t="shared" si="36"/>
        <v>13335818</v>
      </c>
      <c r="AC43" s="9">
        <f t="shared" si="36"/>
        <v>25030764</v>
      </c>
      <c r="AD43" s="9">
        <f t="shared" si="36"/>
        <v>27134315</v>
      </c>
      <c r="AE43" s="9">
        <f t="shared" si="36"/>
        <v>15555813</v>
      </c>
      <c r="AF43" s="2">
        <f t="shared" si="36"/>
        <v>66815172</v>
      </c>
      <c r="AG43" s="343">
        <f t="shared" ref="AG43:AQ43" si="37">SUM(AG44:AG48)</f>
        <v>5709313</v>
      </c>
      <c r="AH43" s="9">
        <f t="shared" si="37"/>
        <v>30409546</v>
      </c>
      <c r="AI43" s="33">
        <f t="shared" si="37"/>
        <v>12574342</v>
      </c>
      <c r="AJ43" s="33">
        <f t="shared" si="37"/>
        <v>18121971</v>
      </c>
      <c r="AK43" s="34">
        <f t="shared" si="37"/>
        <v>69668303</v>
      </c>
      <c r="AL43" s="33">
        <f t="shared" si="37"/>
        <v>21529746</v>
      </c>
      <c r="AM43" s="34">
        <f t="shared" si="37"/>
        <v>48138557</v>
      </c>
      <c r="AN43" s="308">
        <f>SUM(AN44:AN48)</f>
        <v>6187108</v>
      </c>
      <c r="AO43" s="33">
        <f t="shared" si="37"/>
        <v>8145436</v>
      </c>
      <c r="AP43" s="33">
        <f t="shared" si="37"/>
        <v>18384416</v>
      </c>
      <c r="AQ43" s="33">
        <f t="shared" si="37"/>
        <v>15421597</v>
      </c>
    </row>
    <row r="44" spans="1:44" ht="15.75" customHeight="1" x14ac:dyDescent="0.3">
      <c r="A44" s="38" t="s">
        <v>76</v>
      </c>
      <c r="B44" s="1903" t="s">
        <v>77</v>
      </c>
      <c r="C44" s="1904"/>
      <c r="D44" s="20">
        <f t="shared" ref="D44:D48" si="38">+F44+Z44+AF44+AK44</f>
        <v>250689021</v>
      </c>
      <c r="E44" s="98">
        <f t="shared" ref="E44:E48" si="39">SUM(G44+H44+I44+J44+K44+L44+M44+N44+O44+P44+Q44+R44+S44+T44+U44+V44+W44+X44+Y44+AA44+AB44+AC44+AD44+AE44+AG44+AH44+AI44+AJ44+AL44+AN44+AO44+AP44+AQ44)</f>
        <v>250689021</v>
      </c>
      <c r="F44" s="21">
        <f>SUM(G44:Y44)</f>
        <v>125262038</v>
      </c>
      <c r="G44" s="341"/>
      <c r="H44" s="341">
        <v>11634638</v>
      </c>
      <c r="I44" s="341">
        <v>11284532</v>
      </c>
      <c r="J44" s="341">
        <v>6370337</v>
      </c>
      <c r="K44" s="341">
        <v>1185432</v>
      </c>
      <c r="L44" s="1">
        <v>11721616</v>
      </c>
      <c r="M44" s="341">
        <v>2877045</v>
      </c>
      <c r="N44" s="341">
        <v>1470238</v>
      </c>
      <c r="O44" s="341">
        <v>10334080</v>
      </c>
      <c r="P44" s="341">
        <v>20047906</v>
      </c>
      <c r="Q44" s="1">
        <v>2817026</v>
      </c>
      <c r="R44" s="1">
        <v>11105395</v>
      </c>
      <c r="S44" s="1">
        <v>6308907</v>
      </c>
      <c r="T44" s="1">
        <v>7272075</v>
      </c>
      <c r="U44" s="1">
        <v>1770417</v>
      </c>
      <c r="V44" s="1">
        <v>8434744</v>
      </c>
      <c r="W44" s="1">
        <v>3928155</v>
      </c>
      <c r="X44" s="1">
        <v>4473123</v>
      </c>
      <c r="Y44" s="1">
        <v>2226372</v>
      </c>
      <c r="Z44" s="10">
        <f>SUM(AA44:AE44)</f>
        <v>50055515</v>
      </c>
      <c r="AA44" s="8">
        <v>5292856</v>
      </c>
      <c r="AB44" s="8">
        <v>7364556</v>
      </c>
      <c r="AC44" s="8">
        <v>13822959</v>
      </c>
      <c r="AD44" s="8">
        <v>14984621</v>
      </c>
      <c r="AE44" s="8">
        <v>8590523</v>
      </c>
      <c r="AF44" s="2">
        <f>SUM(AG44:AJ44)</f>
        <v>36897929</v>
      </c>
      <c r="AG44" s="339">
        <v>3152904</v>
      </c>
      <c r="AH44" s="13">
        <v>16793331</v>
      </c>
      <c r="AI44" s="35">
        <v>6944039</v>
      </c>
      <c r="AJ44" s="35">
        <v>10007655</v>
      </c>
      <c r="AK44" s="34">
        <f>SUM(AL44+AM44)</f>
        <v>38473539</v>
      </c>
      <c r="AL44" s="35">
        <v>11889561</v>
      </c>
      <c r="AM44" s="30">
        <f>SUM(AN44:AQ44)</f>
        <v>26583978</v>
      </c>
      <c r="AN44" s="305">
        <v>3416761</v>
      </c>
      <c r="AO44" s="35">
        <v>4498226</v>
      </c>
      <c r="AP44" s="35">
        <v>10152587</v>
      </c>
      <c r="AQ44" s="35">
        <v>8516404</v>
      </c>
    </row>
    <row r="45" spans="1:44" ht="15.75" customHeight="1" x14ac:dyDescent="0.3">
      <c r="A45" s="46" t="s">
        <v>78</v>
      </c>
      <c r="B45" s="1903" t="s">
        <v>79</v>
      </c>
      <c r="C45" s="1904"/>
      <c r="D45" s="20">
        <f t="shared" si="38"/>
        <v>13550763</v>
      </c>
      <c r="E45" s="98">
        <f t="shared" si="39"/>
        <v>13550763</v>
      </c>
      <c r="F45" s="21">
        <f>SUM(G45:Y45)</f>
        <v>6770923</v>
      </c>
      <c r="G45" s="341"/>
      <c r="H45" s="341">
        <v>628899</v>
      </c>
      <c r="I45" s="341">
        <v>609975</v>
      </c>
      <c r="J45" s="341">
        <v>344342</v>
      </c>
      <c r="K45" s="341">
        <v>64078</v>
      </c>
      <c r="L45" s="1">
        <v>633601</v>
      </c>
      <c r="M45" s="341">
        <v>155516</v>
      </c>
      <c r="N45" s="341">
        <v>79472</v>
      </c>
      <c r="O45" s="341">
        <v>558599</v>
      </c>
      <c r="P45" s="341">
        <v>1083671</v>
      </c>
      <c r="Q45" s="1">
        <v>152272</v>
      </c>
      <c r="R45" s="1">
        <v>600292</v>
      </c>
      <c r="S45" s="1">
        <v>341022</v>
      </c>
      <c r="T45" s="1">
        <v>393085</v>
      </c>
      <c r="U45" s="1">
        <v>95698</v>
      </c>
      <c r="V45" s="1">
        <v>455932</v>
      </c>
      <c r="W45" s="1">
        <v>212333</v>
      </c>
      <c r="X45" s="1">
        <v>241791</v>
      </c>
      <c r="Y45" s="1">
        <v>120345</v>
      </c>
      <c r="Z45" s="10">
        <f>SUM(AA45:AE45)</f>
        <v>2705705</v>
      </c>
      <c r="AA45" s="8">
        <v>286101</v>
      </c>
      <c r="AB45" s="8">
        <v>398084</v>
      </c>
      <c r="AC45" s="8">
        <v>747187</v>
      </c>
      <c r="AD45" s="8">
        <v>809980</v>
      </c>
      <c r="AE45" s="8">
        <v>464353</v>
      </c>
      <c r="AF45" s="2">
        <f>SUM(AG45:AJ45)</f>
        <v>1994484</v>
      </c>
      <c r="AG45" s="339">
        <v>170427</v>
      </c>
      <c r="AH45" s="13">
        <v>907748</v>
      </c>
      <c r="AI45" s="35">
        <v>375354</v>
      </c>
      <c r="AJ45" s="35">
        <v>540955</v>
      </c>
      <c r="AK45" s="34">
        <f>SUM(AL45+AM45)</f>
        <v>2079651</v>
      </c>
      <c r="AL45" s="35">
        <v>642679</v>
      </c>
      <c r="AM45" s="30">
        <f>SUM(AN45:AQ45)</f>
        <v>1436972</v>
      </c>
      <c r="AN45" s="305">
        <v>184690</v>
      </c>
      <c r="AO45" s="35">
        <v>243147</v>
      </c>
      <c r="AP45" s="35">
        <v>548789</v>
      </c>
      <c r="AQ45" s="35">
        <v>460346</v>
      </c>
    </row>
    <row r="46" spans="1:44" ht="15.75" customHeight="1" x14ac:dyDescent="0.3">
      <c r="A46" s="38" t="s">
        <v>80</v>
      </c>
      <c r="B46" s="1903" t="s">
        <v>81</v>
      </c>
      <c r="C46" s="1904"/>
      <c r="D46" s="20">
        <f t="shared" si="38"/>
        <v>40652276</v>
      </c>
      <c r="E46" s="98">
        <f t="shared" si="39"/>
        <v>40652276</v>
      </c>
      <c r="F46" s="21">
        <f>SUM(G46:Y46)</f>
        <v>20312763</v>
      </c>
      <c r="G46" s="341"/>
      <c r="H46" s="341">
        <v>1886698</v>
      </c>
      <c r="I46" s="341">
        <v>1829924</v>
      </c>
      <c r="J46" s="341">
        <v>1033028</v>
      </c>
      <c r="K46" s="341">
        <v>192232</v>
      </c>
      <c r="L46" s="1">
        <v>1900803</v>
      </c>
      <c r="M46" s="341">
        <v>466548</v>
      </c>
      <c r="N46" s="341">
        <v>238417</v>
      </c>
      <c r="O46" s="341">
        <v>1675797</v>
      </c>
      <c r="P46" s="341">
        <v>3251012</v>
      </c>
      <c r="Q46" s="1">
        <v>456815</v>
      </c>
      <c r="R46" s="1">
        <v>1800875</v>
      </c>
      <c r="S46" s="1">
        <v>1023066</v>
      </c>
      <c r="T46" s="1">
        <v>1179255</v>
      </c>
      <c r="U46" s="1">
        <v>287095</v>
      </c>
      <c r="V46" s="1">
        <v>1367796</v>
      </c>
      <c r="W46" s="1">
        <v>636998</v>
      </c>
      <c r="X46" s="1">
        <v>725371</v>
      </c>
      <c r="Y46" s="1">
        <v>361033</v>
      </c>
      <c r="Z46" s="10">
        <f>SUM(AA46:AE46)</f>
        <v>8117112</v>
      </c>
      <c r="AA46" s="8">
        <v>858301</v>
      </c>
      <c r="AB46" s="8">
        <v>1194253</v>
      </c>
      <c r="AC46" s="8">
        <v>2241561</v>
      </c>
      <c r="AD46" s="8">
        <v>2429939</v>
      </c>
      <c r="AE46" s="8">
        <v>1393058</v>
      </c>
      <c r="AF46" s="2">
        <f>SUM(AG46:AJ46)</f>
        <v>5983448</v>
      </c>
      <c r="AG46" s="339">
        <v>511282</v>
      </c>
      <c r="AH46" s="13">
        <v>2723243</v>
      </c>
      <c r="AI46" s="35">
        <v>1126060</v>
      </c>
      <c r="AJ46" s="35">
        <v>1622863</v>
      </c>
      <c r="AK46" s="34">
        <f>SUM(AL46+AM46)</f>
        <v>6238953</v>
      </c>
      <c r="AL46" s="35">
        <v>1928037</v>
      </c>
      <c r="AM46" s="30">
        <f>SUM(AN46:AQ46)</f>
        <v>4310916</v>
      </c>
      <c r="AN46" s="305">
        <v>554069</v>
      </c>
      <c r="AO46" s="35">
        <v>729442</v>
      </c>
      <c r="AP46" s="35">
        <v>1646366</v>
      </c>
      <c r="AQ46" s="35">
        <v>1381039</v>
      </c>
    </row>
    <row r="47" spans="1:44" ht="15.75" customHeight="1" x14ac:dyDescent="0.3">
      <c r="A47" s="38" t="s">
        <v>82</v>
      </c>
      <c r="B47" s="1903" t="s">
        <v>83</v>
      </c>
      <c r="C47" s="1904"/>
      <c r="D47" s="20">
        <f t="shared" si="38"/>
        <v>135507579</v>
      </c>
      <c r="E47" s="98">
        <f t="shared" si="39"/>
        <v>135507579</v>
      </c>
      <c r="F47" s="21">
        <f>SUM(G47:Y47)</f>
        <v>67709207</v>
      </c>
      <c r="G47" s="341"/>
      <c r="H47" s="341">
        <v>6288993</v>
      </c>
      <c r="I47" s="341">
        <v>6099747</v>
      </c>
      <c r="J47" s="341">
        <v>3443425</v>
      </c>
      <c r="K47" s="341">
        <v>640774</v>
      </c>
      <c r="L47" s="1">
        <v>6336009</v>
      </c>
      <c r="M47" s="341">
        <v>1555159</v>
      </c>
      <c r="N47" s="341">
        <v>794723</v>
      </c>
      <c r="O47" s="341">
        <v>5585989</v>
      </c>
      <c r="P47" s="341">
        <v>10836706</v>
      </c>
      <c r="Q47" s="1">
        <v>1522717</v>
      </c>
      <c r="R47" s="1">
        <v>6002916</v>
      </c>
      <c r="S47" s="1">
        <v>3410220</v>
      </c>
      <c r="T47" s="1">
        <v>3930851</v>
      </c>
      <c r="U47" s="1">
        <v>956982</v>
      </c>
      <c r="V47" s="1">
        <v>4559321</v>
      </c>
      <c r="W47" s="1">
        <v>2123327</v>
      </c>
      <c r="X47" s="1">
        <v>2417904</v>
      </c>
      <c r="Y47" s="1">
        <v>1203444</v>
      </c>
      <c r="Z47" s="10">
        <f>SUM(AA47:AE47)</f>
        <v>27057036</v>
      </c>
      <c r="AA47" s="8">
        <v>2861004</v>
      </c>
      <c r="AB47" s="8">
        <v>3980841</v>
      </c>
      <c r="AC47" s="8">
        <v>7471870</v>
      </c>
      <c r="AD47" s="8">
        <v>8099795</v>
      </c>
      <c r="AE47" s="8">
        <v>4643526</v>
      </c>
      <c r="AF47" s="2">
        <f>SUM(AG47:AJ47)</f>
        <v>19944827</v>
      </c>
      <c r="AG47" s="339">
        <v>1704273</v>
      </c>
      <c r="AH47" s="13">
        <v>9077476</v>
      </c>
      <c r="AI47" s="35">
        <v>3753535</v>
      </c>
      <c r="AJ47" s="35">
        <v>5409543</v>
      </c>
      <c r="AK47" s="34">
        <f>SUM(AL47+AM47)</f>
        <v>20796509</v>
      </c>
      <c r="AL47" s="35">
        <v>6426790</v>
      </c>
      <c r="AM47" s="30">
        <f>SUM(AN47:AQ47)</f>
        <v>14369719</v>
      </c>
      <c r="AN47" s="305">
        <v>1846898</v>
      </c>
      <c r="AO47" s="35">
        <v>2431474</v>
      </c>
      <c r="AP47" s="35">
        <v>5487885</v>
      </c>
      <c r="AQ47" s="35">
        <v>4603462</v>
      </c>
    </row>
    <row r="48" spans="1:44" ht="15.75" customHeight="1" x14ac:dyDescent="0.3">
      <c r="A48" s="38" t="s">
        <v>84</v>
      </c>
      <c r="B48" s="1903" t="s">
        <v>85</v>
      </c>
      <c r="C48" s="1904"/>
      <c r="D48" s="20">
        <f t="shared" si="38"/>
        <v>13550764</v>
      </c>
      <c r="E48" s="98">
        <f t="shared" si="39"/>
        <v>13550764</v>
      </c>
      <c r="F48" s="21">
        <f>SUM(G48:Y48)</f>
        <v>6770924</v>
      </c>
      <c r="G48" s="341"/>
      <c r="H48" s="341">
        <v>628899</v>
      </c>
      <c r="I48" s="341">
        <v>609975</v>
      </c>
      <c r="J48" s="341">
        <v>344343</v>
      </c>
      <c r="K48" s="341">
        <v>64078</v>
      </c>
      <c r="L48" s="1">
        <v>633601</v>
      </c>
      <c r="M48" s="341">
        <v>155516</v>
      </c>
      <c r="N48" s="341">
        <v>79472</v>
      </c>
      <c r="O48" s="341">
        <v>558599</v>
      </c>
      <c r="P48" s="341">
        <v>1083671</v>
      </c>
      <c r="Q48" s="1">
        <v>152272</v>
      </c>
      <c r="R48" s="1">
        <v>600292</v>
      </c>
      <c r="S48" s="1">
        <v>341022</v>
      </c>
      <c r="T48" s="1">
        <v>393085</v>
      </c>
      <c r="U48" s="1">
        <v>95698</v>
      </c>
      <c r="V48" s="1">
        <v>455932</v>
      </c>
      <c r="W48" s="1">
        <v>212333</v>
      </c>
      <c r="X48" s="1">
        <v>241791</v>
      </c>
      <c r="Y48" s="1">
        <v>120345</v>
      </c>
      <c r="Z48" s="10">
        <f>SUM(AA48:AE48)</f>
        <v>2705705</v>
      </c>
      <c r="AA48" s="8">
        <v>286101</v>
      </c>
      <c r="AB48" s="8">
        <v>398084</v>
      </c>
      <c r="AC48" s="8">
        <v>747187</v>
      </c>
      <c r="AD48" s="8">
        <v>809980</v>
      </c>
      <c r="AE48" s="8">
        <v>464353</v>
      </c>
      <c r="AF48" s="2">
        <f>SUM(AG48:AJ48)</f>
        <v>1994484</v>
      </c>
      <c r="AG48" s="339">
        <v>170427</v>
      </c>
      <c r="AH48" s="13">
        <v>907748</v>
      </c>
      <c r="AI48" s="35">
        <v>375354</v>
      </c>
      <c r="AJ48" s="35">
        <v>540955</v>
      </c>
      <c r="AK48" s="34">
        <f>SUM(AL48+AM48)</f>
        <v>2079651</v>
      </c>
      <c r="AL48" s="35">
        <v>642679</v>
      </c>
      <c r="AM48" s="30">
        <f>SUM(AN48:AQ48)</f>
        <v>1436972</v>
      </c>
      <c r="AN48" s="305">
        <v>184690</v>
      </c>
      <c r="AO48" s="35">
        <v>243147</v>
      </c>
      <c r="AP48" s="35">
        <v>548789</v>
      </c>
      <c r="AQ48" s="35">
        <v>460346</v>
      </c>
      <c r="AR48" s="208"/>
    </row>
    <row r="49" spans="1:43" ht="15.75" customHeight="1" x14ac:dyDescent="0.3">
      <c r="A49" s="38"/>
      <c r="B49" s="381"/>
      <c r="C49" s="99"/>
      <c r="D49" s="20"/>
      <c r="E49" s="98"/>
      <c r="F49" s="21"/>
      <c r="G49" s="341"/>
      <c r="H49" s="341"/>
      <c r="I49" s="341"/>
      <c r="J49" s="341"/>
      <c r="K49" s="341"/>
      <c r="L49" s="1"/>
      <c r="M49" s="341"/>
      <c r="N49" s="341"/>
      <c r="O49" s="341"/>
      <c r="P49" s="341"/>
      <c r="Q49" s="1"/>
      <c r="R49" s="1"/>
      <c r="S49" s="1"/>
      <c r="T49" s="1"/>
      <c r="U49" s="1"/>
      <c r="V49" s="1"/>
      <c r="W49" s="1"/>
      <c r="X49" s="1"/>
      <c r="Y49" s="1"/>
      <c r="Z49" s="10"/>
      <c r="AA49" s="8"/>
      <c r="AB49" s="8"/>
      <c r="AC49" s="8"/>
      <c r="AD49" s="8"/>
      <c r="AE49" s="8"/>
      <c r="AF49" s="2">
        <f>SUM(AG49:AI49)</f>
        <v>0</v>
      </c>
      <c r="AG49" s="339"/>
      <c r="AH49" s="13"/>
      <c r="AI49" s="35"/>
      <c r="AJ49" s="35"/>
      <c r="AK49" s="34"/>
      <c r="AL49" s="35"/>
      <c r="AM49" s="34"/>
      <c r="AN49" s="305"/>
      <c r="AO49" s="35"/>
      <c r="AP49" s="35"/>
      <c r="AQ49" s="35"/>
    </row>
    <row r="50" spans="1:43" ht="17.25" customHeight="1" x14ac:dyDescent="0.3">
      <c r="A50" s="39" t="s">
        <v>86</v>
      </c>
      <c r="B50" s="1912" t="s">
        <v>87</v>
      </c>
      <c r="C50" s="1918"/>
      <c r="D50" s="21">
        <f>SUM(D51:D54)</f>
        <v>368038693</v>
      </c>
      <c r="E50" s="71">
        <f>SUM(E51:E54)</f>
        <v>368038693</v>
      </c>
      <c r="F50" s="21">
        <f t="shared" ref="F50:Y50" si="40">SUM(F51:F54)</f>
        <v>183898214</v>
      </c>
      <c r="G50" s="21">
        <f t="shared" si="40"/>
        <v>0</v>
      </c>
      <c r="H50" s="21">
        <f t="shared" si="40"/>
        <v>17080906</v>
      </c>
      <c r="I50" s="21">
        <f t="shared" si="40"/>
        <v>16566912</v>
      </c>
      <c r="J50" s="21">
        <f t="shared" si="40"/>
        <v>9352343</v>
      </c>
      <c r="K50" s="21">
        <f t="shared" si="40"/>
        <v>1740343</v>
      </c>
      <c r="L50" s="21">
        <f t="shared" si="40"/>
        <v>17208600</v>
      </c>
      <c r="M50" s="21">
        <f t="shared" si="40"/>
        <v>4223813</v>
      </c>
      <c r="N50" s="21">
        <f t="shared" si="40"/>
        <v>2158468</v>
      </c>
      <c r="O50" s="21">
        <f t="shared" si="40"/>
        <v>15171547</v>
      </c>
      <c r="P50" s="21">
        <f t="shared" si="40"/>
        <v>29432493</v>
      </c>
      <c r="Q50" s="21">
        <f t="shared" si="40"/>
        <v>4135699</v>
      </c>
      <c r="R50" s="21">
        <f t="shared" si="40"/>
        <v>16303921</v>
      </c>
      <c r="S50" s="21">
        <f t="shared" si="40"/>
        <v>9262158</v>
      </c>
      <c r="T50" s="21">
        <f>SUM(T51:T54)</f>
        <v>10676192</v>
      </c>
      <c r="U50" s="21">
        <f t="shared" si="40"/>
        <v>2599164</v>
      </c>
      <c r="V50" s="21">
        <f>SUM(V51:V54)</f>
        <v>12383116</v>
      </c>
      <c r="W50" s="21">
        <f>SUM(W51:W54)</f>
        <v>5766956</v>
      </c>
      <c r="X50" s="21">
        <f>SUM(X51:X54)</f>
        <v>6567028</v>
      </c>
      <c r="Y50" s="21">
        <f t="shared" si="40"/>
        <v>3268555</v>
      </c>
      <c r="Z50" s="2">
        <f>SUM(Z51:Z54)</f>
        <v>73487012</v>
      </c>
      <c r="AA50" s="2">
        <f>SUM(AA51:AA55)</f>
        <v>7770586</v>
      </c>
      <c r="AB50" s="2">
        <f>SUM(AB51:AB55)</f>
        <v>10811966</v>
      </c>
      <c r="AC50" s="2">
        <f>SUM(AC51:AC55)</f>
        <v>20293599</v>
      </c>
      <c r="AD50" s="2">
        <f>SUM(AD51:AD55)</f>
        <v>21999044</v>
      </c>
      <c r="AE50" s="2">
        <f>SUM(AE51:AE55)</f>
        <v>12611817</v>
      </c>
      <c r="AF50" s="2">
        <f>SUM(AF51:AF54)</f>
        <v>54170151</v>
      </c>
      <c r="AG50" s="340">
        <f>SUM(AG51:AG55)</f>
        <v>4628805</v>
      </c>
      <c r="AH50" s="2">
        <f>SUM(AH51:AH55)</f>
        <v>24654426</v>
      </c>
      <c r="AI50" s="33">
        <f t="shared" ref="AI50:AQ50" si="41">SUM(AI51:AI54)</f>
        <v>10194600</v>
      </c>
      <c r="AJ50" s="33">
        <f t="shared" si="41"/>
        <v>14692320</v>
      </c>
      <c r="AK50" s="34">
        <f t="shared" si="41"/>
        <v>56483316</v>
      </c>
      <c r="AL50" s="33">
        <f t="shared" si="41"/>
        <v>17455161</v>
      </c>
      <c r="AM50" s="34">
        <f t="shared" si="41"/>
        <v>39028155</v>
      </c>
      <c r="AN50" s="308">
        <f>SUM(AN51:AN54)</f>
        <v>5016175</v>
      </c>
      <c r="AO50" s="33">
        <f t="shared" si="41"/>
        <v>6603882</v>
      </c>
      <c r="AP50" s="33">
        <f t="shared" si="41"/>
        <v>14905096</v>
      </c>
      <c r="AQ50" s="33">
        <f t="shared" si="41"/>
        <v>12503002</v>
      </c>
    </row>
    <row r="51" spans="1:43" ht="15.75" customHeight="1" x14ac:dyDescent="0.3">
      <c r="A51" s="46" t="s">
        <v>88</v>
      </c>
      <c r="B51" s="1903" t="s">
        <v>89</v>
      </c>
      <c r="C51" s="1904"/>
      <c r="D51" s="20">
        <f t="shared" ref="D51:D54" si="42">+F51+Z51+AF51+AK51</f>
        <v>137675701</v>
      </c>
      <c r="E51" s="98">
        <f t="shared" ref="E51:E54" si="43">SUM(G51+H51+I51+J51+K51+L51+M51+N51+O51+P51+Q51+R51+S51+T51+U51+V51+W51+X51+Y51+AA51+AB51+AC51+AD51+AE51+AG51+AH51+AI51+AJ51+AL51+AN51+AO51+AP51+AQ51)</f>
        <v>137675701</v>
      </c>
      <c r="F51" s="21">
        <f>SUM(G51:Y51)</f>
        <v>68792557</v>
      </c>
      <c r="G51" s="341"/>
      <c r="H51" s="341">
        <v>6389617</v>
      </c>
      <c r="I51" s="341">
        <v>6197343</v>
      </c>
      <c r="J51" s="341">
        <v>3498520</v>
      </c>
      <c r="K51" s="341">
        <v>651027</v>
      </c>
      <c r="L51" s="1">
        <v>6437385</v>
      </c>
      <c r="M51" s="341">
        <v>1580042</v>
      </c>
      <c r="N51" s="341">
        <v>807439</v>
      </c>
      <c r="O51" s="341">
        <v>5675365</v>
      </c>
      <c r="P51" s="341">
        <v>11010093</v>
      </c>
      <c r="Q51" s="1">
        <v>1547080</v>
      </c>
      <c r="R51" s="1">
        <v>6098963</v>
      </c>
      <c r="S51" s="1">
        <v>3464784</v>
      </c>
      <c r="T51" s="1">
        <v>3993745</v>
      </c>
      <c r="U51" s="1">
        <v>972294</v>
      </c>
      <c r="V51" s="1">
        <v>4632270</v>
      </c>
      <c r="W51" s="1">
        <v>2157300</v>
      </c>
      <c r="X51" s="1">
        <v>2456591</v>
      </c>
      <c r="Y51" s="1">
        <v>1222699</v>
      </c>
      <c r="Z51" s="10">
        <f>SUM(AA51:AE51)</f>
        <v>27489949</v>
      </c>
      <c r="AA51" s="8">
        <v>2906780</v>
      </c>
      <c r="AB51" s="8">
        <v>4044535</v>
      </c>
      <c r="AC51" s="8">
        <v>7591420</v>
      </c>
      <c r="AD51" s="8">
        <v>8229392</v>
      </c>
      <c r="AE51" s="8">
        <v>4717822</v>
      </c>
      <c r="AF51" s="2">
        <f>SUM(AG51:AJ51)</f>
        <v>20263944</v>
      </c>
      <c r="AG51" s="339">
        <v>1731541</v>
      </c>
      <c r="AH51" s="13">
        <v>9222716</v>
      </c>
      <c r="AI51" s="35">
        <v>3813591</v>
      </c>
      <c r="AJ51" s="35">
        <v>5496096</v>
      </c>
      <c r="AK51" s="34">
        <f>SUM(AL51+AM51)</f>
        <v>21129251</v>
      </c>
      <c r="AL51" s="35">
        <v>6529618</v>
      </c>
      <c r="AM51" s="30">
        <f>SUM(AN51:AQ51)</f>
        <v>14599633</v>
      </c>
      <c r="AN51" s="305">
        <v>1876448</v>
      </c>
      <c r="AO51" s="35">
        <v>2470377</v>
      </c>
      <c r="AP51" s="35">
        <v>5575691</v>
      </c>
      <c r="AQ51" s="35">
        <v>4677117</v>
      </c>
    </row>
    <row r="52" spans="1:43" ht="15.75" customHeight="1" x14ac:dyDescent="0.3">
      <c r="A52" s="46" t="s">
        <v>474</v>
      </c>
      <c r="B52" s="381" t="s">
        <v>475</v>
      </c>
      <c r="C52" s="99"/>
      <c r="D52" s="20">
        <f t="shared" si="42"/>
        <v>40652276</v>
      </c>
      <c r="E52" s="98">
        <f t="shared" si="43"/>
        <v>40652276</v>
      </c>
      <c r="F52" s="21">
        <f>SUM(G52:Y52)</f>
        <v>20312763</v>
      </c>
      <c r="G52" s="341"/>
      <c r="H52" s="341">
        <v>1886698</v>
      </c>
      <c r="I52" s="341">
        <v>1829924</v>
      </c>
      <c r="J52" s="341">
        <v>1033028</v>
      </c>
      <c r="K52" s="341">
        <v>192232</v>
      </c>
      <c r="L52" s="1">
        <v>1900803</v>
      </c>
      <c r="M52" s="341">
        <v>466548</v>
      </c>
      <c r="N52" s="341">
        <v>238417</v>
      </c>
      <c r="O52" s="341">
        <v>1675797</v>
      </c>
      <c r="P52" s="341">
        <v>3251012</v>
      </c>
      <c r="Q52" s="1">
        <v>456815</v>
      </c>
      <c r="R52" s="1">
        <v>1800875</v>
      </c>
      <c r="S52" s="1">
        <v>1023066</v>
      </c>
      <c r="T52" s="1">
        <v>1179255</v>
      </c>
      <c r="U52" s="1">
        <v>287095</v>
      </c>
      <c r="V52" s="1">
        <v>1367796</v>
      </c>
      <c r="W52" s="1">
        <v>636998</v>
      </c>
      <c r="X52" s="1">
        <v>725371</v>
      </c>
      <c r="Y52" s="1">
        <v>361033</v>
      </c>
      <c r="Z52" s="10">
        <f>SUM(AA52:AE52)</f>
        <v>8117112</v>
      </c>
      <c r="AA52" s="8">
        <v>858301</v>
      </c>
      <c r="AB52" s="8">
        <v>1194253</v>
      </c>
      <c r="AC52" s="8">
        <v>2241561</v>
      </c>
      <c r="AD52" s="8">
        <v>2429939</v>
      </c>
      <c r="AE52" s="8">
        <v>1393058</v>
      </c>
      <c r="AF52" s="2">
        <f>SUM(AG52:AJ52)</f>
        <v>5983448</v>
      </c>
      <c r="AG52" s="339">
        <v>511282</v>
      </c>
      <c r="AH52" s="13">
        <v>2723243</v>
      </c>
      <c r="AI52" s="35">
        <v>1126060</v>
      </c>
      <c r="AJ52" s="35">
        <v>1622863</v>
      </c>
      <c r="AK52" s="34">
        <f>SUM(AL52+AM52)</f>
        <v>6238953</v>
      </c>
      <c r="AL52" s="35">
        <v>1928037</v>
      </c>
      <c r="AM52" s="30">
        <f>SUM(AN52:AQ52)</f>
        <v>4310916</v>
      </c>
      <c r="AN52" s="305">
        <v>554069</v>
      </c>
      <c r="AO52" s="35">
        <v>729442</v>
      </c>
      <c r="AP52" s="35">
        <v>1646366</v>
      </c>
      <c r="AQ52" s="35">
        <v>1381039</v>
      </c>
    </row>
    <row r="53" spans="1:43" ht="15.75" customHeight="1" x14ac:dyDescent="0.3">
      <c r="A53" s="46" t="s">
        <v>90</v>
      </c>
      <c r="B53" s="1903" t="s">
        <v>91</v>
      </c>
      <c r="C53" s="1904"/>
      <c r="D53" s="20">
        <f t="shared" si="42"/>
        <v>81304551</v>
      </c>
      <c r="E53" s="98">
        <f t="shared" si="43"/>
        <v>81304551</v>
      </c>
      <c r="F53" s="21">
        <f>SUM(G53:Y53)</f>
        <v>40625527</v>
      </c>
      <c r="G53" s="341"/>
      <c r="H53" s="341">
        <v>3773396</v>
      </c>
      <c r="I53" s="341">
        <v>3659848</v>
      </c>
      <c r="J53" s="341">
        <v>2066055</v>
      </c>
      <c r="K53" s="341">
        <v>384465</v>
      </c>
      <c r="L53" s="1">
        <v>3801605</v>
      </c>
      <c r="M53" s="341">
        <v>933096</v>
      </c>
      <c r="N53" s="341">
        <v>476834</v>
      </c>
      <c r="O53" s="341">
        <v>3351594</v>
      </c>
      <c r="P53" s="341">
        <v>6502023</v>
      </c>
      <c r="Q53" s="1">
        <v>913630</v>
      </c>
      <c r="R53" s="1">
        <v>3601750</v>
      </c>
      <c r="S53" s="1">
        <v>2046132</v>
      </c>
      <c r="T53" s="1">
        <v>2358511</v>
      </c>
      <c r="U53" s="1">
        <v>574189</v>
      </c>
      <c r="V53" s="1">
        <v>2735593</v>
      </c>
      <c r="W53" s="1">
        <v>1273996</v>
      </c>
      <c r="X53" s="1">
        <v>1450743</v>
      </c>
      <c r="Y53" s="1">
        <v>722067</v>
      </c>
      <c r="Z53" s="10">
        <f>SUM(AA53:AE53)</f>
        <v>16234222</v>
      </c>
      <c r="AA53" s="8">
        <v>1716602</v>
      </c>
      <c r="AB53" s="8">
        <v>2388505</v>
      </c>
      <c r="AC53" s="8">
        <v>4483122</v>
      </c>
      <c r="AD53" s="8">
        <v>4859877</v>
      </c>
      <c r="AE53" s="8">
        <v>2786116</v>
      </c>
      <c r="AF53" s="2">
        <f>SUM(AG53:AJ53)</f>
        <v>11966897</v>
      </c>
      <c r="AG53" s="348">
        <v>1022564</v>
      </c>
      <c r="AH53" s="323">
        <v>5446486</v>
      </c>
      <c r="AI53" s="35">
        <v>2252121</v>
      </c>
      <c r="AJ53" s="35">
        <v>3245726</v>
      </c>
      <c r="AK53" s="34">
        <f>SUM(AL53+AM53)</f>
        <v>12477905</v>
      </c>
      <c r="AL53" s="35">
        <v>3856074</v>
      </c>
      <c r="AM53" s="30">
        <f>SUM(AN53:AQ53)</f>
        <v>8621831</v>
      </c>
      <c r="AN53" s="305">
        <v>1108139</v>
      </c>
      <c r="AO53" s="35">
        <v>1458884</v>
      </c>
      <c r="AP53" s="35">
        <v>3292731</v>
      </c>
      <c r="AQ53" s="35">
        <v>2762077</v>
      </c>
    </row>
    <row r="54" spans="1:43" s="194" customFormat="1" ht="15.75" customHeight="1" x14ac:dyDescent="0.3">
      <c r="A54" s="46" t="s">
        <v>92</v>
      </c>
      <c r="B54" s="1903" t="s">
        <v>93</v>
      </c>
      <c r="C54" s="1904"/>
      <c r="D54" s="20">
        <f t="shared" si="42"/>
        <v>108406165</v>
      </c>
      <c r="E54" s="98">
        <f t="shared" si="43"/>
        <v>108406165</v>
      </c>
      <c r="F54" s="21">
        <f>SUM(G54:Y54)</f>
        <v>54167367</v>
      </c>
      <c r="G54" s="341"/>
      <c r="H54" s="341">
        <v>5031195</v>
      </c>
      <c r="I54" s="341">
        <v>4879797</v>
      </c>
      <c r="J54" s="341">
        <v>2754740</v>
      </c>
      <c r="K54" s="341">
        <v>512619</v>
      </c>
      <c r="L54" s="1">
        <v>5068807</v>
      </c>
      <c r="M54" s="341">
        <v>1244127</v>
      </c>
      <c r="N54" s="341">
        <v>635778</v>
      </c>
      <c r="O54" s="341">
        <v>4468791</v>
      </c>
      <c r="P54" s="341">
        <v>8669365</v>
      </c>
      <c r="Q54" s="1">
        <v>1218174</v>
      </c>
      <c r="R54" s="1">
        <v>4802333</v>
      </c>
      <c r="S54" s="1">
        <v>2728176</v>
      </c>
      <c r="T54" s="1">
        <v>3144681</v>
      </c>
      <c r="U54" s="1">
        <v>765586</v>
      </c>
      <c r="V54" s="1">
        <v>3647457</v>
      </c>
      <c r="W54" s="1">
        <v>1698662</v>
      </c>
      <c r="X54" s="1">
        <v>1934323</v>
      </c>
      <c r="Y54" s="1">
        <v>962756</v>
      </c>
      <c r="Z54" s="10">
        <f>SUM(AA54:AE54)</f>
        <v>21645729</v>
      </c>
      <c r="AA54" s="8">
        <v>2288903</v>
      </c>
      <c r="AB54" s="8">
        <v>3184673</v>
      </c>
      <c r="AC54" s="8">
        <v>5977496</v>
      </c>
      <c r="AD54" s="8">
        <v>6479836</v>
      </c>
      <c r="AE54" s="8">
        <v>3714821</v>
      </c>
      <c r="AF54" s="2">
        <f>SUM(AG54:AJ54)</f>
        <v>15955862</v>
      </c>
      <c r="AG54" s="339">
        <v>1363418</v>
      </c>
      <c r="AH54" s="13">
        <v>7261981</v>
      </c>
      <c r="AI54" s="35">
        <v>3002828</v>
      </c>
      <c r="AJ54" s="35">
        <v>4327635</v>
      </c>
      <c r="AK54" s="34">
        <f>SUM(AL54+AM54)</f>
        <v>16637207</v>
      </c>
      <c r="AL54" s="35">
        <v>5141432</v>
      </c>
      <c r="AM54" s="30">
        <f>SUM(AN54:AQ54)</f>
        <v>11495775</v>
      </c>
      <c r="AN54" s="305">
        <v>1477519</v>
      </c>
      <c r="AO54" s="35">
        <v>1945179</v>
      </c>
      <c r="AP54" s="35">
        <v>4390308</v>
      </c>
      <c r="AQ54" s="35">
        <v>3682769</v>
      </c>
    </row>
    <row r="55" spans="1:43" ht="15.75" customHeight="1" x14ac:dyDescent="0.3">
      <c r="A55" s="46"/>
      <c r="B55" s="381"/>
      <c r="C55" s="99"/>
      <c r="D55" s="20"/>
      <c r="E55" s="98"/>
      <c r="F55" s="21"/>
      <c r="G55" s="341"/>
      <c r="H55" s="341"/>
      <c r="I55" s="341"/>
      <c r="J55" s="341"/>
      <c r="K55" s="341"/>
      <c r="L55" s="1"/>
      <c r="M55" s="341"/>
      <c r="N55" s="341"/>
      <c r="O55" s="341"/>
      <c r="P55" s="341"/>
      <c r="Q55" s="1"/>
      <c r="R55" s="1"/>
      <c r="S55" s="1"/>
      <c r="T55" s="1"/>
      <c r="U55" s="1"/>
      <c r="V55" s="1"/>
      <c r="W55" s="1"/>
      <c r="X55" s="1"/>
      <c r="Y55" s="1"/>
      <c r="Z55" s="10"/>
      <c r="AA55" s="8"/>
      <c r="AB55" s="8"/>
      <c r="AC55" s="8"/>
      <c r="AD55" s="8"/>
      <c r="AE55" s="8"/>
      <c r="AF55" s="2">
        <f>SUM(AG55:AI55)</f>
        <v>0</v>
      </c>
      <c r="AG55" s="339"/>
      <c r="AH55" s="13"/>
      <c r="AI55" s="35"/>
      <c r="AJ55" s="35"/>
      <c r="AK55" s="34"/>
      <c r="AL55" s="35"/>
      <c r="AM55" s="34"/>
      <c r="AN55" s="305"/>
      <c r="AO55" s="35"/>
      <c r="AP55" s="35"/>
      <c r="AQ55" s="35"/>
    </row>
    <row r="56" spans="1:43" hidden="1" x14ac:dyDescent="0.3">
      <c r="A56" s="41" t="s">
        <v>371</v>
      </c>
      <c r="B56" s="380" t="s">
        <v>94</v>
      </c>
      <c r="C56" s="99"/>
      <c r="D56" s="21">
        <f>SUM(D57)</f>
        <v>0</v>
      </c>
      <c r="E56" s="71">
        <f t="shared" ref="E56:E57" si="44">SUM(F56+Z56+AF56+AK56)</f>
        <v>0</v>
      </c>
      <c r="F56" s="21">
        <f>+F57</f>
        <v>0</v>
      </c>
      <c r="G56" s="341"/>
      <c r="H56" s="341"/>
      <c r="I56" s="341"/>
      <c r="J56" s="341"/>
      <c r="K56" s="341"/>
      <c r="L56" s="26"/>
      <c r="M56" s="341"/>
      <c r="N56" s="341"/>
      <c r="O56" s="341"/>
      <c r="P56" s="341"/>
      <c r="Q56" s="26">
        <f t="shared" ref="Q56:Y56" si="45">+Q57</f>
        <v>0</v>
      </c>
      <c r="R56" s="26">
        <f t="shared" si="45"/>
        <v>0</v>
      </c>
      <c r="S56" s="26">
        <f t="shared" si="45"/>
        <v>0</v>
      </c>
      <c r="T56" s="26">
        <f t="shared" si="45"/>
        <v>0</v>
      </c>
      <c r="U56" s="26">
        <f t="shared" si="45"/>
        <v>0</v>
      </c>
      <c r="V56" s="26">
        <f t="shared" si="45"/>
        <v>0</v>
      </c>
      <c r="W56" s="26">
        <f t="shared" si="45"/>
        <v>0</v>
      </c>
      <c r="X56" s="26">
        <f t="shared" si="45"/>
        <v>0</v>
      </c>
      <c r="Y56" s="26">
        <f t="shared" si="45"/>
        <v>0</v>
      </c>
      <c r="Z56" s="10"/>
      <c r="AA56" s="8"/>
      <c r="AB56" s="8"/>
      <c r="AC56" s="8"/>
      <c r="AD56" s="8"/>
      <c r="AE56" s="8"/>
      <c r="AF56" s="2">
        <f>SUM(AG56:AI56)</f>
        <v>0</v>
      </c>
      <c r="AG56" s="339"/>
      <c r="AH56" s="13"/>
      <c r="AI56" s="14"/>
      <c r="AJ56" s="14"/>
      <c r="AK56" s="124"/>
      <c r="AL56" s="13">
        <f t="shared" ref="AL56:AQ56" si="46">+AL57</f>
        <v>0</v>
      </c>
      <c r="AM56" s="115">
        <f t="shared" si="46"/>
        <v>0</v>
      </c>
      <c r="AN56" s="309">
        <f t="shared" si="46"/>
        <v>0</v>
      </c>
      <c r="AO56" s="13">
        <f t="shared" si="46"/>
        <v>0</v>
      </c>
      <c r="AP56" s="13">
        <f t="shared" si="46"/>
        <v>0</v>
      </c>
      <c r="AQ56" s="13">
        <f t="shared" si="46"/>
        <v>0</v>
      </c>
    </row>
    <row r="57" spans="1:43" hidden="1" x14ac:dyDescent="0.3">
      <c r="A57" s="42" t="s">
        <v>95</v>
      </c>
      <c r="B57" s="209" t="s">
        <v>96</v>
      </c>
      <c r="C57" s="99"/>
      <c r="D57" s="20">
        <f>+F57+Z57+AF57+AK57</f>
        <v>0</v>
      </c>
      <c r="E57" s="98">
        <f t="shared" si="44"/>
        <v>0</v>
      </c>
      <c r="F57" s="21">
        <f>SUM(G57:Y57)</f>
        <v>0</v>
      </c>
      <c r="G57" s="341"/>
      <c r="H57" s="341"/>
      <c r="I57" s="341"/>
      <c r="J57" s="341"/>
      <c r="K57" s="341"/>
      <c r="L57" s="1"/>
      <c r="M57" s="341"/>
      <c r="N57" s="341"/>
      <c r="O57" s="341"/>
      <c r="P57" s="341"/>
      <c r="Q57" s="1"/>
      <c r="R57" s="1"/>
      <c r="S57" s="1"/>
      <c r="T57" s="1"/>
      <c r="U57" s="1"/>
      <c r="V57" s="1"/>
      <c r="W57" s="1"/>
      <c r="X57" s="1"/>
      <c r="Y57" s="1">
        <v>0</v>
      </c>
      <c r="Z57" s="10">
        <f>SUM(AA57:AE57)</f>
        <v>0</v>
      </c>
      <c r="AA57" s="5"/>
      <c r="AB57" s="5"/>
      <c r="AC57" s="5"/>
      <c r="AD57" s="5"/>
      <c r="AE57" s="5"/>
      <c r="AF57" s="2">
        <f>SUM(AG57:AJ57)</f>
        <v>0</v>
      </c>
      <c r="AG57" s="340">
        <v>0</v>
      </c>
      <c r="AH57" s="2">
        <v>0</v>
      </c>
      <c r="AI57" s="24"/>
      <c r="AJ57" s="24"/>
      <c r="AK57" s="124"/>
      <c r="AL57" s="24"/>
      <c r="AM57" s="116"/>
      <c r="AN57" s="310"/>
      <c r="AO57" s="311"/>
      <c r="AP57" s="311"/>
      <c r="AQ57" s="311"/>
    </row>
    <row r="58" spans="1:43" ht="15.75" hidden="1" customHeight="1" x14ac:dyDescent="0.6">
      <c r="A58" s="42"/>
      <c r="B58" s="209"/>
      <c r="C58" s="99"/>
      <c r="D58" s="20"/>
      <c r="E58" s="98"/>
      <c r="F58" s="21"/>
      <c r="G58" s="341"/>
      <c r="H58" s="341"/>
      <c r="I58" s="341"/>
      <c r="J58" s="341"/>
      <c r="K58" s="341"/>
      <c r="L58" s="1"/>
      <c r="M58" s="341"/>
      <c r="N58" s="341"/>
      <c r="O58" s="341"/>
      <c r="P58" s="341"/>
      <c r="Q58" s="1"/>
      <c r="R58" s="1"/>
      <c r="S58" s="1"/>
      <c r="T58" s="1"/>
      <c r="U58" s="1"/>
      <c r="V58" s="1"/>
      <c r="W58" s="1"/>
      <c r="X58" s="1"/>
      <c r="Y58" s="1"/>
      <c r="Z58" s="175"/>
      <c r="AA58" s="5"/>
      <c r="AB58" s="5"/>
      <c r="AC58" s="5"/>
      <c r="AD58" s="5"/>
      <c r="AE58" s="5"/>
      <c r="AF58" s="349"/>
      <c r="AG58" s="340"/>
      <c r="AH58" s="2"/>
      <c r="AI58" s="24"/>
      <c r="AJ58" s="24"/>
      <c r="AK58" s="124"/>
      <c r="AL58" s="24"/>
      <c r="AM58" s="116"/>
      <c r="AN58" s="312"/>
      <c r="AO58" s="313"/>
      <c r="AP58" s="313"/>
      <c r="AQ58" s="313"/>
    </row>
    <row r="59" spans="1:43" ht="15.75" hidden="1" customHeight="1" x14ac:dyDescent="0.6">
      <c r="A59" s="42"/>
      <c r="B59" s="209"/>
      <c r="C59" s="99"/>
      <c r="D59" s="20"/>
      <c r="E59" s="98"/>
      <c r="F59" s="21"/>
      <c r="G59" s="341"/>
      <c r="H59" s="341"/>
      <c r="I59" s="341"/>
      <c r="J59" s="341"/>
      <c r="K59" s="341"/>
      <c r="L59" s="1"/>
      <c r="M59" s="341"/>
      <c r="N59" s="341"/>
      <c r="O59" s="341"/>
      <c r="P59" s="341"/>
      <c r="Q59" s="1"/>
      <c r="R59" s="1"/>
      <c r="S59" s="1"/>
      <c r="T59" s="1"/>
      <c r="U59" s="1"/>
      <c r="V59" s="1"/>
      <c r="W59" s="1"/>
      <c r="X59" s="1"/>
      <c r="Y59" s="1"/>
      <c r="Z59" s="175"/>
      <c r="AA59" s="5"/>
      <c r="AB59" s="5"/>
      <c r="AC59" s="5"/>
      <c r="AD59" s="5"/>
      <c r="AE59" s="5"/>
      <c r="AF59" s="349"/>
      <c r="AG59" s="340"/>
      <c r="AH59" s="2"/>
      <c r="AI59" s="24"/>
      <c r="AJ59" s="24"/>
      <c r="AK59" s="124"/>
      <c r="AL59" s="24"/>
      <c r="AM59" s="116"/>
      <c r="AN59" s="314"/>
      <c r="AO59" s="24"/>
      <c r="AP59" s="24"/>
      <c r="AQ59" s="24"/>
    </row>
    <row r="60" spans="1:43" ht="15.75" hidden="1" customHeight="1" x14ac:dyDescent="0.3">
      <c r="A60" s="36"/>
      <c r="B60" s="381"/>
      <c r="C60" s="99"/>
      <c r="D60" s="20"/>
      <c r="E60" s="98"/>
      <c r="F60" s="21"/>
      <c r="G60" s="341"/>
      <c r="H60" s="341"/>
      <c r="I60" s="341"/>
      <c r="J60" s="341"/>
      <c r="K60" s="341"/>
      <c r="L60" s="1"/>
      <c r="M60" s="341"/>
      <c r="N60" s="341"/>
      <c r="O60" s="341"/>
      <c r="P60" s="341"/>
      <c r="Q60" s="1"/>
      <c r="R60" s="1"/>
      <c r="S60" s="1"/>
      <c r="T60" s="1"/>
      <c r="U60" s="1"/>
      <c r="V60" s="1"/>
      <c r="W60" s="1"/>
      <c r="X60" s="1"/>
      <c r="Y60" s="1"/>
      <c r="Z60" s="175"/>
      <c r="AA60" s="5"/>
      <c r="AB60" s="5"/>
      <c r="AC60" s="5"/>
      <c r="AD60" s="5"/>
      <c r="AE60" s="5"/>
      <c r="AF60" s="2">
        <f>SUM(AG60:AI60)</f>
        <v>0</v>
      </c>
      <c r="AG60" s="343"/>
      <c r="AH60" s="14"/>
      <c r="AI60" s="14"/>
      <c r="AJ60" s="14"/>
      <c r="AK60" s="124"/>
      <c r="AL60" s="13"/>
      <c r="AM60" s="115"/>
      <c r="AN60" s="309"/>
      <c r="AO60" s="13"/>
      <c r="AP60" s="13"/>
      <c r="AQ60" s="13"/>
    </row>
    <row r="61" spans="1:43" ht="21.75" customHeight="1" x14ac:dyDescent="0.3">
      <c r="A61" s="31">
        <v>1</v>
      </c>
      <c r="B61" s="1909" t="s">
        <v>97</v>
      </c>
      <c r="C61" s="1904"/>
      <c r="D61" s="21">
        <f>D63+D70+D77+D85+D94+D100+D105+D113+D124+D128</f>
        <v>5713287113</v>
      </c>
      <c r="E61" s="71">
        <f>SUM(E63+E70+E77+E85+E94+E100+E105+E113+E124+E128)</f>
        <v>5713287113</v>
      </c>
      <c r="F61" s="21">
        <f t="shared" ref="F61:Z61" si="47">F63+F70+F77+F85+F94+F100+F105+F113+F124+F128</f>
        <v>976992000</v>
      </c>
      <c r="G61" s="21">
        <f t="shared" si="47"/>
        <v>290000</v>
      </c>
      <c r="H61" s="21">
        <f t="shared" si="47"/>
        <v>11096000</v>
      </c>
      <c r="I61" s="21">
        <f t="shared" si="47"/>
        <v>24200000</v>
      </c>
      <c r="J61" s="21">
        <f t="shared" si="47"/>
        <v>32300000</v>
      </c>
      <c r="K61" s="21">
        <f t="shared" si="47"/>
        <v>8550000</v>
      </c>
      <c r="L61" s="21">
        <f t="shared" si="47"/>
        <v>99000000</v>
      </c>
      <c r="M61" s="21">
        <f t="shared" si="47"/>
        <v>2100000</v>
      </c>
      <c r="N61" s="21">
        <f t="shared" si="47"/>
        <v>200000</v>
      </c>
      <c r="O61" s="21">
        <f t="shared" si="47"/>
        <v>35070000</v>
      </c>
      <c r="P61" s="21">
        <f t="shared" si="47"/>
        <v>816000</v>
      </c>
      <c r="Q61" s="21">
        <f t="shared" si="47"/>
        <v>10050000</v>
      </c>
      <c r="R61" s="21">
        <f>SUM(R63+R70+R77+R85+R94+R100+R105+R113+R124+R128)</f>
        <v>495440000</v>
      </c>
      <c r="S61" s="21">
        <f t="shared" si="47"/>
        <v>11300000</v>
      </c>
      <c r="T61" s="21">
        <f>T63+T70+T77+T85+T94+T100+T105+T113+T124+T128</f>
        <v>16400000</v>
      </c>
      <c r="U61" s="21">
        <f t="shared" si="47"/>
        <v>0</v>
      </c>
      <c r="V61" s="21">
        <f>V63+V70+V77+V85+V94+V100+V105+V113+V124+V128</f>
        <v>15000000</v>
      </c>
      <c r="W61" s="21">
        <f>W63+W70+W77+W85+W94+W100+W105+W113+W124+W128</f>
        <v>188580000</v>
      </c>
      <c r="X61" s="21">
        <f>X63+X70+X77+X85+X94+X100+X105+X113+X124+X128</f>
        <v>21600000</v>
      </c>
      <c r="Y61" s="21">
        <f t="shared" si="47"/>
        <v>5000000</v>
      </c>
      <c r="Z61" s="21">
        <f t="shared" si="47"/>
        <v>532485742</v>
      </c>
      <c r="AA61" s="21">
        <f>AA63+AA70+AA77+AA85+AA94+AA100+AA105+AA113+AA124+AA128</f>
        <v>117790000</v>
      </c>
      <c r="AB61" s="21">
        <f>AB63+AB70+AB77+AB85+AB94+AB100+AB105+AB113+AB124+AB128</f>
        <v>112200000</v>
      </c>
      <c r="AC61" s="21">
        <f>AC63+AC70+AC77+AC85+AC94+AC100+AC105+AC113+AC124+AC128</f>
        <v>1800000</v>
      </c>
      <c r="AD61" s="21">
        <f>AD63+AD70+AD77+AD85+AD94+AD100+AD105+AD113+AD124+AD128</f>
        <v>286895742</v>
      </c>
      <c r="AE61" s="21">
        <f>AE63+AE70+AE77+AE85+AE94+AE100+AE105+AE113+AE124+AE128</f>
        <v>13800000</v>
      </c>
      <c r="AF61" s="2">
        <f>SUM(AF63+AF70+AF77+AF85+AF94+AF100+AF105+AF113+AF124+AF128)</f>
        <v>570565700</v>
      </c>
      <c r="AG61" s="340">
        <f>+AG63+AG70+AG77+AG85+AG94+AG100+AG105+AG113+AG124+AG128</f>
        <v>515000</v>
      </c>
      <c r="AH61" s="2">
        <f>+AH63+AH70+AH77+AH85+AH94+AH100+AH105+AH113+AH124+AH128</f>
        <v>380074700</v>
      </c>
      <c r="AI61" s="2">
        <f>+AI63+AI70+AI77+AI85+AI94+AI100+AI105+AI113+AI124+AI128</f>
        <v>26000</v>
      </c>
      <c r="AJ61" s="2">
        <f>+AJ63+AJ70+AJ77+AJ85+AJ94+AJ100+AJ105+AJ113+AJ124+AJ128</f>
        <v>189950000</v>
      </c>
      <c r="AK61" s="34">
        <f>AK63+AK70+AK77+AK85+AK94+AK100+AK105+AK113+AK124+AK128</f>
        <v>3633243671</v>
      </c>
      <c r="AL61" s="2">
        <f t="shared" ref="AL61:AQ61" si="48">+AL63+AL70+AL77+AL85+AL94+AL100+AL105+AL113+AL124+AL128</f>
        <v>3240348671</v>
      </c>
      <c r="AM61" s="29">
        <f t="shared" si="48"/>
        <v>392895000</v>
      </c>
      <c r="AN61" s="315">
        <f t="shared" si="48"/>
        <v>2050000</v>
      </c>
      <c r="AO61" s="2">
        <f t="shared" si="48"/>
        <v>161100000</v>
      </c>
      <c r="AP61" s="2">
        <f t="shared" si="48"/>
        <v>3950000</v>
      </c>
      <c r="AQ61" s="2">
        <f t="shared" si="48"/>
        <v>225795000</v>
      </c>
    </row>
    <row r="62" spans="1:43" ht="15.75" customHeight="1" x14ac:dyDescent="0.3">
      <c r="A62" s="31"/>
      <c r="B62" s="43"/>
      <c r="C62" s="99"/>
      <c r="D62" s="20"/>
      <c r="E62" s="98"/>
      <c r="F62" s="21"/>
      <c r="G62" s="19"/>
      <c r="H62" s="19"/>
      <c r="I62" s="19"/>
      <c r="J62" s="19"/>
      <c r="K62" s="19"/>
      <c r="L62" s="350"/>
      <c r="M62" s="19"/>
      <c r="N62" s="19"/>
      <c r="O62" s="19"/>
      <c r="P62" s="19"/>
      <c r="Q62" s="21"/>
      <c r="R62" s="26"/>
      <c r="S62" s="26"/>
      <c r="T62" s="26"/>
      <c r="U62" s="26"/>
      <c r="V62" s="26"/>
      <c r="W62" s="26"/>
      <c r="X62" s="26"/>
      <c r="Y62" s="26"/>
      <c r="Z62" s="10"/>
      <c r="AA62" s="10"/>
      <c r="AB62" s="10"/>
      <c r="AC62" s="10"/>
      <c r="AD62" s="10"/>
      <c r="AE62" s="10"/>
      <c r="AF62" s="2">
        <f>SUM(AG62:AI62)</f>
        <v>0</v>
      </c>
      <c r="AG62" s="344"/>
      <c r="AH62" s="8"/>
      <c r="AI62" s="8"/>
      <c r="AJ62" s="8"/>
      <c r="AK62" s="34"/>
      <c r="AL62" s="8"/>
      <c r="AM62" s="117"/>
      <c r="AN62" s="316"/>
      <c r="AO62" s="8"/>
      <c r="AP62" s="8"/>
      <c r="AQ62" s="8"/>
    </row>
    <row r="63" spans="1:43" ht="15.75" customHeight="1" x14ac:dyDescent="0.3">
      <c r="A63" s="44" t="s">
        <v>98</v>
      </c>
      <c r="B63" s="1912" t="s">
        <v>99</v>
      </c>
      <c r="C63" s="1919"/>
      <c r="D63" s="21">
        <f>SUM(D64:D68)</f>
        <v>18450000</v>
      </c>
      <c r="E63" s="71">
        <f>SUM(E64:E68)</f>
        <v>18450000</v>
      </c>
      <c r="F63" s="21">
        <f t="shared" ref="F63:Y63" si="49">SUM(F64:F68)</f>
        <v>13150000</v>
      </c>
      <c r="G63" s="21">
        <f t="shared" si="49"/>
        <v>0</v>
      </c>
      <c r="H63" s="21">
        <f t="shared" si="49"/>
        <v>0</v>
      </c>
      <c r="I63" s="21">
        <f t="shared" si="49"/>
        <v>1600000</v>
      </c>
      <c r="J63" s="21">
        <f t="shared" si="49"/>
        <v>0</v>
      </c>
      <c r="K63" s="21">
        <f t="shared" si="49"/>
        <v>0</v>
      </c>
      <c r="L63" s="351">
        <f t="shared" si="49"/>
        <v>0</v>
      </c>
      <c r="M63" s="21">
        <f t="shared" si="49"/>
        <v>0</v>
      </c>
      <c r="N63" s="21">
        <f t="shared" si="49"/>
        <v>0</v>
      </c>
      <c r="O63" s="21">
        <f t="shared" si="49"/>
        <v>0</v>
      </c>
      <c r="P63" s="21">
        <f t="shared" si="49"/>
        <v>0</v>
      </c>
      <c r="Q63" s="21">
        <f t="shared" si="49"/>
        <v>0</v>
      </c>
      <c r="R63" s="21">
        <f t="shared" si="49"/>
        <v>11450000</v>
      </c>
      <c r="S63" s="21">
        <f t="shared" si="49"/>
        <v>0</v>
      </c>
      <c r="T63" s="21">
        <f>SUM(T64:T68)</f>
        <v>0</v>
      </c>
      <c r="U63" s="21">
        <f t="shared" si="49"/>
        <v>0</v>
      </c>
      <c r="V63" s="21">
        <f>SUM(V64:V68)</f>
        <v>0</v>
      </c>
      <c r="W63" s="21">
        <f>SUM(W64:W68)</f>
        <v>0</v>
      </c>
      <c r="X63" s="21">
        <f>SUM(X64:X68)</f>
        <v>100000</v>
      </c>
      <c r="Y63" s="21">
        <f t="shared" si="49"/>
        <v>0</v>
      </c>
      <c r="Z63" s="2">
        <f t="shared" ref="Z63:AE63" si="50">SUM(Z64:Z67)</f>
        <v>2000000</v>
      </c>
      <c r="AA63" s="2">
        <f t="shared" si="50"/>
        <v>0</v>
      </c>
      <c r="AB63" s="2">
        <f t="shared" si="50"/>
        <v>2000000</v>
      </c>
      <c r="AC63" s="2">
        <f t="shared" si="50"/>
        <v>0</v>
      </c>
      <c r="AD63" s="2">
        <f t="shared" si="50"/>
        <v>0</v>
      </c>
      <c r="AE63" s="2">
        <f t="shared" si="50"/>
        <v>0</v>
      </c>
      <c r="AF63" s="2">
        <f>SUM(AF64:AF68)</f>
        <v>0</v>
      </c>
      <c r="AG63" s="345">
        <f t="shared" ref="AG63:AQ63" si="51">SUM(AG64:AG68)</f>
        <v>0</v>
      </c>
      <c r="AH63" s="33">
        <f t="shared" si="51"/>
        <v>0</v>
      </c>
      <c r="AI63" s="33">
        <f t="shared" si="51"/>
        <v>0</v>
      </c>
      <c r="AJ63" s="33">
        <f t="shared" si="51"/>
        <v>0</v>
      </c>
      <c r="AK63" s="34">
        <f t="shared" si="51"/>
        <v>3300000</v>
      </c>
      <c r="AL63" s="33">
        <f t="shared" si="51"/>
        <v>3300000</v>
      </c>
      <c r="AM63" s="34">
        <f t="shared" si="51"/>
        <v>0</v>
      </c>
      <c r="AN63" s="308">
        <f>SUM(AN64:AN68)</f>
        <v>0</v>
      </c>
      <c r="AO63" s="33">
        <f t="shared" si="51"/>
        <v>0</v>
      </c>
      <c r="AP63" s="33">
        <f t="shared" si="51"/>
        <v>0</v>
      </c>
      <c r="AQ63" s="33">
        <f t="shared" si="51"/>
        <v>0</v>
      </c>
    </row>
    <row r="64" spans="1:43" ht="15.75" customHeight="1" x14ac:dyDescent="0.3">
      <c r="A64" s="45" t="s">
        <v>100</v>
      </c>
      <c r="B64" s="1903" t="s">
        <v>101</v>
      </c>
      <c r="C64" s="1904"/>
      <c r="D64" s="20">
        <f t="shared" ref="D64:D68" si="52">+F64+Z64+AF64+AK64</f>
        <v>4000000</v>
      </c>
      <c r="E64" s="98">
        <f t="shared" ref="E64:E68" si="53">SUM(G64+H64+I64+J64+K64+L64+M64+N64+O64+P64+Q64+R64+S64+T64+U64+V64+W64+X64+Y64+AA64+AB64+AC64+AD64+AE64+AG64+AH64+AI64+AJ64+AL64+AN64+AO64+AP64+AQ64)</f>
        <v>4000000</v>
      </c>
      <c r="F64" s="21">
        <f>SUM(G64:Y64)</f>
        <v>4000000</v>
      </c>
      <c r="G64" s="20"/>
      <c r="H64" s="20"/>
      <c r="I64" s="20"/>
      <c r="J64" s="20">
        <v>0</v>
      </c>
      <c r="K64" s="20"/>
      <c r="L64" s="1"/>
      <c r="M64" s="20"/>
      <c r="N64" s="20"/>
      <c r="O64" s="20"/>
      <c r="P64" s="20"/>
      <c r="Q64" s="1"/>
      <c r="R64" s="1">
        <v>4000000</v>
      </c>
      <c r="S64" s="1"/>
      <c r="T64" s="1"/>
      <c r="U64" s="1"/>
      <c r="V64" s="1"/>
      <c r="W64" s="1"/>
      <c r="X64" s="1"/>
      <c r="Y64" s="1"/>
      <c r="Z64" s="10">
        <f>SUM(AA64:AE64)</f>
        <v>0</v>
      </c>
      <c r="AA64" s="8"/>
      <c r="AB64" s="8"/>
      <c r="AC64" s="8"/>
      <c r="AD64" s="8"/>
      <c r="AE64" s="8"/>
      <c r="AF64" s="2">
        <f>SUM(AG64:AJ64)</f>
        <v>0</v>
      </c>
      <c r="AG64" s="339"/>
      <c r="AH64" s="13"/>
      <c r="AI64" s="13"/>
      <c r="AJ64" s="13"/>
      <c r="AK64" s="34">
        <f>SUM(AL64+AM64)</f>
        <v>0</v>
      </c>
      <c r="AL64" s="13"/>
      <c r="AM64" s="30">
        <f>SUM(AN64:AQ64)</f>
        <v>0</v>
      </c>
      <c r="AN64" s="309"/>
      <c r="AO64" s="13"/>
      <c r="AP64" s="13"/>
      <c r="AQ64" s="13"/>
    </row>
    <row r="65" spans="1:43" ht="15.75" customHeight="1" x14ac:dyDescent="0.3">
      <c r="A65" s="45" t="s">
        <v>102</v>
      </c>
      <c r="B65" s="1903" t="s">
        <v>103</v>
      </c>
      <c r="C65" s="1904"/>
      <c r="D65" s="20">
        <f t="shared" si="52"/>
        <v>11900000</v>
      </c>
      <c r="E65" s="98">
        <f t="shared" si="53"/>
        <v>11900000</v>
      </c>
      <c r="F65" s="21">
        <f>SUM(G65:Y65)</f>
        <v>7600000</v>
      </c>
      <c r="G65" s="20"/>
      <c r="H65" s="20"/>
      <c r="I65" s="20">
        <v>1600000</v>
      </c>
      <c r="J65" s="20"/>
      <c r="K65" s="20"/>
      <c r="L65" s="1"/>
      <c r="M65" s="20"/>
      <c r="N65" s="20"/>
      <c r="O65" s="20"/>
      <c r="P65" s="20"/>
      <c r="Q65" s="1"/>
      <c r="R65" s="1">
        <v>6000000</v>
      </c>
      <c r="S65" s="1"/>
      <c r="T65" s="1"/>
      <c r="U65" s="1"/>
      <c r="V65" s="1"/>
      <c r="W65" s="1"/>
      <c r="X65" s="1"/>
      <c r="Y65" s="1"/>
      <c r="Z65" s="10">
        <f>SUM(AA65:AE65)</f>
        <v>2000000</v>
      </c>
      <c r="AA65" s="8"/>
      <c r="AB65" s="8">
        <v>2000000</v>
      </c>
      <c r="AC65" s="8"/>
      <c r="AD65" s="8"/>
      <c r="AE65" s="8"/>
      <c r="AF65" s="2">
        <f>SUM(AG65:AJ65)</f>
        <v>0</v>
      </c>
      <c r="AG65" s="339"/>
      <c r="AH65" s="13"/>
      <c r="AI65" s="13"/>
      <c r="AJ65" s="13"/>
      <c r="AK65" s="34">
        <f>SUM(AL65+AM65)</f>
        <v>2300000</v>
      </c>
      <c r="AL65" s="13">
        <v>2300000</v>
      </c>
      <c r="AM65" s="30">
        <f>SUM(AN65:AQ65)</f>
        <v>0</v>
      </c>
      <c r="AN65" s="309"/>
      <c r="AO65" s="13"/>
      <c r="AP65" s="13"/>
      <c r="AQ65" s="13"/>
    </row>
    <row r="66" spans="1:43" ht="15.75" customHeight="1" x14ac:dyDescent="0.3">
      <c r="A66" s="45" t="s">
        <v>104</v>
      </c>
      <c r="B66" s="1903" t="s">
        <v>105</v>
      </c>
      <c r="C66" s="1904"/>
      <c r="D66" s="20">
        <f t="shared" si="52"/>
        <v>700000</v>
      </c>
      <c r="E66" s="98">
        <f t="shared" si="53"/>
        <v>700000</v>
      </c>
      <c r="F66" s="21">
        <f>SUM(G66:Y66)</f>
        <v>700000</v>
      </c>
      <c r="G66" s="20"/>
      <c r="H66" s="20"/>
      <c r="I66" s="20"/>
      <c r="J66" s="20">
        <v>0</v>
      </c>
      <c r="K66" s="20">
        <v>0</v>
      </c>
      <c r="L66" s="1"/>
      <c r="M66" s="20"/>
      <c r="N66" s="20">
        <v>0</v>
      </c>
      <c r="O66" s="20"/>
      <c r="P66" s="20"/>
      <c r="Q66" s="1"/>
      <c r="R66" s="1">
        <v>700000</v>
      </c>
      <c r="S66" s="1"/>
      <c r="T66" s="1"/>
      <c r="U66" s="1"/>
      <c r="V66" s="1"/>
      <c r="W66" s="1"/>
      <c r="X66" s="1"/>
      <c r="Y66" s="1"/>
      <c r="Z66" s="10">
        <f>SUM(AA66:AE66)</f>
        <v>0</v>
      </c>
      <c r="AA66" s="8"/>
      <c r="AB66" s="8"/>
      <c r="AC66" s="8"/>
      <c r="AD66" s="8"/>
      <c r="AE66" s="8"/>
      <c r="AF66" s="2">
        <f>SUM(AG66:AJ66)</f>
        <v>0</v>
      </c>
      <c r="AG66" s="339"/>
      <c r="AH66" s="13"/>
      <c r="AI66" s="13"/>
      <c r="AJ66" s="13"/>
      <c r="AK66" s="34">
        <f>SUM(AL66+AM66)</f>
        <v>0</v>
      </c>
      <c r="AL66" s="13"/>
      <c r="AM66" s="30">
        <f>SUM(AN66:AQ66)</f>
        <v>0</v>
      </c>
      <c r="AN66" s="309"/>
      <c r="AO66" s="13"/>
      <c r="AP66" s="13"/>
      <c r="AQ66" s="13"/>
    </row>
    <row r="67" spans="1:43" ht="15.75" customHeight="1" x14ac:dyDescent="0.3">
      <c r="A67" s="45" t="s">
        <v>472</v>
      </c>
      <c r="B67" s="381" t="s">
        <v>473</v>
      </c>
      <c r="C67" s="99"/>
      <c r="D67" s="20">
        <f t="shared" si="52"/>
        <v>500000</v>
      </c>
      <c r="E67" s="98">
        <f t="shared" si="53"/>
        <v>500000</v>
      </c>
      <c r="F67" s="21">
        <f>SUM(G67:Y67)</f>
        <v>500000</v>
      </c>
      <c r="G67" s="20"/>
      <c r="H67" s="20"/>
      <c r="I67" s="20"/>
      <c r="J67" s="20"/>
      <c r="K67" s="20"/>
      <c r="L67" s="1"/>
      <c r="M67" s="20"/>
      <c r="N67" s="20"/>
      <c r="O67" s="20"/>
      <c r="P67" s="20"/>
      <c r="Q67" s="1"/>
      <c r="R67" s="1">
        <v>500000</v>
      </c>
      <c r="S67" s="1"/>
      <c r="T67" s="1"/>
      <c r="U67" s="1"/>
      <c r="V67" s="1"/>
      <c r="W67" s="1"/>
      <c r="X67" s="1"/>
      <c r="Y67" s="1"/>
      <c r="Z67" s="10">
        <f>SUM(AA67:AE67)</f>
        <v>0</v>
      </c>
      <c r="AA67" s="8"/>
      <c r="AB67" s="8"/>
      <c r="AC67" s="8"/>
      <c r="AD67" s="8"/>
      <c r="AE67" s="8"/>
      <c r="AF67" s="2">
        <f>SUM(AG67:AJ67)</f>
        <v>0</v>
      </c>
      <c r="AG67" s="343">
        <v>0</v>
      </c>
      <c r="AH67" s="9"/>
      <c r="AI67" s="9"/>
      <c r="AJ67" s="9"/>
      <c r="AK67" s="34">
        <f>SUM(AL67+AM67)</f>
        <v>0</v>
      </c>
      <c r="AL67" s="12"/>
      <c r="AM67" s="30">
        <f>SUM(AN67:AQ67)</f>
        <v>0</v>
      </c>
      <c r="AN67" s="317"/>
      <c r="AO67" s="12"/>
      <c r="AP67" s="12"/>
      <c r="AQ67" s="12"/>
    </row>
    <row r="68" spans="1:43" ht="15.75" customHeight="1" x14ac:dyDescent="0.3">
      <c r="A68" s="45" t="s">
        <v>106</v>
      </c>
      <c r="B68" s="1903" t="s">
        <v>107</v>
      </c>
      <c r="C68" s="1904"/>
      <c r="D68" s="20">
        <f t="shared" si="52"/>
        <v>1350000</v>
      </c>
      <c r="E68" s="98">
        <f t="shared" si="53"/>
        <v>1350000</v>
      </c>
      <c r="F68" s="21">
        <f>SUM(G68:Y68)</f>
        <v>350000</v>
      </c>
      <c r="G68" s="20"/>
      <c r="H68" s="20">
        <v>0</v>
      </c>
      <c r="I68" s="20">
        <v>0</v>
      </c>
      <c r="J68" s="20"/>
      <c r="K68" s="20"/>
      <c r="L68" s="1"/>
      <c r="M68" s="20">
        <v>0</v>
      </c>
      <c r="N68" s="20"/>
      <c r="O68" s="20"/>
      <c r="P68" s="20"/>
      <c r="Q68" s="1"/>
      <c r="R68" s="1">
        <v>250000</v>
      </c>
      <c r="S68" s="1"/>
      <c r="T68" s="1"/>
      <c r="U68" s="1"/>
      <c r="V68" s="1"/>
      <c r="W68" s="1"/>
      <c r="X68" s="1">
        <v>100000</v>
      </c>
      <c r="Y68" s="1"/>
      <c r="Z68" s="10">
        <f>SUM(AA68:AE68)</f>
        <v>0</v>
      </c>
      <c r="AA68" s="8"/>
      <c r="AB68" s="8"/>
      <c r="AC68" s="8"/>
      <c r="AD68" s="8"/>
      <c r="AE68" s="8"/>
      <c r="AF68" s="2">
        <f>SUM(AG68:AJ68)</f>
        <v>0</v>
      </c>
      <c r="AG68" s="344"/>
      <c r="AH68" s="8"/>
      <c r="AI68" s="8"/>
      <c r="AJ68" s="8"/>
      <c r="AK68" s="34">
        <f>SUM(AL68+AM68)</f>
        <v>1000000</v>
      </c>
      <c r="AL68" s="8">
        <v>1000000</v>
      </c>
      <c r="AM68" s="30">
        <f>SUM(AN68:AQ68)</f>
        <v>0</v>
      </c>
      <c r="AN68" s="316"/>
      <c r="AO68" s="8"/>
      <c r="AP68" s="8"/>
      <c r="AQ68" s="8"/>
    </row>
    <row r="69" spans="1:43" ht="15.75" customHeight="1" x14ac:dyDescent="0.3">
      <c r="A69" s="45"/>
      <c r="B69" s="381"/>
      <c r="C69" s="99"/>
      <c r="D69" s="20"/>
      <c r="E69" s="98"/>
      <c r="F69" s="21"/>
      <c r="G69" s="20"/>
      <c r="H69" s="20"/>
      <c r="I69" s="20"/>
      <c r="J69" s="20"/>
      <c r="K69" s="20"/>
      <c r="L69" s="1"/>
      <c r="M69" s="20"/>
      <c r="N69" s="20"/>
      <c r="O69" s="20"/>
      <c r="P69" s="20"/>
      <c r="Q69" s="1"/>
      <c r="R69" s="1"/>
      <c r="S69" s="1"/>
      <c r="T69" s="1"/>
      <c r="U69" s="1"/>
      <c r="V69" s="1"/>
      <c r="W69" s="1"/>
      <c r="X69" s="1"/>
      <c r="Y69" s="1"/>
      <c r="Z69" s="9"/>
      <c r="AA69" s="9"/>
      <c r="AB69" s="9"/>
      <c r="AC69" s="9"/>
      <c r="AD69" s="9"/>
      <c r="AE69" s="9"/>
      <c r="AF69" s="2">
        <f>SUM(AG69:AI69)</f>
        <v>0</v>
      </c>
      <c r="AG69" s="339"/>
      <c r="AH69" s="13"/>
      <c r="AI69" s="13"/>
      <c r="AJ69" s="13"/>
      <c r="AK69" s="34"/>
      <c r="AL69" s="13"/>
      <c r="AM69" s="115"/>
      <c r="AN69" s="309"/>
      <c r="AO69" s="13"/>
      <c r="AP69" s="13"/>
      <c r="AQ69" s="13"/>
    </row>
    <row r="70" spans="1:43" ht="15.75" customHeight="1" x14ac:dyDescent="0.3">
      <c r="A70" s="40" t="s">
        <v>108</v>
      </c>
      <c r="B70" s="1912" t="s">
        <v>109</v>
      </c>
      <c r="C70" s="1919"/>
      <c r="D70" s="21">
        <f>SUM(D71:D75)</f>
        <v>206850000</v>
      </c>
      <c r="E70" s="71">
        <f>SUM(E71:E75)</f>
        <v>206850000</v>
      </c>
      <c r="F70" s="21">
        <f t="shared" ref="F70:F75" si="54">SUM(G70:Y70)</f>
        <v>181500000</v>
      </c>
      <c r="G70" s="23">
        <f t="shared" ref="G70:Z70" si="55">SUM(G71:G75)</f>
        <v>0</v>
      </c>
      <c r="H70" s="23">
        <f t="shared" si="55"/>
        <v>0</v>
      </c>
      <c r="I70" s="23">
        <f t="shared" si="55"/>
        <v>0</v>
      </c>
      <c r="J70" s="23">
        <f t="shared" si="55"/>
        <v>0</v>
      </c>
      <c r="K70" s="23">
        <f t="shared" si="55"/>
        <v>0</v>
      </c>
      <c r="L70" s="23">
        <f t="shared" si="55"/>
        <v>0</v>
      </c>
      <c r="M70" s="23">
        <f t="shared" si="55"/>
        <v>0</v>
      </c>
      <c r="N70" s="23">
        <f t="shared" si="55"/>
        <v>0</v>
      </c>
      <c r="O70" s="23">
        <f t="shared" si="55"/>
        <v>0</v>
      </c>
      <c r="P70" s="23">
        <f t="shared" si="55"/>
        <v>0</v>
      </c>
      <c r="Q70" s="23">
        <f t="shared" si="55"/>
        <v>0</v>
      </c>
      <c r="R70" s="23">
        <f t="shared" si="55"/>
        <v>181500000</v>
      </c>
      <c r="S70" s="23">
        <f t="shared" si="55"/>
        <v>0</v>
      </c>
      <c r="T70" s="23">
        <f>SUM(T71:T75)</f>
        <v>0</v>
      </c>
      <c r="U70" s="23">
        <f t="shared" si="55"/>
        <v>0</v>
      </c>
      <c r="V70" s="23">
        <f>SUM(V71:V75)</f>
        <v>0</v>
      </c>
      <c r="W70" s="23">
        <f>SUM(W71:W75)</f>
        <v>0</v>
      </c>
      <c r="X70" s="23">
        <f>SUM(X71:X75)</f>
        <v>0</v>
      </c>
      <c r="Y70" s="23">
        <f t="shared" si="55"/>
        <v>0</v>
      </c>
      <c r="Z70" s="33">
        <f t="shared" si="55"/>
        <v>0</v>
      </c>
      <c r="AA70" s="33">
        <f t="shared" ref="AA70:AF70" si="56">SUM(AA71:AA75)</f>
        <v>0</v>
      </c>
      <c r="AB70" s="33">
        <f t="shared" si="56"/>
        <v>0</v>
      </c>
      <c r="AC70" s="33">
        <f t="shared" si="56"/>
        <v>0</v>
      </c>
      <c r="AD70" s="33">
        <f t="shared" si="56"/>
        <v>0</v>
      </c>
      <c r="AE70" s="33">
        <f t="shared" si="56"/>
        <v>0</v>
      </c>
      <c r="AF70" s="2">
        <f t="shared" si="56"/>
        <v>0</v>
      </c>
      <c r="AG70" s="345">
        <f t="shared" ref="AG70:AQ70" si="57">SUM(AG71:AG75)</f>
        <v>0</v>
      </c>
      <c r="AH70" s="33">
        <f t="shared" si="57"/>
        <v>0</v>
      </c>
      <c r="AI70" s="33">
        <f t="shared" si="57"/>
        <v>0</v>
      </c>
      <c r="AJ70" s="33">
        <f t="shared" si="57"/>
        <v>0</v>
      </c>
      <c r="AK70" s="34">
        <f t="shared" si="57"/>
        <v>25350000</v>
      </c>
      <c r="AL70" s="33">
        <f t="shared" si="57"/>
        <v>25000000</v>
      </c>
      <c r="AM70" s="34">
        <f t="shared" si="57"/>
        <v>350000</v>
      </c>
      <c r="AN70" s="308">
        <f>SUM(AN71:AN75)</f>
        <v>0</v>
      </c>
      <c r="AO70" s="33">
        <f t="shared" si="57"/>
        <v>350000</v>
      </c>
      <c r="AP70" s="33">
        <f t="shared" si="57"/>
        <v>0</v>
      </c>
      <c r="AQ70" s="33">
        <f t="shared" si="57"/>
        <v>0</v>
      </c>
    </row>
    <row r="71" spans="1:43" ht="15.75" customHeight="1" x14ac:dyDescent="0.3">
      <c r="A71" s="46" t="s">
        <v>110</v>
      </c>
      <c r="B71" s="1903" t="s">
        <v>111</v>
      </c>
      <c r="C71" s="1904"/>
      <c r="D71" s="20">
        <f t="shared" ref="D71:D75" si="58">+F71+Z71+AF71+AK71</f>
        <v>10080000</v>
      </c>
      <c r="E71" s="98">
        <f t="shared" ref="E71:E75" si="59">SUM(G71+H71+I71+J71+K71+L71+M71+N71+O71+P71+Q71+R71+S71+T71+U71+V71+W71+X71+Y71+AA71+AB71+AC71+AD71+AE71+AG71+AH71+AI71+AJ71+AL71+AN71+AO71+AP71+AQ71)</f>
        <v>10080000</v>
      </c>
      <c r="F71" s="21">
        <f t="shared" si="54"/>
        <v>10080000</v>
      </c>
      <c r="G71" s="341"/>
      <c r="H71" s="341"/>
      <c r="I71" s="341"/>
      <c r="J71" s="341"/>
      <c r="K71" s="341"/>
      <c r="L71" s="1"/>
      <c r="M71" s="341"/>
      <c r="N71" s="341"/>
      <c r="O71" s="341"/>
      <c r="P71" s="341"/>
      <c r="Q71" s="1">
        <v>0</v>
      </c>
      <c r="R71" s="1">
        <v>10080000</v>
      </c>
      <c r="S71" s="1"/>
      <c r="T71" s="1"/>
      <c r="U71" s="1"/>
      <c r="V71" s="1"/>
      <c r="W71" s="1"/>
      <c r="X71" s="1"/>
      <c r="Y71" s="1"/>
      <c r="Z71" s="10">
        <f>SUM(AA71:AE71)</f>
        <v>0</v>
      </c>
      <c r="AA71" s="8">
        <f>SUM(AG69:AK69)</f>
        <v>0</v>
      </c>
      <c r="AB71" s="8">
        <f>SUM(AH69:AQ69)</f>
        <v>0</v>
      </c>
      <c r="AC71" s="8">
        <f>SUM(AI69:AR69)</f>
        <v>0</v>
      </c>
      <c r="AD71" s="8">
        <f>SUM(AK69:AS69)</f>
        <v>0</v>
      </c>
      <c r="AE71" s="8">
        <f>SUM(AR69:AT69)</f>
        <v>0</v>
      </c>
      <c r="AF71" s="2">
        <f>SUM(AG71:AJ71)</f>
        <v>0</v>
      </c>
      <c r="AG71" s="339">
        <v>0</v>
      </c>
      <c r="AH71" s="13">
        <v>0</v>
      </c>
      <c r="AI71" s="13"/>
      <c r="AJ71" s="13"/>
      <c r="AK71" s="34">
        <f>SUM(AL71+AM71)</f>
        <v>0</v>
      </c>
      <c r="AL71" s="13"/>
      <c r="AM71" s="30">
        <f>SUM(AN71:AQ71)</f>
        <v>0</v>
      </c>
      <c r="AN71" s="309"/>
      <c r="AO71" s="13"/>
      <c r="AP71" s="13"/>
      <c r="AQ71" s="13"/>
    </row>
    <row r="72" spans="1:43" ht="15.75" customHeight="1" x14ac:dyDescent="0.3">
      <c r="A72" s="46" t="s">
        <v>112</v>
      </c>
      <c r="B72" s="1903" t="s">
        <v>113</v>
      </c>
      <c r="C72" s="1904"/>
      <c r="D72" s="20">
        <f t="shared" si="58"/>
        <v>73500000</v>
      </c>
      <c r="E72" s="98">
        <f t="shared" si="59"/>
        <v>73500000</v>
      </c>
      <c r="F72" s="21">
        <f t="shared" si="54"/>
        <v>73500000</v>
      </c>
      <c r="G72" s="341"/>
      <c r="H72" s="341"/>
      <c r="I72" s="341"/>
      <c r="J72" s="341"/>
      <c r="K72" s="341"/>
      <c r="L72" s="1"/>
      <c r="M72" s="341"/>
      <c r="N72" s="341"/>
      <c r="O72" s="341"/>
      <c r="P72" s="341"/>
      <c r="Q72" s="1">
        <v>0</v>
      </c>
      <c r="R72" s="1">
        <v>73500000</v>
      </c>
      <c r="S72" s="1"/>
      <c r="T72" s="1"/>
      <c r="U72" s="1"/>
      <c r="V72" s="1"/>
      <c r="W72" s="1"/>
      <c r="X72" s="1"/>
      <c r="Y72" s="1"/>
      <c r="Z72" s="10">
        <f>SUM(AA72:AE72)</f>
        <v>0</v>
      </c>
      <c r="AA72" s="8"/>
      <c r="AB72" s="8"/>
      <c r="AC72" s="8"/>
      <c r="AD72" s="8"/>
      <c r="AE72" s="8"/>
      <c r="AF72" s="2">
        <f>SUM(AG72:AJ72)</f>
        <v>0</v>
      </c>
      <c r="AG72" s="339">
        <v>0</v>
      </c>
      <c r="AH72" s="13">
        <v>0</v>
      </c>
      <c r="AI72" s="13">
        <v>0</v>
      </c>
      <c r="AJ72" s="13">
        <v>0</v>
      </c>
      <c r="AK72" s="34">
        <f>SUM(AL72+AM72)</f>
        <v>0</v>
      </c>
      <c r="AL72" s="13"/>
      <c r="AM72" s="30">
        <f>SUM(AN72:AQ72)</f>
        <v>0</v>
      </c>
      <c r="AN72" s="309"/>
      <c r="AO72" s="13"/>
      <c r="AP72" s="13"/>
      <c r="AQ72" s="13"/>
    </row>
    <row r="73" spans="1:43" ht="15.75" customHeight="1" x14ac:dyDescent="0.3">
      <c r="A73" s="46" t="s">
        <v>114</v>
      </c>
      <c r="B73" s="1903" t="s">
        <v>115</v>
      </c>
      <c r="C73" s="1904"/>
      <c r="D73" s="20">
        <f t="shared" si="58"/>
        <v>200000</v>
      </c>
      <c r="E73" s="98">
        <f t="shared" si="59"/>
        <v>200000</v>
      </c>
      <c r="F73" s="21">
        <f t="shared" si="54"/>
        <v>200000</v>
      </c>
      <c r="G73" s="341"/>
      <c r="H73" s="341"/>
      <c r="I73" s="341"/>
      <c r="J73" s="341">
        <v>0</v>
      </c>
      <c r="K73" s="341">
        <v>0</v>
      </c>
      <c r="L73" s="1"/>
      <c r="M73" s="341">
        <v>0</v>
      </c>
      <c r="N73" s="341"/>
      <c r="O73" s="341"/>
      <c r="P73" s="341"/>
      <c r="Q73" s="1">
        <v>0</v>
      </c>
      <c r="R73" s="1">
        <v>200000</v>
      </c>
      <c r="S73" s="1"/>
      <c r="T73" s="1"/>
      <c r="U73" s="1"/>
      <c r="V73" s="1"/>
      <c r="W73" s="1"/>
      <c r="X73" s="1"/>
      <c r="Y73" s="1"/>
      <c r="Z73" s="10">
        <f>SUM(AA73:AE73)</f>
        <v>0</v>
      </c>
      <c r="AA73" s="8"/>
      <c r="AB73" s="8"/>
      <c r="AC73" s="8"/>
      <c r="AD73" s="8"/>
      <c r="AE73" s="8"/>
      <c r="AF73" s="2">
        <f>SUM(AG73:AJ73)</f>
        <v>0</v>
      </c>
      <c r="AG73" s="339"/>
      <c r="AH73" s="13"/>
      <c r="AI73" s="13"/>
      <c r="AJ73" s="13"/>
      <c r="AK73" s="34">
        <f>SUM(AL73+AM73)</f>
        <v>0</v>
      </c>
      <c r="AL73" s="13"/>
      <c r="AM73" s="30">
        <f>SUM(AN73:AQ73)</f>
        <v>0</v>
      </c>
      <c r="AN73" s="309"/>
      <c r="AO73" s="13"/>
      <c r="AP73" s="13"/>
      <c r="AQ73" s="13"/>
    </row>
    <row r="74" spans="1:43" ht="15.75" customHeight="1" x14ac:dyDescent="0.3">
      <c r="A74" s="46" t="s">
        <v>116</v>
      </c>
      <c r="B74" s="1903" t="s">
        <v>117</v>
      </c>
      <c r="C74" s="1904"/>
      <c r="D74" s="20">
        <f t="shared" si="58"/>
        <v>53070000</v>
      </c>
      <c r="E74" s="98">
        <f t="shared" si="59"/>
        <v>53070000</v>
      </c>
      <c r="F74" s="21">
        <f t="shared" si="54"/>
        <v>27720000</v>
      </c>
      <c r="G74" s="341"/>
      <c r="H74" s="341">
        <v>0</v>
      </c>
      <c r="I74" s="341"/>
      <c r="J74" s="341"/>
      <c r="K74" s="341"/>
      <c r="L74" s="1">
        <v>0</v>
      </c>
      <c r="M74" s="341">
        <v>0</v>
      </c>
      <c r="N74" s="341"/>
      <c r="O74" s="341"/>
      <c r="P74" s="341"/>
      <c r="Q74" s="1">
        <v>0</v>
      </c>
      <c r="R74" s="1">
        <v>27720000</v>
      </c>
      <c r="S74" s="1"/>
      <c r="T74" s="1"/>
      <c r="U74" s="1"/>
      <c r="V74" s="1"/>
      <c r="W74" s="1"/>
      <c r="X74" s="1"/>
      <c r="Y74" s="1"/>
      <c r="Z74" s="10">
        <f>SUM(AA74:AE74)</f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2">
        <f>SUM(AG74:AJ74)</f>
        <v>0</v>
      </c>
      <c r="AG74" s="345">
        <v>0</v>
      </c>
      <c r="AH74" s="6">
        <v>0</v>
      </c>
      <c r="AI74" s="7">
        <v>0</v>
      </c>
      <c r="AJ74" s="7">
        <v>0</v>
      </c>
      <c r="AK74" s="34">
        <f>SUM(AL74+AM74)</f>
        <v>25350000</v>
      </c>
      <c r="AL74" s="7">
        <v>25000000</v>
      </c>
      <c r="AM74" s="30">
        <f>SUM(AN74:AQ74)</f>
        <v>350000</v>
      </c>
      <c r="AN74" s="318"/>
      <c r="AO74" s="7">
        <v>350000</v>
      </c>
      <c r="AP74" s="7"/>
      <c r="AQ74" s="7"/>
    </row>
    <row r="75" spans="1:43" ht="15.75" customHeight="1" x14ac:dyDescent="0.3">
      <c r="A75" s="46" t="s">
        <v>118</v>
      </c>
      <c r="B75" s="1903" t="s">
        <v>119</v>
      </c>
      <c r="C75" s="1904"/>
      <c r="D75" s="20">
        <f t="shared" si="58"/>
        <v>70000000</v>
      </c>
      <c r="E75" s="98">
        <f t="shared" si="59"/>
        <v>70000000</v>
      </c>
      <c r="F75" s="21">
        <f t="shared" si="54"/>
        <v>70000000</v>
      </c>
      <c r="G75" s="341"/>
      <c r="H75" s="341"/>
      <c r="I75" s="341"/>
      <c r="J75" s="341"/>
      <c r="K75" s="341"/>
      <c r="L75" s="1"/>
      <c r="M75" s="341">
        <v>0</v>
      </c>
      <c r="N75" s="341"/>
      <c r="O75" s="341"/>
      <c r="P75" s="341"/>
      <c r="Q75" s="1">
        <v>0</v>
      </c>
      <c r="R75" s="1">
        <v>70000000</v>
      </c>
      <c r="S75" s="1"/>
      <c r="T75" s="1"/>
      <c r="U75" s="1"/>
      <c r="V75" s="1"/>
      <c r="W75" s="1"/>
      <c r="X75" s="1"/>
      <c r="Y75" s="1"/>
      <c r="Z75" s="10">
        <f>SUM(AA75:AE75)</f>
        <v>0</v>
      </c>
      <c r="AA75" s="8"/>
      <c r="AB75" s="8"/>
      <c r="AC75" s="8"/>
      <c r="AD75" s="8"/>
      <c r="AE75" s="8"/>
      <c r="AF75" s="2">
        <f>SUM(AG75:AJ75)</f>
        <v>0</v>
      </c>
      <c r="AG75" s="352">
        <v>0</v>
      </c>
      <c r="AH75" s="15"/>
      <c r="AI75" s="15">
        <v>0</v>
      </c>
      <c r="AJ75" s="15">
        <v>0</v>
      </c>
      <c r="AK75" s="34">
        <f>SUM(AL75+AM75)</f>
        <v>0</v>
      </c>
      <c r="AL75" s="15"/>
      <c r="AM75" s="30">
        <f>SUM(AN75:AQ75)</f>
        <v>0</v>
      </c>
      <c r="AN75" s="319"/>
      <c r="AO75" s="15"/>
      <c r="AP75" s="15"/>
      <c r="AQ75" s="15"/>
    </row>
    <row r="76" spans="1:43" s="194" customFormat="1" ht="15.75" customHeight="1" x14ac:dyDescent="0.3">
      <c r="A76" s="46"/>
      <c r="B76" s="381"/>
      <c r="C76" s="99"/>
      <c r="D76" s="20"/>
      <c r="E76" s="98"/>
      <c r="F76" s="21"/>
      <c r="G76" s="341"/>
      <c r="H76" s="341"/>
      <c r="I76" s="341"/>
      <c r="J76" s="341"/>
      <c r="K76" s="341"/>
      <c r="L76" s="1"/>
      <c r="M76" s="341"/>
      <c r="N76" s="341"/>
      <c r="O76" s="341"/>
      <c r="P76" s="341"/>
      <c r="Q76" s="1"/>
      <c r="R76" s="1"/>
      <c r="S76" s="1"/>
      <c r="T76" s="1"/>
      <c r="U76" s="1"/>
      <c r="V76" s="1"/>
      <c r="W76" s="1"/>
      <c r="X76" s="1"/>
      <c r="Y76" s="1"/>
      <c r="Z76" s="175"/>
      <c r="AA76" s="5"/>
      <c r="AB76" s="5"/>
      <c r="AC76" s="5"/>
      <c r="AD76" s="5"/>
      <c r="AE76" s="5"/>
      <c r="AF76" s="2" t="s">
        <v>0</v>
      </c>
      <c r="AG76" s="352" t="s">
        <v>0</v>
      </c>
      <c r="AH76" s="15" t="s">
        <v>0</v>
      </c>
      <c r="AI76" s="15" t="s">
        <v>0</v>
      </c>
      <c r="AJ76" s="15" t="s">
        <v>0</v>
      </c>
      <c r="AK76" s="34"/>
      <c r="AL76" s="15" t="s">
        <v>0</v>
      </c>
      <c r="AM76" s="94" t="s">
        <v>0</v>
      </c>
      <c r="AN76" s="319" t="s">
        <v>0</v>
      </c>
      <c r="AO76" s="15" t="s">
        <v>0</v>
      </c>
      <c r="AP76" s="15" t="s">
        <v>0</v>
      </c>
      <c r="AQ76" s="15" t="s">
        <v>0</v>
      </c>
    </row>
    <row r="77" spans="1:43" ht="15.75" customHeight="1" x14ac:dyDescent="0.3">
      <c r="A77" s="40" t="s">
        <v>120</v>
      </c>
      <c r="B77" s="1912" t="s">
        <v>121</v>
      </c>
      <c r="C77" s="1919"/>
      <c r="D77" s="21">
        <f>SUM(D78:D83)</f>
        <v>2055239500</v>
      </c>
      <c r="E77" s="71">
        <f>SUM(E78:E83)</f>
        <v>2055239500</v>
      </c>
      <c r="F77" s="21">
        <f t="shared" ref="F77:F83" si="60">SUM(G77:Y77)</f>
        <v>49522000</v>
      </c>
      <c r="G77" s="25">
        <f t="shared" ref="G77:Y77" si="61">SUM(G78:G83)</f>
        <v>20000</v>
      </c>
      <c r="H77" s="25">
        <f t="shared" si="61"/>
        <v>146000</v>
      </c>
      <c r="I77" s="25">
        <f t="shared" si="61"/>
        <v>7600000</v>
      </c>
      <c r="J77" s="25">
        <f t="shared" si="61"/>
        <v>50000</v>
      </c>
      <c r="K77" s="25">
        <f t="shared" si="61"/>
        <v>500000</v>
      </c>
      <c r="L77" s="25">
        <f t="shared" si="61"/>
        <v>0</v>
      </c>
      <c r="M77" s="25">
        <f t="shared" si="61"/>
        <v>50000</v>
      </c>
      <c r="N77" s="25">
        <f t="shared" si="61"/>
        <v>0</v>
      </c>
      <c r="O77" s="25">
        <f t="shared" si="61"/>
        <v>70000</v>
      </c>
      <c r="P77" s="25">
        <f t="shared" si="61"/>
        <v>96000</v>
      </c>
      <c r="Q77" s="25">
        <f t="shared" si="61"/>
        <v>50000</v>
      </c>
      <c r="R77" s="25">
        <f t="shared" si="61"/>
        <v>1990000</v>
      </c>
      <c r="S77" s="25">
        <f t="shared" si="61"/>
        <v>1300000</v>
      </c>
      <c r="T77" s="25">
        <f>SUM(T78:T83)</f>
        <v>16050000</v>
      </c>
      <c r="U77" s="25">
        <f t="shared" si="61"/>
        <v>0</v>
      </c>
      <c r="V77" s="25">
        <f>SUM(V78:V83)</f>
        <v>0</v>
      </c>
      <c r="W77" s="25">
        <f>SUM(W78:W83)</f>
        <v>600000</v>
      </c>
      <c r="X77" s="25">
        <f>SUM(X78:X83)</f>
        <v>21000000</v>
      </c>
      <c r="Y77" s="25">
        <f t="shared" si="61"/>
        <v>0</v>
      </c>
      <c r="Z77" s="6">
        <f t="shared" ref="Z77:AE77" si="62">SUM(Z78:Z82)</f>
        <v>10730500</v>
      </c>
      <c r="AA77" s="6">
        <f t="shared" si="62"/>
        <v>9000000</v>
      </c>
      <c r="AB77" s="6">
        <f t="shared" si="62"/>
        <v>0</v>
      </c>
      <c r="AC77" s="6">
        <f t="shared" si="62"/>
        <v>0</v>
      </c>
      <c r="AD77" s="6">
        <f t="shared" si="62"/>
        <v>130500</v>
      </c>
      <c r="AE77" s="6">
        <f t="shared" si="62"/>
        <v>1600000</v>
      </c>
      <c r="AF77" s="2">
        <f>SUM(AF78:AF83)</f>
        <v>4700000</v>
      </c>
      <c r="AG77" s="353">
        <f t="shared" ref="AG77:AQ77" si="63">SUM(AG78:AG83)</f>
        <v>100000</v>
      </c>
      <c r="AH77" s="18">
        <f t="shared" si="63"/>
        <v>100000</v>
      </c>
      <c r="AI77" s="18">
        <f t="shared" si="63"/>
        <v>0</v>
      </c>
      <c r="AJ77" s="18">
        <f t="shared" si="63"/>
        <v>4500000</v>
      </c>
      <c r="AK77" s="34">
        <f t="shared" si="63"/>
        <v>1990287000</v>
      </c>
      <c r="AL77" s="18">
        <f t="shared" si="63"/>
        <v>1879587000</v>
      </c>
      <c r="AM77" s="94">
        <f t="shared" si="63"/>
        <v>110700000</v>
      </c>
      <c r="AN77" s="320">
        <f>SUM(AN78:AN83)</f>
        <v>600000</v>
      </c>
      <c r="AO77" s="18">
        <f t="shared" si="63"/>
        <v>108000000</v>
      </c>
      <c r="AP77" s="18">
        <f t="shared" si="63"/>
        <v>1100000</v>
      </c>
      <c r="AQ77" s="18">
        <f t="shared" si="63"/>
        <v>1000000</v>
      </c>
    </row>
    <row r="78" spans="1:43" ht="15.75" customHeight="1" thickBot="1" x14ac:dyDescent="0.35">
      <c r="A78" s="425" t="s">
        <v>122</v>
      </c>
      <c r="B78" s="1905" t="s">
        <v>123</v>
      </c>
      <c r="C78" s="1906"/>
      <c r="D78" s="419">
        <f t="shared" ref="D78:D83" si="64">+F78+Z78+AF78+AK78</f>
        <v>20600000</v>
      </c>
      <c r="E78" s="420">
        <f t="shared" ref="E78:E83" si="65">SUM(G78+H78+I78+J78+K78+L78+M78+N78+O78+P78+Q78+R78+S78+T78+U78+V78+W78+X78+Y78+AA78+AB78+AC78+AD78+AE78+AG78+AH78+AI78+AJ78+AL78+AN78+AO78+AP78+AQ78)</f>
        <v>20600000</v>
      </c>
      <c r="F78" s="282">
        <f t="shared" si="60"/>
        <v>14500000</v>
      </c>
      <c r="G78" s="426"/>
      <c r="H78" s="426"/>
      <c r="I78" s="230">
        <v>2000000</v>
      </c>
      <c r="J78" s="426"/>
      <c r="K78" s="426">
        <v>500000</v>
      </c>
      <c r="L78" s="421"/>
      <c r="M78" s="426"/>
      <c r="N78" s="230"/>
      <c r="O78" s="426"/>
      <c r="P78" s="230"/>
      <c r="Q78" s="421"/>
      <c r="R78" s="421">
        <v>1000000</v>
      </c>
      <c r="S78" s="421">
        <v>1000000</v>
      </c>
      <c r="T78" s="421">
        <v>10000000</v>
      </c>
      <c r="U78" s="421"/>
      <c r="V78" s="421"/>
      <c r="W78" s="421"/>
      <c r="X78" s="421"/>
      <c r="Y78" s="421"/>
      <c r="Z78" s="237">
        <f t="shared" ref="Z78:Z83" si="66">SUM(AA78:AE78)</f>
        <v>1500000</v>
      </c>
      <c r="AA78" s="422">
        <v>1000000</v>
      </c>
      <c r="AB78" s="422"/>
      <c r="AC78" s="422"/>
      <c r="AD78" s="422"/>
      <c r="AE78" s="422">
        <v>500000</v>
      </c>
      <c r="AF78" s="369">
        <f t="shared" ref="AF78:AF83" si="67">SUM(AG78:AJ78)</f>
        <v>0</v>
      </c>
      <c r="AG78" s="427">
        <v>0</v>
      </c>
      <c r="AH78" s="428">
        <v>0</v>
      </c>
      <c r="AI78" s="428">
        <v>0</v>
      </c>
      <c r="AJ78" s="428">
        <v>0</v>
      </c>
      <c r="AK78" s="238">
        <f t="shared" ref="AK78:AK83" si="68">SUM(AL78+AM78)</f>
        <v>4600000</v>
      </c>
      <c r="AL78" s="428">
        <v>2000000</v>
      </c>
      <c r="AM78" s="429">
        <f t="shared" ref="AM78:AM83" si="69">SUM(AN78:AQ78)</f>
        <v>2600000</v>
      </c>
      <c r="AN78" s="319">
        <v>600000</v>
      </c>
      <c r="AO78" s="15">
        <v>1000000</v>
      </c>
      <c r="AP78" s="15">
        <v>1000000</v>
      </c>
      <c r="AQ78" s="15"/>
    </row>
    <row r="79" spans="1:43" ht="15.75" customHeight="1" x14ac:dyDescent="0.3">
      <c r="A79" s="47" t="s">
        <v>124</v>
      </c>
      <c r="B79" s="1903" t="s">
        <v>125</v>
      </c>
      <c r="C79" s="1904"/>
      <c r="D79" s="20">
        <f t="shared" si="64"/>
        <v>360100000</v>
      </c>
      <c r="E79" s="98">
        <f t="shared" si="65"/>
        <v>360100000</v>
      </c>
      <c r="F79" s="21">
        <f t="shared" si="60"/>
        <v>5000000</v>
      </c>
      <c r="G79" s="21"/>
      <c r="H79" s="21"/>
      <c r="I79" s="20">
        <v>5000000</v>
      </c>
      <c r="J79" s="21"/>
      <c r="K79" s="21"/>
      <c r="L79" s="1"/>
      <c r="M79" s="21"/>
      <c r="N79" s="20"/>
      <c r="O79" s="21"/>
      <c r="P79" s="21"/>
      <c r="Q79" s="1"/>
      <c r="R79" s="1"/>
      <c r="S79" s="1"/>
      <c r="T79" s="1"/>
      <c r="U79" s="1"/>
      <c r="V79" s="1"/>
      <c r="W79" s="1"/>
      <c r="X79" s="1"/>
      <c r="Y79" s="1"/>
      <c r="Z79" s="10">
        <f t="shared" si="66"/>
        <v>100000</v>
      </c>
      <c r="AA79" s="8"/>
      <c r="AB79" s="8"/>
      <c r="AC79" s="8"/>
      <c r="AD79" s="8"/>
      <c r="AE79" s="8">
        <v>100000</v>
      </c>
      <c r="AF79" s="2">
        <f t="shared" si="67"/>
        <v>0</v>
      </c>
      <c r="AG79" s="352">
        <v>0</v>
      </c>
      <c r="AH79" s="15">
        <v>0</v>
      </c>
      <c r="AI79" s="15"/>
      <c r="AJ79" s="15"/>
      <c r="AK79" s="34">
        <f t="shared" si="68"/>
        <v>355000000</v>
      </c>
      <c r="AL79" s="15">
        <v>250000000</v>
      </c>
      <c r="AM79" s="30">
        <f t="shared" si="69"/>
        <v>105000000</v>
      </c>
      <c r="AN79" s="319"/>
      <c r="AO79" s="15">
        <v>105000000</v>
      </c>
      <c r="AP79" s="15"/>
      <c r="AQ79" s="15"/>
    </row>
    <row r="80" spans="1:43" ht="15.75" customHeight="1" x14ac:dyDescent="0.3">
      <c r="A80" s="47" t="s">
        <v>126</v>
      </c>
      <c r="B80" s="1903" t="s">
        <v>127</v>
      </c>
      <c r="C80" s="1904"/>
      <c r="D80" s="20">
        <f t="shared" si="64"/>
        <v>21756500</v>
      </c>
      <c r="E80" s="98">
        <f t="shared" si="65"/>
        <v>21756500</v>
      </c>
      <c r="F80" s="21">
        <f t="shared" si="60"/>
        <v>2476000</v>
      </c>
      <c r="G80" s="341">
        <v>20000</v>
      </c>
      <c r="H80" s="341">
        <v>50000</v>
      </c>
      <c r="I80" s="341">
        <v>600000</v>
      </c>
      <c r="J80" s="341">
        <v>50000</v>
      </c>
      <c r="K80" s="341"/>
      <c r="L80" s="1"/>
      <c r="M80" s="341">
        <v>50000</v>
      </c>
      <c r="N80" s="341"/>
      <c r="O80" s="341">
        <v>70000</v>
      </c>
      <c r="P80" s="341">
        <v>96000</v>
      </c>
      <c r="Q80" s="1">
        <v>50000</v>
      </c>
      <c r="R80" s="1">
        <v>40000</v>
      </c>
      <c r="S80" s="1">
        <v>300000</v>
      </c>
      <c r="T80" s="1">
        <v>50000</v>
      </c>
      <c r="U80" s="1"/>
      <c r="V80" s="1"/>
      <c r="W80" s="1">
        <v>100000</v>
      </c>
      <c r="X80" s="1">
        <v>1000000</v>
      </c>
      <c r="Y80" s="1"/>
      <c r="Z80" s="10">
        <f t="shared" si="66"/>
        <v>9130500</v>
      </c>
      <c r="AA80" s="8">
        <v>8000000</v>
      </c>
      <c r="AB80" s="8"/>
      <c r="AC80" s="8"/>
      <c r="AD80" s="8">
        <v>130500</v>
      </c>
      <c r="AE80" s="8">
        <v>1000000</v>
      </c>
      <c r="AF80" s="2">
        <f t="shared" si="67"/>
        <v>4700000</v>
      </c>
      <c r="AG80" s="352">
        <v>100000</v>
      </c>
      <c r="AH80" s="15">
        <v>100000</v>
      </c>
      <c r="AI80" s="15"/>
      <c r="AJ80" s="15">
        <v>4500000</v>
      </c>
      <c r="AK80" s="34">
        <f t="shared" si="68"/>
        <v>5450000</v>
      </c>
      <c r="AL80" s="15">
        <v>2350000</v>
      </c>
      <c r="AM80" s="30">
        <f t="shared" si="69"/>
        <v>3100000</v>
      </c>
      <c r="AN80" s="319"/>
      <c r="AO80" s="15">
        <v>2000000</v>
      </c>
      <c r="AP80" s="15">
        <v>100000</v>
      </c>
      <c r="AQ80" s="15">
        <v>1000000</v>
      </c>
    </row>
    <row r="81" spans="1:43" ht="21.75" customHeight="1" x14ac:dyDescent="0.3">
      <c r="A81" s="47" t="s">
        <v>128</v>
      </c>
      <c r="B81" s="1903" t="s">
        <v>129</v>
      </c>
      <c r="C81" s="1904"/>
      <c r="D81" s="20">
        <f t="shared" si="64"/>
        <v>500000</v>
      </c>
      <c r="E81" s="98">
        <f t="shared" si="65"/>
        <v>500000</v>
      </c>
      <c r="F81" s="21">
        <f t="shared" si="60"/>
        <v>500000</v>
      </c>
      <c r="G81" s="341"/>
      <c r="H81" s="341"/>
      <c r="I81" s="341"/>
      <c r="J81" s="341"/>
      <c r="K81" s="341"/>
      <c r="L81" s="1"/>
      <c r="M81" s="341"/>
      <c r="N81" s="341"/>
      <c r="O81" s="341"/>
      <c r="P81" s="341"/>
      <c r="Q81" s="1"/>
      <c r="R81" s="1">
        <v>500000</v>
      </c>
      <c r="S81" s="1"/>
      <c r="T81" s="1"/>
      <c r="U81" s="1"/>
      <c r="V81" s="1"/>
      <c r="W81" s="1"/>
      <c r="X81" s="1"/>
      <c r="Y81" s="1"/>
      <c r="Z81" s="10">
        <f t="shared" si="66"/>
        <v>0</v>
      </c>
      <c r="AA81" s="8"/>
      <c r="AB81" s="8"/>
      <c r="AC81" s="8"/>
      <c r="AD81" s="8"/>
      <c r="AE81" s="8"/>
      <c r="AF81" s="2">
        <f t="shared" si="67"/>
        <v>0</v>
      </c>
      <c r="AG81" s="339">
        <v>0</v>
      </c>
      <c r="AH81" s="13">
        <v>0</v>
      </c>
      <c r="AI81" s="13"/>
      <c r="AJ81" s="13"/>
      <c r="AK81" s="34">
        <f t="shared" si="68"/>
        <v>0</v>
      </c>
      <c r="AL81" s="13"/>
      <c r="AM81" s="30">
        <f t="shared" si="69"/>
        <v>0</v>
      </c>
      <c r="AN81" s="309"/>
      <c r="AO81" s="13"/>
      <c r="AP81" s="13"/>
      <c r="AQ81" s="13"/>
    </row>
    <row r="82" spans="1:43" ht="30.75" customHeight="1" x14ac:dyDescent="0.3">
      <c r="A82" s="48" t="s">
        <v>130</v>
      </c>
      <c r="B82" s="1903" t="s">
        <v>131</v>
      </c>
      <c r="C82" s="1917"/>
      <c r="D82" s="20">
        <f t="shared" si="64"/>
        <v>1651887000</v>
      </c>
      <c r="E82" s="98">
        <f t="shared" si="65"/>
        <v>1651887000</v>
      </c>
      <c r="F82" s="21">
        <f t="shared" si="60"/>
        <v>26650000</v>
      </c>
      <c r="G82" s="341"/>
      <c r="H82" s="341"/>
      <c r="I82" s="341"/>
      <c r="J82" s="341">
        <v>0</v>
      </c>
      <c r="K82" s="341">
        <v>0</v>
      </c>
      <c r="L82" s="1"/>
      <c r="M82" s="341"/>
      <c r="N82" s="341"/>
      <c r="O82" s="341"/>
      <c r="P82" s="341"/>
      <c r="Q82" s="1"/>
      <c r="R82" s="1">
        <v>150000</v>
      </c>
      <c r="S82" s="1"/>
      <c r="T82" s="1">
        <v>6000000</v>
      </c>
      <c r="U82" s="1"/>
      <c r="V82" s="1"/>
      <c r="W82" s="1">
        <v>500000</v>
      </c>
      <c r="X82" s="1">
        <v>20000000</v>
      </c>
      <c r="Y82" s="1"/>
      <c r="Z82" s="10">
        <f t="shared" si="66"/>
        <v>0</v>
      </c>
      <c r="AA82" s="8"/>
      <c r="AB82" s="8"/>
      <c r="AC82" s="8"/>
      <c r="AD82" s="8"/>
      <c r="AE82" s="8"/>
      <c r="AF82" s="2">
        <f t="shared" si="67"/>
        <v>0</v>
      </c>
      <c r="AG82" s="343">
        <v>0</v>
      </c>
      <c r="AH82" s="9">
        <v>0</v>
      </c>
      <c r="AI82" s="9">
        <v>0</v>
      </c>
      <c r="AJ82" s="9">
        <v>0</v>
      </c>
      <c r="AK82" s="34">
        <f t="shared" si="68"/>
        <v>1625237000</v>
      </c>
      <c r="AL82" s="12">
        <v>1625237000</v>
      </c>
      <c r="AM82" s="30">
        <f t="shared" si="69"/>
        <v>0</v>
      </c>
      <c r="AN82" s="317">
        <v>0</v>
      </c>
      <c r="AO82" s="12">
        <v>0</v>
      </c>
      <c r="AP82" s="12">
        <v>0</v>
      </c>
      <c r="AQ82" s="12">
        <v>0</v>
      </c>
    </row>
    <row r="83" spans="1:43" ht="15.75" customHeight="1" x14ac:dyDescent="0.3">
      <c r="A83" s="47" t="s">
        <v>132</v>
      </c>
      <c r="B83" s="1903" t="s">
        <v>133</v>
      </c>
      <c r="C83" s="1904"/>
      <c r="D83" s="20">
        <f t="shared" si="64"/>
        <v>396000</v>
      </c>
      <c r="E83" s="98">
        <f t="shared" si="65"/>
        <v>396000</v>
      </c>
      <c r="F83" s="21">
        <f t="shared" si="60"/>
        <v>396000</v>
      </c>
      <c r="G83" s="341"/>
      <c r="H83" s="341">
        <v>96000</v>
      </c>
      <c r="I83" s="341"/>
      <c r="J83" s="341"/>
      <c r="K83" s="341"/>
      <c r="L83" s="1"/>
      <c r="M83" s="341"/>
      <c r="N83" s="341"/>
      <c r="O83" s="341"/>
      <c r="P83" s="341"/>
      <c r="Q83" s="1"/>
      <c r="R83" s="1">
        <v>300000</v>
      </c>
      <c r="S83" s="1"/>
      <c r="T83" s="1"/>
      <c r="U83" s="1"/>
      <c r="V83" s="1"/>
      <c r="W83" s="1"/>
      <c r="X83" s="1"/>
      <c r="Y83" s="1"/>
      <c r="Z83" s="10">
        <f t="shared" si="66"/>
        <v>0</v>
      </c>
      <c r="AA83" s="8"/>
      <c r="AB83" s="8"/>
      <c r="AC83" s="8"/>
      <c r="AD83" s="8"/>
      <c r="AE83" s="8"/>
      <c r="AF83" s="2">
        <f t="shared" si="67"/>
        <v>0</v>
      </c>
      <c r="AG83" s="352">
        <v>0</v>
      </c>
      <c r="AH83" s="15">
        <v>0</v>
      </c>
      <c r="AI83" s="15">
        <v>0</v>
      </c>
      <c r="AJ83" s="15">
        <v>0</v>
      </c>
      <c r="AK83" s="34">
        <f t="shared" si="68"/>
        <v>0</v>
      </c>
      <c r="AL83" s="15">
        <v>0</v>
      </c>
      <c r="AM83" s="30">
        <f t="shared" si="69"/>
        <v>0</v>
      </c>
      <c r="AN83" s="319">
        <v>0</v>
      </c>
      <c r="AO83" s="15">
        <v>0</v>
      </c>
      <c r="AP83" s="15">
        <v>0</v>
      </c>
      <c r="AQ83" s="15"/>
    </row>
    <row r="84" spans="1:43" ht="15" customHeight="1" x14ac:dyDescent="0.3">
      <c r="A84" s="47"/>
      <c r="B84" s="381"/>
      <c r="C84" s="99"/>
      <c r="D84" s="20"/>
      <c r="E84" s="98"/>
      <c r="F84" s="21"/>
      <c r="G84" s="341"/>
      <c r="H84" s="341"/>
      <c r="I84" s="341"/>
      <c r="J84" s="341"/>
      <c r="K84" s="341"/>
      <c r="L84" s="1"/>
      <c r="M84" s="341"/>
      <c r="N84" s="341"/>
      <c r="O84" s="341"/>
      <c r="P84" s="341"/>
      <c r="Q84" s="1"/>
      <c r="R84" s="1"/>
      <c r="S84" s="1"/>
      <c r="T84" s="1"/>
      <c r="U84" s="1"/>
      <c r="V84" s="1"/>
      <c r="W84" s="1"/>
      <c r="X84" s="1"/>
      <c r="Y84" s="1"/>
      <c r="Z84" s="175"/>
      <c r="AA84" s="5"/>
      <c r="AB84" s="5"/>
      <c r="AC84" s="5"/>
      <c r="AD84" s="5"/>
      <c r="AE84" s="5"/>
      <c r="AF84" s="2" t="s">
        <v>0</v>
      </c>
      <c r="AG84" s="352"/>
      <c r="AH84" s="15" t="s">
        <v>0</v>
      </c>
      <c r="AI84" s="15" t="s">
        <v>0</v>
      </c>
      <c r="AJ84" s="15" t="s">
        <v>0</v>
      </c>
      <c r="AK84" s="34"/>
      <c r="AL84" s="15" t="s">
        <v>0</v>
      </c>
      <c r="AM84" s="94" t="s">
        <v>0</v>
      </c>
      <c r="AN84" s="319" t="s">
        <v>0</v>
      </c>
      <c r="AO84" s="15" t="s">
        <v>0</v>
      </c>
      <c r="AP84" s="15" t="s">
        <v>0</v>
      </c>
      <c r="AQ84" s="15" t="s">
        <v>0</v>
      </c>
    </row>
    <row r="85" spans="1:43" ht="15.75" customHeight="1" x14ac:dyDescent="0.3">
      <c r="A85" s="40" t="s">
        <v>134</v>
      </c>
      <c r="B85" s="1912" t="s">
        <v>135</v>
      </c>
      <c r="C85" s="1919"/>
      <c r="D85" s="21">
        <f>SUM(D86:D92)</f>
        <v>2464511713</v>
      </c>
      <c r="E85" s="71">
        <f>SUM(E86:E92)</f>
        <v>2464511713</v>
      </c>
      <c r="F85" s="21">
        <f t="shared" ref="F85:F92" si="70">SUM(G85:Y85)</f>
        <v>420250000</v>
      </c>
      <c r="G85" s="23">
        <f t="shared" ref="G85:Z85" si="71">SUM(G86:G92)</f>
        <v>0</v>
      </c>
      <c r="H85" s="23">
        <f t="shared" si="71"/>
        <v>7500000</v>
      </c>
      <c r="I85" s="23">
        <f t="shared" si="71"/>
        <v>12000000</v>
      </c>
      <c r="J85" s="23">
        <f t="shared" si="71"/>
        <v>32000000</v>
      </c>
      <c r="K85" s="23">
        <f t="shared" si="71"/>
        <v>8000000</v>
      </c>
      <c r="L85" s="23">
        <f t="shared" si="71"/>
        <v>12000000</v>
      </c>
      <c r="M85" s="23">
        <f t="shared" si="71"/>
        <v>2000000</v>
      </c>
      <c r="N85" s="23">
        <f t="shared" si="71"/>
        <v>0</v>
      </c>
      <c r="O85" s="23">
        <f t="shared" si="71"/>
        <v>35000000</v>
      </c>
      <c r="P85" s="23">
        <f t="shared" si="71"/>
        <v>0</v>
      </c>
      <c r="Q85" s="23">
        <f t="shared" si="71"/>
        <v>10000000</v>
      </c>
      <c r="R85" s="23">
        <f t="shared" si="71"/>
        <v>199500000</v>
      </c>
      <c r="S85" s="23">
        <f t="shared" si="71"/>
        <v>0</v>
      </c>
      <c r="T85" s="23">
        <f>SUM(T86:T92)</f>
        <v>150000</v>
      </c>
      <c r="U85" s="23">
        <f t="shared" si="71"/>
        <v>0</v>
      </c>
      <c r="V85" s="23">
        <f>SUM(V86:V92)</f>
        <v>15000000</v>
      </c>
      <c r="W85" s="23">
        <f>SUM(W86:W92)</f>
        <v>81600000</v>
      </c>
      <c r="X85" s="23">
        <f>SUM(X86:X92)</f>
        <v>500000</v>
      </c>
      <c r="Y85" s="23">
        <f t="shared" si="71"/>
        <v>5000000</v>
      </c>
      <c r="Z85" s="9">
        <f t="shared" si="71"/>
        <v>464665242</v>
      </c>
      <c r="AA85" s="9">
        <f t="shared" ref="AA85:AF85" si="72">SUM(AA86:AA92)</f>
        <v>105000000</v>
      </c>
      <c r="AB85" s="9">
        <f t="shared" si="72"/>
        <v>102500000</v>
      </c>
      <c r="AC85" s="9">
        <f t="shared" si="72"/>
        <v>0</v>
      </c>
      <c r="AD85" s="9">
        <f t="shared" si="72"/>
        <v>256665242</v>
      </c>
      <c r="AE85" s="9">
        <f t="shared" si="72"/>
        <v>500000</v>
      </c>
      <c r="AF85" s="2">
        <f t="shared" si="72"/>
        <v>547299800</v>
      </c>
      <c r="AG85" s="353">
        <f t="shared" ref="AG85:AQ85" si="73">SUM(AG86:AG92)</f>
        <v>0</v>
      </c>
      <c r="AH85" s="18">
        <f t="shared" si="73"/>
        <v>365399800</v>
      </c>
      <c r="AI85" s="33">
        <f t="shared" si="73"/>
        <v>0</v>
      </c>
      <c r="AJ85" s="33">
        <f t="shared" si="73"/>
        <v>181900000</v>
      </c>
      <c r="AK85" s="34">
        <f t="shared" si="73"/>
        <v>1032296671</v>
      </c>
      <c r="AL85" s="33">
        <f t="shared" si="73"/>
        <v>756851671</v>
      </c>
      <c r="AM85" s="34">
        <f t="shared" si="73"/>
        <v>275445000</v>
      </c>
      <c r="AN85" s="308">
        <f>SUM(AN86:AN92)</f>
        <v>1000000</v>
      </c>
      <c r="AO85" s="33">
        <f t="shared" si="73"/>
        <v>52000000</v>
      </c>
      <c r="AP85" s="33">
        <f t="shared" si="73"/>
        <v>2000000</v>
      </c>
      <c r="AQ85" s="33">
        <f t="shared" si="73"/>
        <v>220445000</v>
      </c>
    </row>
    <row r="86" spans="1:43" ht="15.75" customHeight="1" x14ac:dyDescent="0.3">
      <c r="A86" s="46" t="s">
        <v>136</v>
      </c>
      <c r="B86" s="1903" t="s">
        <v>137</v>
      </c>
      <c r="C86" s="1904"/>
      <c r="D86" s="20">
        <f t="shared" ref="D86:D92" si="74">+F86+Z86+AF86+AK86</f>
        <v>6000000</v>
      </c>
      <c r="E86" s="98">
        <f t="shared" ref="E86:E92" si="75">SUM(G86+H86+I86+J86+K86+L86+M86+N86+O86+P86+Q86+R86+S86+T86+U86+V86+W86+X86+Y86+AA86+AB86+AC86+AD86+AE86+AG86+AH86+AI86+AJ86+AL86+AN86+AO86+AP86+AQ86)</f>
        <v>6000000</v>
      </c>
      <c r="F86" s="21">
        <f t="shared" si="70"/>
        <v>6000000</v>
      </c>
      <c r="G86" s="341"/>
      <c r="H86" s="341"/>
      <c r="I86" s="341"/>
      <c r="J86" s="341"/>
      <c r="K86" s="341">
        <v>6000000</v>
      </c>
      <c r="L86" s="1"/>
      <c r="M86" s="341">
        <v>0</v>
      </c>
      <c r="N86" s="341"/>
      <c r="O86" s="341"/>
      <c r="P86" s="341"/>
      <c r="Q86" s="1"/>
      <c r="R86" s="1"/>
      <c r="S86" s="1">
        <v>0</v>
      </c>
      <c r="T86" s="1"/>
      <c r="U86" s="1"/>
      <c r="V86" s="1"/>
      <c r="W86" s="1"/>
      <c r="X86" s="1"/>
      <c r="Y86" s="1"/>
      <c r="Z86" s="10">
        <f t="shared" ref="Z86:Z92" si="76">SUM(AA86:AE86)</f>
        <v>0</v>
      </c>
      <c r="AA86" s="8"/>
      <c r="AB86" s="8"/>
      <c r="AC86" s="8"/>
      <c r="AD86" s="8"/>
      <c r="AE86" s="8"/>
      <c r="AF86" s="2">
        <f t="shared" ref="AF86:AF92" si="77">SUM(AG86:AJ86)</f>
        <v>0</v>
      </c>
      <c r="AG86" s="352">
        <v>0</v>
      </c>
      <c r="AH86" s="15">
        <v>0</v>
      </c>
      <c r="AI86" s="15">
        <v>0</v>
      </c>
      <c r="AJ86" s="15">
        <v>0</v>
      </c>
      <c r="AK86" s="34">
        <f t="shared" ref="AK86:AK92" si="78">SUM(AL86+AM86)</f>
        <v>0</v>
      </c>
      <c r="AL86" s="15"/>
      <c r="AM86" s="30">
        <f t="shared" ref="AM86:AM92" si="79">SUM(AN86:AQ86)</f>
        <v>0</v>
      </c>
      <c r="AN86" s="319"/>
      <c r="AO86" s="15"/>
      <c r="AP86" s="15"/>
      <c r="AQ86" s="15"/>
    </row>
    <row r="87" spans="1:43" ht="15.75" customHeight="1" x14ac:dyDescent="0.3">
      <c r="A87" s="46" t="s">
        <v>138</v>
      </c>
      <c r="B87" s="1903" t="s">
        <v>139</v>
      </c>
      <c r="C87" s="1904"/>
      <c r="D87" s="20">
        <f t="shared" si="74"/>
        <v>1079311259</v>
      </c>
      <c r="E87" s="98">
        <f t="shared" si="75"/>
        <v>1079311259</v>
      </c>
      <c r="F87" s="21">
        <f t="shared" si="70"/>
        <v>126100000</v>
      </c>
      <c r="G87" s="341"/>
      <c r="H87" s="341">
        <v>7500000</v>
      </c>
      <c r="I87" s="341">
        <v>12000000</v>
      </c>
      <c r="J87" s="341">
        <v>25000000</v>
      </c>
      <c r="K87" s="341"/>
      <c r="L87" s="1"/>
      <c r="M87" s="341"/>
      <c r="N87" s="341"/>
      <c r="O87" s="341"/>
      <c r="P87" s="341">
        <v>0</v>
      </c>
      <c r="Q87" s="1"/>
      <c r="R87" s="1"/>
      <c r="S87" s="1"/>
      <c r="T87" s="1"/>
      <c r="U87" s="1"/>
      <c r="V87" s="1"/>
      <c r="W87" s="1">
        <v>81600000</v>
      </c>
      <c r="X87" s="1"/>
      <c r="Y87" s="1"/>
      <c r="Z87" s="10">
        <f t="shared" si="76"/>
        <v>107000000</v>
      </c>
      <c r="AA87" s="354">
        <v>10000000</v>
      </c>
      <c r="AB87" s="354">
        <v>25000000</v>
      </c>
      <c r="AC87" s="8"/>
      <c r="AD87" s="354">
        <v>72000000</v>
      </c>
      <c r="AE87" s="8"/>
      <c r="AF87" s="2">
        <f t="shared" si="77"/>
        <v>60588000</v>
      </c>
      <c r="AG87" s="352"/>
      <c r="AH87" s="15">
        <v>57588000</v>
      </c>
      <c r="AI87" s="15"/>
      <c r="AJ87" s="15">
        <v>3000000</v>
      </c>
      <c r="AK87" s="34">
        <f t="shared" si="78"/>
        <v>785623259</v>
      </c>
      <c r="AL87" s="15">
        <f>1041500000-421821741</f>
        <v>619678259</v>
      </c>
      <c r="AM87" s="30">
        <f t="shared" si="79"/>
        <v>165945000</v>
      </c>
      <c r="AN87" s="319"/>
      <c r="AO87" s="15"/>
      <c r="AP87" s="15"/>
      <c r="AQ87" s="15">
        <f>25000000+130000000+10945000</f>
        <v>165945000</v>
      </c>
    </row>
    <row r="88" spans="1:43" ht="15.75" customHeight="1" x14ac:dyDescent="0.3">
      <c r="A88" s="46" t="s">
        <v>140</v>
      </c>
      <c r="B88" s="1903" t="s">
        <v>141</v>
      </c>
      <c r="C88" s="1904"/>
      <c r="D88" s="20">
        <f t="shared" si="74"/>
        <v>769265254</v>
      </c>
      <c r="E88" s="98">
        <f t="shared" si="75"/>
        <v>769265254</v>
      </c>
      <c r="F88" s="21">
        <f t="shared" si="70"/>
        <v>1000000</v>
      </c>
      <c r="G88" s="341"/>
      <c r="H88" s="341"/>
      <c r="I88" s="341"/>
      <c r="J88" s="341"/>
      <c r="K88" s="341">
        <v>1000000</v>
      </c>
      <c r="L88" s="1"/>
      <c r="M88" s="341"/>
      <c r="N88" s="341"/>
      <c r="O88" s="341"/>
      <c r="P88" s="341">
        <v>0</v>
      </c>
      <c r="Q88" s="1"/>
      <c r="R88" s="1"/>
      <c r="S88" s="1"/>
      <c r="T88" s="1"/>
      <c r="U88" s="1"/>
      <c r="V88" s="1"/>
      <c r="W88" s="1"/>
      <c r="X88" s="1"/>
      <c r="Y88" s="1"/>
      <c r="Z88" s="10">
        <f t="shared" si="76"/>
        <v>213165242</v>
      </c>
      <c r="AA88" s="354">
        <v>80000000</v>
      </c>
      <c r="AB88" s="354">
        <v>50000000</v>
      </c>
      <c r="AC88" s="8"/>
      <c r="AD88" s="354">
        <f>100000000-16834758</f>
        <v>83165242</v>
      </c>
      <c r="AE88" s="8"/>
      <c r="AF88" s="2">
        <f t="shared" si="77"/>
        <v>401551600</v>
      </c>
      <c r="AG88" s="352">
        <v>0</v>
      </c>
      <c r="AH88" s="15">
        <v>295551600</v>
      </c>
      <c r="AI88" s="15"/>
      <c r="AJ88" s="15">
        <v>106000000</v>
      </c>
      <c r="AK88" s="34">
        <f t="shared" si="78"/>
        <v>153548412</v>
      </c>
      <c r="AL88" s="15">
        <f>423000000-321951588</f>
        <v>101048412</v>
      </c>
      <c r="AM88" s="30">
        <f t="shared" si="79"/>
        <v>52500000</v>
      </c>
      <c r="AN88" s="319"/>
      <c r="AO88" s="15"/>
      <c r="AP88" s="15"/>
      <c r="AQ88" s="15">
        <f>7000000+17000000+28500000</f>
        <v>52500000</v>
      </c>
    </row>
    <row r="89" spans="1:43" ht="15.75" customHeight="1" x14ac:dyDescent="0.3">
      <c r="A89" s="46" t="s">
        <v>142</v>
      </c>
      <c r="B89" s="1903" t="s">
        <v>143</v>
      </c>
      <c r="C89" s="1904"/>
      <c r="D89" s="20">
        <f t="shared" si="74"/>
        <v>313160200</v>
      </c>
      <c r="E89" s="98">
        <f t="shared" si="75"/>
        <v>313160200</v>
      </c>
      <c r="F89" s="21">
        <f t="shared" si="70"/>
        <v>74000000</v>
      </c>
      <c r="G89" s="341"/>
      <c r="H89" s="341"/>
      <c r="I89" s="341"/>
      <c r="J89" s="341">
        <v>2000000</v>
      </c>
      <c r="K89" s="341"/>
      <c r="L89" s="1">
        <v>10000000</v>
      </c>
      <c r="M89" s="341">
        <v>2000000</v>
      </c>
      <c r="N89" s="341"/>
      <c r="O89" s="341">
        <v>35000000</v>
      </c>
      <c r="P89" s="341">
        <v>0</v>
      </c>
      <c r="Q89" s="1">
        <v>10000000</v>
      </c>
      <c r="R89" s="1"/>
      <c r="S89" s="1"/>
      <c r="T89" s="1"/>
      <c r="U89" s="1"/>
      <c r="V89" s="1">
        <v>15000000</v>
      </c>
      <c r="W89" s="1"/>
      <c r="X89" s="1"/>
      <c r="Y89" s="1"/>
      <c r="Z89" s="10">
        <f t="shared" si="76"/>
        <v>140000000</v>
      </c>
      <c r="AA89" s="354">
        <v>15000000</v>
      </c>
      <c r="AB89" s="354">
        <v>25000000</v>
      </c>
      <c r="AC89" s="8"/>
      <c r="AD89" s="354">
        <v>100000000</v>
      </c>
      <c r="AE89" s="8"/>
      <c r="AF89" s="2">
        <f t="shared" si="77"/>
        <v>67160200</v>
      </c>
      <c r="AG89" s="352"/>
      <c r="AH89" s="15">
        <v>12260200</v>
      </c>
      <c r="AI89" s="15"/>
      <c r="AJ89" s="15">
        <v>54900000</v>
      </c>
      <c r="AK89" s="34">
        <f t="shared" si="78"/>
        <v>32000000</v>
      </c>
      <c r="AL89" s="15">
        <v>12000000</v>
      </c>
      <c r="AM89" s="30">
        <f t="shared" si="79"/>
        <v>20000000</v>
      </c>
      <c r="AN89" s="319"/>
      <c r="AO89" s="15">
        <v>20000000</v>
      </c>
      <c r="AP89" s="15"/>
      <c r="AQ89" s="15"/>
    </row>
    <row r="90" spans="1:43" ht="15.75" hidden="1" customHeight="1" x14ac:dyDescent="0.3">
      <c r="A90" s="46" t="s">
        <v>144</v>
      </c>
      <c r="B90" s="1903" t="s">
        <v>145</v>
      </c>
      <c r="C90" s="1904"/>
      <c r="D90" s="20">
        <f t="shared" si="74"/>
        <v>0</v>
      </c>
      <c r="E90" s="98">
        <f t="shared" si="75"/>
        <v>0</v>
      </c>
      <c r="F90" s="21">
        <f t="shared" si="70"/>
        <v>0</v>
      </c>
      <c r="G90" s="341"/>
      <c r="H90" s="341"/>
      <c r="I90" s="341"/>
      <c r="J90" s="341"/>
      <c r="K90" s="341"/>
      <c r="L90" s="1"/>
      <c r="M90" s="341"/>
      <c r="N90" s="341"/>
      <c r="O90" s="341"/>
      <c r="P90" s="341"/>
      <c r="Q90" s="1"/>
      <c r="R90" s="1"/>
      <c r="S90" s="1"/>
      <c r="T90" s="1"/>
      <c r="U90" s="1"/>
      <c r="V90" s="1"/>
      <c r="W90" s="1"/>
      <c r="X90" s="1"/>
      <c r="Y90" s="1"/>
      <c r="Z90" s="10">
        <f t="shared" si="76"/>
        <v>0</v>
      </c>
      <c r="AA90" s="8"/>
      <c r="AB90" s="8"/>
      <c r="AC90" s="8"/>
      <c r="AD90" s="8"/>
      <c r="AE90" s="8"/>
      <c r="AF90" s="2">
        <f t="shared" si="77"/>
        <v>0</v>
      </c>
      <c r="AG90" s="339"/>
      <c r="AH90" s="13"/>
      <c r="AI90" s="13"/>
      <c r="AJ90" s="13"/>
      <c r="AK90" s="34">
        <f t="shared" si="78"/>
        <v>0</v>
      </c>
      <c r="AL90" s="13"/>
      <c r="AM90" s="30">
        <f t="shared" si="79"/>
        <v>0</v>
      </c>
      <c r="AN90" s="309"/>
      <c r="AO90" s="13"/>
      <c r="AP90" s="13"/>
      <c r="AQ90" s="13"/>
    </row>
    <row r="91" spans="1:43" ht="15.75" customHeight="1" x14ac:dyDescent="0.3">
      <c r="A91" s="46" t="s">
        <v>146</v>
      </c>
      <c r="B91" s="1903" t="s">
        <v>147</v>
      </c>
      <c r="C91" s="1904"/>
      <c r="D91" s="20">
        <f t="shared" si="74"/>
        <v>226250000</v>
      </c>
      <c r="E91" s="98">
        <f t="shared" si="75"/>
        <v>226250000</v>
      </c>
      <c r="F91" s="21">
        <f t="shared" si="70"/>
        <v>195250000</v>
      </c>
      <c r="G91" s="341"/>
      <c r="H91" s="341"/>
      <c r="I91" s="341"/>
      <c r="J91" s="341"/>
      <c r="K91" s="341">
        <v>1000000</v>
      </c>
      <c r="L91" s="1"/>
      <c r="M91" s="341">
        <v>0</v>
      </c>
      <c r="N91" s="341"/>
      <c r="O91" s="341"/>
      <c r="P91" s="341"/>
      <c r="Q91" s="1"/>
      <c r="R91" s="1">
        <v>193600000</v>
      </c>
      <c r="S91" s="1"/>
      <c r="T91" s="1">
        <v>150000</v>
      </c>
      <c r="U91" s="1"/>
      <c r="V91" s="1"/>
      <c r="W91" s="1"/>
      <c r="X91" s="1">
        <v>500000</v>
      </c>
      <c r="Y91" s="1"/>
      <c r="Z91" s="10">
        <f t="shared" si="76"/>
        <v>3500000</v>
      </c>
      <c r="AA91" s="8"/>
      <c r="AB91" s="8">
        <v>1500000</v>
      </c>
      <c r="AC91" s="8"/>
      <c r="AD91" s="8">
        <v>1500000</v>
      </c>
      <c r="AE91" s="8">
        <v>500000</v>
      </c>
      <c r="AF91" s="2">
        <f t="shared" si="77"/>
        <v>18000000</v>
      </c>
      <c r="AG91" s="343">
        <v>0</v>
      </c>
      <c r="AH91" s="9"/>
      <c r="AI91" s="12"/>
      <c r="AJ91" s="12">
        <v>18000000</v>
      </c>
      <c r="AK91" s="34">
        <f t="shared" si="78"/>
        <v>9500000</v>
      </c>
      <c r="AL91" s="12">
        <v>8500000</v>
      </c>
      <c r="AM91" s="30">
        <f t="shared" si="79"/>
        <v>1000000</v>
      </c>
      <c r="AN91" s="317"/>
      <c r="AO91" s="12"/>
      <c r="AP91" s="12">
        <v>1000000</v>
      </c>
      <c r="AQ91" s="12"/>
    </row>
    <row r="92" spans="1:43" ht="15.75" customHeight="1" x14ac:dyDescent="0.3">
      <c r="A92" s="46" t="s">
        <v>148</v>
      </c>
      <c r="B92" s="1903" t="s">
        <v>149</v>
      </c>
      <c r="C92" s="1904"/>
      <c r="D92" s="20">
        <f t="shared" si="74"/>
        <v>70525000</v>
      </c>
      <c r="E92" s="98">
        <f t="shared" si="75"/>
        <v>70525000</v>
      </c>
      <c r="F92" s="21">
        <f t="shared" si="70"/>
        <v>17900000</v>
      </c>
      <c r="G92" s="341"/>
      <c r="H92" s="341">
        <v>0</v>
      </c>
      <c r="I92" s="341"/>
      <c r="J92" s="341">
        <v>5000000</v>
      </c>
      <c r="K92" s="341"/>
      <c r="L92" s="1">
        <v>2000000</v>
      </c>
      <c r="M92" s="341">
        <v>0</v>
      </c>
      <c r="N92" s="341"/>
      <c r="O92" s="341"/>
      <c r="P92" s="341"/>
      <c r="Q92" s="1"/>
      <c r="R92" s="1">
        <v>5900000</v>
      </c>
      <c r="S92" s="1"/>
      <c r="T92" s="1"/>
      <c r="U92" s="1"/>
      <c r="V92" s="1"/>
      <c r="W92" s="1"/>
      <c r="X92" s="1"/>
      <c r="Y92" s="1">
        <v>5000000</v>
      </c>
      <c r="Z92" s="10">
        <f t="shared" si="76"/>
        <v>1000000</v>
      </c>
      <c r="AA92" s="8"/>
      <c r="AB92" s="8">
        <v>1000000</v>
      </c>
      <c r="AC92" s="8"/>
      <c r="AD92" s="8"/>
      <c r="AE92" s="8"/>
      <c r="AF92" s="2">
        <f t="shared" si="77"/>
        <v>0</v>
      </c>
      <c r="AG92" s="352">
        <v>0</v>
      </c>
      <c r="AH92" s="15">
        <v>0</v>
      </c>
      <c r="AI92" s="15">
        <v>0</v>
      </c>
      <c r="AJ92" s="15">
        <v>0</v>
      </c>
      <c r="AK92" s="34">
        <f t="shared" si="78"/>
        <v>51625000</v>
      </c>
      <c r="AL92" s="15">
        <v>15625000</v>
      </c>
      <c r="AM92" s="30">
        <f t="shared" si="79"/>
        <v>36000000</v>
      </c>
      <c r="AN92" s="319">
        <v>1000000</v>
      </c>
      <c r="AO92" s="15">
        <v>32000000</v>
      </c>
      <c r="AP92" s="15">
        <v>1000000</v>
      </c>
      <c r="AQ92" s="15">
        <v>2000000</v>
      </c>
    </row>
    <row r="93" spans="1:43" ht="15.75" customHeight="1" x14ac:dyDescent="0.3">
      <c r="A93" s="46"/>
      <c r="B93" s="381"/>
      <c r="C93" s="99"/>
      <c r="D93" s="20"/>
      <c r="E93" s="98"/>
      <c r="F93" s="21"/>
      <c r="G93" s="341"/>
      <c r="H93" s="341"/>
      <c r="I93" s="341"/>
      <c r="J93" s="341"/>
      <c r="K93" s="341"/>
      <c r="L93" s="1"/>
      <c r="M93" s="341"/>
      <c r="N93" s="341"/>
      <c r="O93" s="341"/>
      <c r="P93" s="341"/>
      <c r="Q93" s="1"/>
      <c r="R93" s="1"/>
      <c r="S93" s="1"/>
      <c r="T93" s="1"/>
      <c r="U93" s="1"/>
      <c r="V93" s="1"/>
      <c r="W93" s="1"/>
      <c r="X93" s="1"/>
      <c r="Y93" s="1"/>
      <c r="Z93" s="175"/>
      <c r="AA93" s="5"/>
      <c r="AB93" s="5"/>
      <c r="AC93" s="5"/>
      <c r="AD93" s="5"/>
      <c r="AE93" s="5"/>
      <c r="AF93" s="2" t="s">
        <v>0</v>
      </c>
      <c r="AG93" s="352" t="s">
        <v>0</v>
      </c>
      <c r="AH93" s="15" t="s">
        <v>0</v>
      </c>
      <c r="AI93" s="15" t="s">
        <v>0</v>
      </c>
      <c r="AJ93" s="15" t="s">
        <v>0</v>
      </c>
      <c r="AK93" s="34"/>
      <c r="AL93" s="15"/>
      <c r="AM93" s="94"/>
      <c r="AN93" s="319"/>
      <c r="AO93" s="15"/>
      <c r="AP93" s="15"/>
      <c r="AQ93" s="15"/>
    </row>
    <row r="94" spans="1:43" ht="15.75" customHeight="1" x14ac:dyDescent="0.3">
      <c r="A94" s="40" t="s">
        <v>150</v>
      </c>
      <c r="B94" s="1912" t="s">
        <v>151</v>
      </c>
      <c r="C94" s="1918"/>
      <c r="D94" s="21">
        <f>SUM(D95:D98)</f>
        <v>36928300</v>
      </c>
      <c r="E94" s="71">
        <f>SUM(E95:E97)</f>
        <v>36928300</v>
      </c>
      <c r="F94" s="21">
        <f>SUM(G94:Y94)</f>
        <v>10720000</v>
      </c>
      <c r="G94" s="23">
        <f t="shared" ref="G94:Y94" si="80">SUM(G95:G98)</f>
        <v>0</v>
      </c>
      <c r="H94" s="23">
        <f t="shared" si="80"/>
        <v>100000</v>
      </c>
      <c r="I94" s="23">
        <f t="shared" si="80"/>
        <v>2000000</v>
      </c>
      <c r="J94" s="23">
        <f t="shared" si="80"/>
        <v>50000</v>
      </c>
      <c r="K94" s="23">
        <f t="shared" si="80"/>
        <v>50000</v>
      </c>
      <c r="L94" s="23">
        <f t="shared" si="80"/>
        <v>0</v>
      </c>
      <c r="M94" s="23">
        <f t="shared" si="80"/>
        <v>50000</v>
      </c>
      <c r="N94" s="23">
        <f t="shared" si="80"/>
        <v>200000</v>
      </c>
      <c r="O94" s="23">
        <f t="shared" si="80"/>
        <v>0</v>
      </c>
      <c r="P94" s="23">
        <f t="shared" si="80"/>
        <v>720000</v>
      </c>
      <c r="Q94" s="23">
        <f t="shared" si="80"/>
        <v>0</v>
      </c>
      <c r="R94" s="23">
        <f t="shared" si="80"/>
        <v>7400000</v>
      </c>
      <c r="S94" s="23">
        <f t="shared" si="80"/>
        <v>0</v>
      </c>
      <c r="T94" s="23">
        <f>SUM(T95:T98)</f>
        <v>0</v>
      </c>
      <c r="U94" s="23">
        <f t="shared" si="80"/>
        <v>0</v>
      </c>
      <c r="V94" s="23">
        <f>SUM(V95:V98)</f>
        <v>0</v>
      </c>
      <c r="W94" s="23">
        <f>SUM(W95:W98)</f>
        <v>150000</v>
      </c>
      <c r="X94" s="23">
        <f>SUM(X95:X98)</f>
        <v>0</v>
      </c>
      <c r="Y94" s="23">
        <f t="shared" si="80"/>
        <v>0</v>
      </c>
      <c r="Z94" s="9">
        <f t="shared" ref="Z94:AE94" si="81">SUM(Z95:Z97)</f>
        <v>15690000</v>
      </c>
      <c r="AA94" s="9">
        <f t="shared" si="81"/>
        <v>290000</v>
      </c>
      <c r="AB94" s="9">
        <f t="shared" si="81"/>
        <v>3500000</v>
      </c>
      <c r="AC94" s="9">
        <f t="shared" si="81"/>
        <v>1300000</v>
      </c>
      <c r="AD94" s="9">
        <f t="shared" si="81"/>
        <v>6100000</v>
      </c>
      <c r="AE94" s="9">
        <f t="shared" si="81"/>
        <v>4500000</v>
      </c>
      <c r="AF94" s="2">
        <f>SUM(AF95:AF98)</f>
        <v>5708300</v>
      </c>
      <c r="AG94" s="353">
        <f t="shared" ref="AG94:AQ94" si="82">SUM(AG95:AG98)</f>
        <v>415000</v>
      </c>
      <c r="AH94" s="18">
        <f t="shared" si="82"/>
        <v>2167300</v>
      </c>
      <c r="AI94" s="33">
        <f t="shared" si="82"/>
        <v>26000</v>
      </c>
      <c r="AJ94" s="33">
        <f t="shared" si="82"/>
        <v>3100000</v>
      </c>
      <c r="AK94" s="34">
        <f t="shared" si="82"/>
        <v>4810000</v>
      </c>
      <c r="AL94" s="33">
        <f t="shared" si="82"/>
        <v>860000</v>
      </c>
      <c r="AM94" s="34">
        <f t="shared" si="82"/>
        <v>3950000</v>
      </c>
      <c r="AN94" s="308">
        <f>SUM(AN95:AN98)</f>
        <v>250000</v>
      </c>
      <c r="AO94" s="33">
        <f t="shared" si="82"/>
        <v>300000</v>
      </c>
      <c r="AP94" s="33">
        <f t="shared" si="82"/>
        <v>600000</v>
      </c>
      <c r="AQ94" s="33">
        <f t="shared" si="82"/>
        <v>2800000</v>
      </c>
    </row>
    <row r="95" spans="1:43" ht="15.75" customHeight="1" x14ac:dyDescent="0.3">
      <c r="A95" s="46" t="s">
        <v>152</v>
      </c>
      <c r="B95" s="1903" t="s">
        <v>153</v>
      </c>
      <c r="C95" s="1904"/>
      <c r="D95" s="20">
        <f t="shared" ref="D95:D97" si="83">+F95+Z95+AF95+AK95</f>
        <v>3091000</v>
      </c>
      <c r="E95" s="98">
        <f>SUM(F95+Z95+AF95+AK95)</f>
        <v>3091000</v>
      </c>
      <c r="F95" s="21">
        <f>SUM(G95:Y95)</f>
        <v>1170000</v>
      </c>
      <c r="G95" s="341"/>
      <c r="H95" s="341">
        <v>0</v>
      </c>
      <c r="I95" s="341"/>
      <c r="J95" s="341"/>
      <c r="K95" s="341"/>
      <c r="L95" s="1"/>
      <c r="M95" s="341"/>
      <c r="N95" s="341">
        <v>100000</v>
      </c>
      <c r="O95" s="341"/>
      <c r="P95" s="341">
        <v>120000</v>
      </c>
      <c r="Q95" s="1"/>
      <c r="R95" s="1">
        <v>900000</v>
      </c>
      <c r="S95" s="1"/>
      <c r="T95" s="1"/>
      <c r="U95" s="1"/>
      <c r="V95" s="1"/>
      <c r="W95" s="1">
        <v>50000</v>
      </c>
      <c r="X95" s="1"/>
      <c r="Y95" s="1"/>
      <c r="Z95" s="10">
        <f>SUM(AA95:AE95)</f>
        <v>1140000</v>
      </c>
      <c r="AA95" s="8">
        <v>40000</v>
      </c>
      <c r="AB95" s="8">
        <v>500000</v>
      </c>
      <c r="AC95" s="8"/>
      <c r="AD95" s="8">
        <v>100000</v>
      </c>
      <c r="AE95" s="8">
        <v>500000</v>
      </c>
      <c r="AF95" s="2">
        <f>SUM(AG95:AJ95)</f>
        <v>171000</v>
      </c>
      <c r="AG95" s="352">
        <v>15000</v>
      </c>
      <c r="AH95" s="15">
        <v>50000</v>
      </c>
      <c r="AI95" s="15">
        <v>6000</v>
      </c>
      <c r="AJ95" s="15">
        <v>100000</v>
      </c>
      <c r="AK95" s="34">
        <f>SUM(AL95+AM95)</f>
        <v>610000</v>
      </c>
      <c r="AL95" s="15">
        <v>160000</v>
      </c>
      <c r="AM95" s="93">
        <f>SUM(AN95:AQ95)</f>
        <v>450000</v>
      </c>
      <c r="AN95" s="319"/>
      <c r="AO95" s="15">
        <v>50000</v>
      </c>
      <c r="AP95" s="15">
        <v>100000</v>
      </c>
      <c r="AQ95" s="15">
        <v>300000</v>
      </c>
    </row>
    <row r="96" spans="1:43" ht="15.75" customHeight="1" x14ac:dyDescent="0.3">
      <c r="A96" s="46" t="s">
        <v>154</v>
      </c>
      <c r="B96" s="1903" t="s">
        <v>155</v>
      </c>
      <c r="C96" s="1904"/>
      <c r="D96" s="20">
        <f t="shared" si="83"/>
        <v>32837300</v>
      </c>
      <c r="E96" s="98">
        <f>SUM(F96+Z96+AF96+AK96)</f>
        <v>32837300</v>
      </c>
      <c r="F96" s="21">
        <f>SUM(G96:Y96)</f>
        <v>9550000</v>
      </c>
      <c r="G96" s="341"/>
      <c r="H96" s="341">
        <v>100000</v>
      </c>
      <c r="I96" s="341">
        <v>2000000</v>
      </c>
      <c r="J96" s="341">
        <v>50000</v>
      </c>
      <c r="K96" s="341">
        <v>50000</v>
      </c>
      <c r="L96" s="1"/>
      <c r="M96" s="341">
        <v>50000</v>
      </c>
      <c r="N96" s="341">
        <v>100000</v>
      </c>
      <c r="O96" s="341"/>
      <c r="P96" s="341">
        <v>600000</v>
      </c>
      <c r="Q96" s="1"/>
      <c r="R96" s="1">
        <v>6500000</v>
      </c>
      <c r="S96" s="1"/>
      <c r="T96" s="1"/>
      <c r="U96" s="1"/>
      <c r="V96" s="1"/>
      <c r="W96" s="1">
        <v>100000</v>
      </c>
      <c r="X96" s="1"/>
      <c r="Y96" s="1"/>
      <c r="Z96" s="10">
        <f>SUM(AA96:AE96)</f>
        <v>13550000</v>
      </c>
      <c r="AA96" s="8">
        <v>250000</v>
      </c>
      <c r="AB96" s="8">
        <v>3000000</v>
      </c>
      <c r="AC96" s="8">
        <v>1300000</v>
      </c>
      <c r="AD96" s="8">
        <v>6000000</v>
      </c>
      <c r="AE96" s="8">
        <v>3000000</v>
      </c>
      <c r="AF96" s="2">
        <f>SUM(AG96:AJ96)</f>
        <v>5537300</v>
      </c>
      <c r="AG96" s="344">
        <v>400000</v>
      </c>
      <c r="AH96" s="8">
        <v>2117300</v>
      </c>
      <c r="AI96" s="8">
        <v>20000</v>
      </c>
      <c r="AJ96" s="8">
        <v>3000000</v>
      </c>
      <c r="AK96" s="34">
        <f>SUM(AL96+AM96)</f>
        <v>4200000</v>
      </c>
      <c r="AL96" s="8">
        <v>700000</v>
      </c>
      <c r="AM96" s="93">
        <f>SUM(AN96:AQ96)</f>
        <v>3500000</v>
      </c>
      <c r="AN96" s="316">
        <v>250000</v>
      </c>
      <c r="AO96" s="8">
        <v>250000</v>
      </c>
      <c r="AP96" s="8">
        <v>500000</v>
      </c>
      <c r="AQ96" s="8">
        <v>2500000</v>
      </c>
    </row>
    <row r="97" spans="1:43" ht="15.75" customHeight="1" x14ac:dyDescent="0.3">
      <c r="A97" s="46" t="s">
        <v>156</v>
      </c>
      <c r="B97" s="1903" t="s">
        <v>157</v>
      </c>
      <c r="C97" s="1904"/>
      <c r="D97" s="20">
        <f t="shared" si="83"/>
        <v>1000000</v>
      </c>
      <c r="E97" s="98">
        <f>SUM(F97+Z97+AF97+AK97)</f>
        <v>1000000</v>
      </c>
      <c r="F97" s="21">
        <f>SUM(G97:Y97)</f>
        <v>0</v>
      </c>
      <c r="G97" s="341">
        <v>0</v>
      </c>
      <c r="H97" s="341"/>
      <c r="I97" s="341"/>
      <c r="J97" s="341"/>
      <c r="K97" s="341"/>
      <c r="L97" s="1"/>
      <c r="M97" s="341"/>
      <c r="N97" s="341"/>
      <c r="O97" s="341"/>
      <c r="P97" s="341"/>
      <c r="Q97" s="1"/>
      <c r="R97" s="1"/>
      <c r="S97" s="1"/>
      <c r="T97" s="1"/>
      <c r="U97" s="1"/>
      <c r="V97" s="1"/>
      <c r="W97" s="1"/>
      <c r="X97" s="1"/>
      <c r="Y97" s="1"/>
      <c r="Z97" s="10">
        <f>SUM(AA97:AE97)</f>
        <v>1000000</v>
      </c>
      <c r="AA97" s="8"/>
      <c r="AB97" s="8"/>
      <c r="AC97" s="8"/>
      <c r="AD97" s="8"/>
      <c r="AE97" s="354">
        <v>1000000</v>
      </c>
      <c r="AF97" s="2">
        <f>SUM(AG97:AJ97)</f>
        <v>0</v>
      </c>
      <c r="AG97" s="340">
        <v>0</v>
      </c>
      <c r="AH97" s="2">
        <v>0</v>
      </c>
      <c r="AI97" s="2">
        <v>0</v>
      </c>
      <c r="AJ97" s="2">
        <v>0</v>
      </c>
      <c r="AK97" s="34">
        <f>SUM(AL97+AM97)</f>
        <v>0</v>
      </c>
      <c r="AL97" s="11"/>
      <c r="AM97" s="93">
        <f>SUM(AN97:AQ97)</f>
        <v>0</v>
      </c>
      <c r="AN97" s="307"/>
      <c r="AO97" s="11"/>
      <c r="AP97" s="11"/>
      <c r="AQ97" s="11"/>
    </row>
    <row r="98" spans="1:43" ht="15.75" hidden="1" customHeight="1" x14ac:dyDescent="0.3">
      <c r="A98" s="46" t="s">
        <v>158</v>
      </c>
      <c r="B98" s="1903" t="s">
        <v>159</v>
      </c>
      <c r="C98" s="1904"/>
      <c r="D98" s="20">
        <f>+F98+Z98+AF98+AK98</f>
        <v>0</v>
      </c>
      <c r="E98" s="98">
        <f>SUM(F98+Z98+AF98+AK98)</f>
        <v>0</v>
      </c>
      <c r="F98" s="21">
        <f>SUM(G98:Y98)</f>
        <v>0</v>
      </c>
      <c r="G98" s="341"/>
      <c r="H98" s="341"/>
      <c r="I98" s="341"/>
      <c r="J98" s="341"/>
      <c r="K98" s="341"/>
      <c r="L98" s="1"/>
      <c r="M98" s="341"/>
      <c r="N98" s="341"/>
      <c r="O98" s="341"/>
      <c r="P98" s="341"/>
      <c r="Q98" s="1"/>
      <c r="R98" s="1"/>
      <c r="S98" s="1"/>
      <c r="T98" s="1"/>
      <c r="U98" s="1"/>
      <c r="V98" s="1"/>
      <c r="W98" s="1"/>
      <c r="X98" s="1"/>
      <c r="Y98" s="1"/>
      <c r="Z98" s="10">
        <f>SUM(AA98:AE98)</f>
        <v>0</v>
      </c>
      <c r="AA98" s="8"/>
      <c r="AB98" s="8"/>
      <c r="AC98" s="8"/>
      <c r="AD98" s="8"/>
      <c r="AE98" s="8"/>
      <c r="AF98" s="2">
        <f>SUM(AG98:AJ98)</f>
        <v>0</v>
      </c>
      <c r="AG98" s="339">
        <v>0</v>
      </c>
      <c r="AH98" s="13">
        <v>0</v>
      </c>
      <c r="AI98" s="13">
        <v>0</v>
      </c>
      <c r="AJ98" s="13">
        <v>0</v>
      </c>
      <c r="AK98" s="34">
        <f>SUM(AL98+AM98)</f>
        <v>0</v>
      </c>
      <c r="AL98" s="13"/>
      <c r="AM98" s="93">
        <f>SUM(AN98:AQ98)</f>
        <v>0</v>
      </c>
      <c r="AN98" s="309"/>
      <c r="AO98" s="13"/>
      <c r="AP98" s="13"/>
      <c r="AQ98" s="13"/>
    </row>
    <row r="99" spans="1:43" ht="15.75" customHeight="1" x14ac:dyDescent="0.3">
      <c r="A99" s="46"/>
      <c r="B99" s="381"/>
      <c r="C99" s="99"/>
      <c r="D99" s="20"/>
      <c r="E99" s="98"/>
      <c r="F99" s="21"/>
      <c r="G99" s="341"/>
      <c r="H99" s="341"/>
      <c r="I99" s="341"/>
      <c r="J99" s="341"/>
      <c r="K99" s="341"/>
      <c r="L99" s="1"/>
      <c r="M99" s="341"/>
      <c r="N99" s="341"/>
      <c r="O99" s="341"/>
      <c r="P99" s="341"/>
      <c r="Q99" s="1"/>
      <c r="R99" s="1"/>
      <c r="S99" s="1"/>
      <c r="T99" s="1"/>
      <c r="U99" s="1"/>
      <c r="V99" s="1"/>
      <c r="W99" s="1"/>
      <c r="X99" s="1"/>
      <c r="Y99" s="1"/>
      <c r="Z99" s="2">
        <f t="shared" ref="Z99:AE99" si="84">SUM(Z100:Z102)</f>
        <v>0</v>
      </c>
      <c r="AA99" s="2">
        <f t="shared" si="84"/>
        <v>0</v>
      </c>
      <c r="AB99" s="2">
        <f t="shared" si="84"/>
        <v>0</v>
      </c>
      <c r="AC99" s="2">
        <f t="shared" si="84"/>
        <v>0</v>
      </c>
      <c r="AD99" s="2">
        <f t="shared" si="84"/>
        <v>0</v>
      </c>
      <c r="AE99" s="2">
        <f t="shared" si="84"/>
        <v>0</v>
      </c>
      <c r="AF99" s="2" t="s">
        <v>0</v>
      </c>
      <c r="AG99" s="339" t="s">
        <v>0</v>
      </c>
      <c r="AH99" s="13" t="s">
        <v>0</v>
      </c>
      <c r="AI99" s="13" t="s">
        <v>0</v>
      </c>
      <c r="AJ99" s="13" t="s">
        <v>0</v>
      </c>
      <c r="AK99" s="34"/>
      <c r="AL99" s="13" t="s">
        <v>0</v>
      </c>
      <c r="AM99" s="115" t="s">
        <v>0</v>
      </c>
      <c r="AN99" s="309" t="s">
        <v>0</v>
      </c>
      <c r="AO99" s="13" t="s">
        <v>0</v>
      </c>
      <c r="AP99" s="13" t="s">
        <v>0</v>
      </c>
      <c r="AQ99" s="13" t="s">
        <v>0</v>
      </c>
    </row>
    <row r="100" spans="1:43" ht="15.75" customHeight="1" x14ac:dyDescent="0.3">
      <c r="A100" s="40" t="s">
        <v>160</v>
      </c>
      <c r="B100" s="1912" t="s">
        <v>161</v>
      </c>
      <c r="C100" s="1919"/>
      <c r="D100" s="21">
        <f>SUM(D101:D103)</f>
        <v>699557600</v>
      </c>
      <c r="E100" s="71">
        <f>SUM(E101:E103)</f>
        <v>699557600</v>
      </c>
      <c r="F100" s="21">
        <f t="shared" ref="F100:Y100" si="85">SUM(F101:F103)</f>
        <v>118400000</v>
      </c>
      <c r="G100" s="21">
        <f t="shared" si="85"/>
        <v>0</v>
      </c>
      <c r="H100" s="21">
        <f t="shared" si="85"/>
        <v>0</v>
      </c>
      <c r="I100" s="21">
        <f t="shared" si="85"/>
        <v>0</v>
      </c>
      <c r="J100" s="21">
        <f t="shared" si="85"/>
        <v>0</v>
      </c>
      <c r="K100" s="21">
        <f t="shared" si="85"/>
        <v>0</v>
      </c>
      <c r="L100" s="21">
        <f t="shared" si="85"/>
        <v>0</v>
      </c>
      <c r="M100" s="21">
        <f t="shared" si="85"/>
        <v>0</v>
      </c>
      <c r="N100" s="21">
        <f t="shared" si="85"/>
        <v>0</v>
      </c>
      <c r="O100" s="21">
        <f t="shared" si="85"/>
        <v>0</v>
      </c>
      <c r="P100" s="21">
        <f t="shared" si="85"/>
        <v>0</v>
      </c>
      <c r="Q100" s="21">
        <f t="shared" si="85"/>
        <v>0</v>
      </c>
      <c r="R100" s="21">
        <f t="shared" si="85"/>
        <v>12400000</v>
      </c>
      <c r="S100" s="21">
        <f t="shared" si="85"/>
        <v>0</v>
      </c>
      <c r="T100" s="21">
        <f>SUM(T101:T103)</f>
        <v>0</v>
      </c>
      <c r="U100" s="21">
        <f t="shared" si="85"/>
        <v>0</v>
      </c>
      <c r="V100" s="21">
        <f>SUM(V101:V103)</f>
        <v>0</v>
      </c>
      <c r="W100" s="21">
        <f>SUM(W101:W103)</f>
        <v>106000000</v>
      </c>
      <c r="X100" s="21">
        <f>SUM(X101:X103)</f>
        <v>0</v>
      </c>
      <c r="Y100" s="21">
        <f t="shared" si="85"/>
        <v>0</v>
      </c>
      <c r="Z100" s="10"/>
      <c r="AA100" s="8"/>
      <c r="AB100" s="8"/>
      <c r="AC100" s="8"/>
      <c r="AD100" s="8"/>
      <c r="AE100" s="8"/>
      <c r="AF100" s="2">
        <f>SUM(AF101:AF103)</f>
        <v>11157600</v>
      </c>
      <c r="AG100" s="343">
        <f t="shared" ref="AG100:AQ100" si="86">SUM(AG101:AG103)</f>
        <v>0</v>
      </c>
      <c r="AH100" s="14">
        <f t="shared" si="86"/>
        <v>11157600</v>
      </c>
      <c r="AI100" s="14">
        <f t="shared" si="86"/>
        <v>0</v>
      </c>
      <c r="AJ100" s="14">
        <f t="shared" si="86"/>
        <v>0</v>
      </c>
      <c r="AK100" s="34">
        <f t="shared" si="86"/>
        <v>570000000</v>
      </c>
      <c r="AL100" s="14">
        <f t="shared" si="86"/>
        <v>570000000</v>
      </c>
      <c r="AM100" s="115">
        <f t="shared" si="86"/>
        <v>0</v>
      </c>
      <c r="AN100" s="321">
        <f>SUM(AN101:AN103)</f>
        <v>0</v>
      </c>
      <c r="AO100" s="14">
        <f t="shared" si="86"/>
        <v>0</v>
      </c>
      <c r="AP100" s="14">
        <f t="shared" si="86"/>
        <v>0</v>
      </c>
      <c r="AQ100" s="14">
        <f t="shared" si="86"/>
        <v>0</v>
      </c>
    </row>
    <row r="101" spans="1:43" ht="15.75" customHeight="1" x14ac:dyDescent="0.3">
      <c r="A101" s="212" t="s">
        <v>162</v>
      </c>
      <c r="B101" s="1903" t="s">
        <v>163</v>
      </c>
      <c r="C101" s="1904"/>
      <c r="D101" s="20">
        <f t="shared" ref="D101:D103" si="87">+F101+Z101+AF101+AK101</f>
        <v>697557600</v>
      </c>
      <c r="E101" s="98">
        <f t="shared" ref="E101:E103" si="88">SUM(G101+H101+I101+J101+K101+L101+M101+N101+O101+P101+Q101+R101+S101+T101+U101+V101+W101+X101+Y101+AA101+AB101+AC101+AD101+AE101+AG101+AH101+AI101+AJ101+AL101+AN101+AO101+AP101+AQ101)</f>
        <v>697557600</v>
      </c>
      <c r="F101" s="21">
        <f>SUM(G101:Y101)</f>
        <v>116400000</v>
      </c>
      <c r="G101" s="341"/>
      <c r="H101" s="341"/>
      <c r="I101" s="341"/>
      <c r="J101" s="341"/>
      <c r="K101" s="341"/>
      <c r="L101" s="1"/>
      <c r="M101" s="341"/>
      <c r="N101" s="341"/>
      <c r="O101" s="341"/>
      <c r="P101" s="341"/>
      <c r="Q101" s="1"/>
      <c r="R101" s="1">
        <v>10400000</v>
      </c>
      <c r="S101" s="1"/>
      <c r="T101" s="1"/>
      <c r="U101" s="1">
        <v>0</v>
      </c>
      <c r="V101" s="1">
        <v>0</v>
      </c>
      <c r="W101" s="1">
        <v>106000000</v>
      </c>
      <c r="X101" s="1">
        <v>0</v>
      </c>
      <c r="Y101" s="1">
        <v>0</v>
      </c>
      <c r="Z101" s="10">
        <f>SUM(AA101:AE101)</f>
        <v>0</v>
      </c>
      <c r="AA101" s="8"/>
      <c r="AB101" s="8"/>
      <c r="AC101" s="8"/>
      <c r="AD101" s="8"/>
      <c r="AE101" s="8"/>
      <c r="AF101" s="2">
        <f>SUM(AG101:AJ101)</f>
        <v>11157600</v>
      </c>
      <c r="AG101" s="339">
        <v>0</v>
      </c>
      <c r="AH101" s="13">
        <v>11157600</v>
      </c>
      <c r="AI101" s="13"/>
      <c r="AJ101" s="13"/>
      <c r="AK101" s="34">
        <f>SUM(AL101+AM101)</f>
        <v>570000000</v>
      </c>
      <c r="AL101" s="13">
        <v>570000000</v>
      </c>
      <c r="AM101" s="93">
        <f>SUM(AN101:AQ101)</f>
        <v>0</v>
      </c>
      <c r="AN101" s="309"/>
      <c r="AO101" s="13"/>
      <c r="AP101" s="13"/>
      <c r="AQ101" s="13"/>
    </row>
    <row r="102" spans="1:43" ht="15.75" customHeight="1" x14ac:dyDescent="0.3">
      <c r="A102" s="46" t="s">
        <v>164</v>
      </c>
      <c r="B102" s="1903" t="s">
        <v>165</v>
      </c>
      <c r="C102" s="1904"/>
      <c r="D102" s="20">
        <f t="shared" si="87"/>
        <v>1000000</v>
      </c>
      <c r="E102" s="98">
        <f t="shared" si="88"/>
        <v>1000000</v>
      </c>
      <c r="F102" s="21">
        <f>SUM(G102:Y102)</f>
        <v>1000000</v>
      </c>
      <c r="G102" s="341"/>
      <c r="H102" s="341"/>
      <c r="I102" s="341"/>
      <c r="J102" s="341"/>
      <c r="K102" s="341"/>
      <c r="L102" s="1"/>
      <c r="M102" s="341"/>
      <c r="N102" s="341"/>
      <c r="O102" s="341"/>
      <c r="P102" s="341"/>
      <c r="Q102" s="1"/>
      <c r="R102" s="1">
        <v>1000000</v>
      </c>
      <c r="S102" s="1"/>
      <c r="T102" s="1"/>
      <c r="U102" s="1">
        <v>0</v>
      </c>
      <c r="V102" s="1">
        <v>0</v>
      </c>
      <c r="W102" s="1"/>
      <c r="X102" s="1">
        <v>0</v>
      </c>
      <c r="Y102" s="1"/>
      <c r="Z102" s="10">
        <f>SUM(AA102:AE102)</f>
        <v>0</v>
      </c>
      <c r="AA102" s="8"/>
      <c r="AB102" s="8"/>
      <c r="AC102" s="8"/>
      <c r="AD102" s="8"/>
      <c r="AE102" s="8"/>
      <c r="AF102" s="2">
        <f>SUM(AG102:AJ102)</f>
        <v>0</v>
      </c>
      <c r="AG102" s="345">
        <v>0</v>
      </c>
      <c r="AH102" s="6">
        <v>0</v>
      </c>
      <c r="AI102" s="6">
        <v>0</v>
      </c>
      <c r="AJ102" s="6">
        <v>0</v>
      </c>
      <c r="AK102" s="34">
        <f>SUM(AL102+AM102)</f>
        <v>0</v>
      </c>
      <c r="AL102" s="7"/>
      <c r="AM102" s="93">
        <f>SUM(AN102:AQ102)</f>
        <v>0</v>
      </c>
      <c r="AN102" s="318"/>
      <c r="AO102" s="7">
        <v>0</v>
      </c>
      <c r="AP102" s="7">
        <v>0</v>
      </c>
      <c r="AQ102" s="7"/>
    </row>
    <row r="103" spans="1:43" ht="15.75" customHeight="1" x14ac:dyDescent="0.3">
      <c r="A103" s="46" t="s">
        <v>166</v>
      </c>
      <c r="B103" s="1903" t="s">
        <v>167</v>
      </c>
      <c r="C103" s="1904"/>
      <c r="D103" s="20">
        <f t="shared" si="87"/>
        <v>1000000</v>
      </c>
      <c r="E103" s="98">
        <f t="shared" si="88"/>
        <v>1000000</v>
      </c>
      <c r="F103" s="21">
        <f>SUM(G103:Y103)</f>
        <v>1000000</v>
      </c>
      <c r="G103" s="341"/>
      <c r="H103" s="341"/>
      <c r="I103" s="341"/>
      <c r="J103" s="341"/>
      <c r="K103" s="341"/>
      <c r="L103" s="1"/>
      <c r="M103" s="341"/>
      <c r="N103" s="341"/>
      <c r="O103" s="341"/>
      <c r="P103" s="341"/>
      <c r="Q103" s="1"/>
      <c r="R103" s="1">
        <v>1000000</v>
      </c>
      <c r="S103" s="1"/>
      <c r="T103" s="1"/>
      <c r="U103" s="1"/>
      <c r="V103" s="1"/>
      <c r="W103" s="1"/>
      <c r="X103" s="1"/>
      <c r="Y103" s="1"/>
      <c r="Z103" s="10">
        <f>SUM(AA103:AE103)</f>
        <v>0</v>
      </c>
      <c r="AA103" s="8"/>
      <c r="AB103" s="8"/>
      <c r="AC103" s="8"/>
      <c r="AD103" s="8"/>
      <c r="AE103" s="8"/>
      <c r="AF103" s="2">
        <f>SUM(AG103:AJ103)</f>
        <v>0</v>
      </c>
      <c r="AG103" s="339">
        <v>0</v>
      </c>
      <c r="AH103" s="13">
        <v>0</v>
      </c>
      <c r="AI103" s="13">
        <v>0</v>
      </c>
      <c r="AJ103" s="13">
        <v>0</v>
      </c>
      <c r="AK103" s="34">
        <f>SUM(AL103+AM103)</f>
        <v>0</v>
      </c>
      <c r="AL103" s="13"/>
      <c r="AM103" s="93">
        <f>SUM(AN103:AQ103)</f>
        <v>0</v>
      </c>
      <c r="AN103" s="309">
        <v>0</v>
      </c>
      <c r="AO103" s="13">
        <v>0</v>
      </c>
      <c r="AP103" s="13">
        <v>0</v>
      </c>
      <c r="AQ103" s="13"/>
    </row>
    <row r="104" spans="1:43" ht="15.75" customHeight="1" x14ac:dyDescent="0.3">
      <c r="A104" s="46"/>
      <c r="B104" s="381"/>
      <c r="C104" s="99"/>
      <c r="D104" s="20"/>
      <c r="E104" s="98"/>
      <c r="F104" s="21"/>
      <c r="G104" s="341"/>
      <c r="H104" s="341"/>
      <c r="I104" s="341"/>
      <c r="J104" s="341"/>
      <c r="K104" s="341"/>
      <c r="L104" s="1"/>
      <c r="M104" s="341"/>
      <c r="N104" s="341"/>
      <c r="O104" s="341"/>
      <c r="P104" s="341"/>
      <c r="Q104" s="1"/>
      <c r="R104" s="1"/>
      <c r="S104" s="1"/>
      <c r="T104" s="1"/>
      <c r="U104" s="1"/>
      <c r="V104" s="1"/>
      <c r="W104" s="1"/>
      <c r="X104" s="1"/>
      <c r="Y104" s="1"/>
      <c r="Z104" s="175"/>
      <c r="AA104" s="5"/>
      <c r="AB104" s="5"/>
      <c r="AC104" s="5"/>
      <c r="AD104" s="5"/>
      <c r="AE104" s="5"/>
      <c r="AF104" s="2" t="s">
        <v>0</v>
      </c>
      <c r="AG104" s="339"/>
      <c r="AH104" s="13"/>
      <c r="AI104" s="13"/>
      <c r="AJ104" s="13"/>
      <c r="AK104" s="34"/>
      <c r="AL104" s="13"/>
      <c r="AM104" s="115"/>
      <c r="AN104" s="309"/>
      <c r="AO104" s="13"/>
      <c r="AP104" s="13"/>
      <c r="AQ104" s="13"/>
    </row>
    <row r="105" spans="1:43" ht="15.75" customHeight="1" x14ac:dyDescent="0.3">
      <c r="A105" s="40" t="s">
        <v>168</v>
      </c>
      <c r="B105" s="1912" t="s">
        <v>169</v>
      </c>
      <c r="C105" s="1918"/>
      <c r="D105" s="21">
        <f>SUM(D106:D108)</f>
        <v>36450000</v>
      </c>
      <c r="E105" s="71">
        <f>SUM(E106:E107)</f>
        <v>36450000</v>
      </c>
      <c r="F105" s="21">
        <f>SUM(G105:Y105)</f>
        <v>14200000</v>
      </c>
      <c r="G105" s="25">
        <f t="shared" ref="G105:Y105" si="89">SUM(G106:G108)</f>
        <v>0</v>
      </c>
      <c r="H105" s="25">
        <f t="shared" si="89"/>
        <v>3200000</v>
      </c>
      <c r="I105" s="25">
        <f t="shared" si="89"/>
        <v>1000000</v>
      </c>
      <c r="J105" s="25">
        <f t="shared" si="89"/>
        <v>0</v>
      </c>
      <c r="K105" s="25">
        <f t="shared" si="89"/>
        <v>0</v>
      </c>
      <c r="L105" s="25">
        <f t="shared" si="89"/>
        <v>0</v>
      </c>
      <c r="M105" s="25">
        <f t="shared" si="89"/>
        <v>0</v>
      </c>
      <c r="N105" s="25">
        <f t="shared" si="89"/>
        <v>0</v>
      </c>
      <c r="O105" s="25">
        <f t="shared" si="89"/>
        <v>0</v>
      </c>
      <c r="P105" s="25">
        <f t="shared" si="89"/>
        <v>0</v>
      </c>
      <c r="Q105" s="25">
        <f t="shared" si="89"/>
        <v>0</v>
      </c>
      <c r="R105" s="25">
        <f t="shared" si="89"/>
        <v>0</v>
      </c>
      <c r="S105" s="25">
        <f t="shared" si="89"/>
        <v>10000000</v>
      </c>
      <c r="T105" s="25">
        <f>SUM(T106:T108)</f>
        <v>0</v>
      </c>
      <c r="U105" s="25">
        <f t="shared" si="89"/>
        <v>0</v>
      </c>
      <c r="V105" s="25">
        <f>SUM(V106:V108)</f>
        <v>0</v>
      </c>
      <c r="W105" s="25">
        <f>SUM(W106:W108)</f>
        <v>0</v>
      </c>
      <c r="X105" s="25">
        <f>SUM(X106:X108)</f>
        <v>0</v>
      </c>
      <c r="Y105" s="25">
        <f t="shared" si="89"/>
        <v>0</v>
      </c>
      <c r="Z105" s="6">
        <f>SUM(Z106:Z108)</f>
        <v>17200000</v>
      </c>
      <c r="AA105" s="6">
        <f>SUM(AA106:AA108)</f>
        <v>3500000</v>
      </c>
      <c r="AB105" s="6">
        <f>SUM(AB106:AB107)</f>
        <v>3200000</v>
      </c>
      <c r="AC105" s="6">
        <f>SUM(AC106:AC107)</f>
        <v>500000</v>
      </c>
      <c r="AD105" s="6">
        <f>SUM(AD106:AD107)</f>
        <v>4000000</v>
      </c>
      <c r="AE105" s="6">
        <f>SUM(AE106:AE107)</f>
        <v>6000000</v>
      </c>
      <c r="AF105" s="2">
        <f>SUM(AF106:AF108)</f>
        <v>500000</v>
      </c>
      <c r="AG105" s="343">
        <f t="shared" ref="AG105:AQ105" si="90">SUM(AG106:AG108)</f>
        <v>0</v>
      </c>
      <c r="AH105" s="14">
        <f t="shared" si="90"/>
        <v>500000</v>
      </c>
      <c r="AI105" s="33">
        <f t="shared" si="90"/>
        <v>0</v>
      </c>
      <c r="AJ105" s="33">
        <f t="shared" si="90"/>
        <v>0</v>
      </c>
      <c r="AK105" s="34">
        <f t="shared" si="90"/>
        <v>4550000</v>
      </c>
      <c r="AL105" s="33">
        <f t="shared" si="90"/>
        <v>4000000</v>
      </c>
      <c r="AM105" s="34">
        <f t="shared" si="90"/>
        <v>550000</v>
      </c>
      <c r="AN105" s="308">
        <f>SUM(AN106:AN108)</f>
        <v>0</v>
      </c>
      <c r="AO105" s="33">
        <f t="shared" si="90"/>
        <v>250000</v>
      </c>
      <c r="AP105" s="33">
        <f t="shared" si="90"/>
        <v>0</v>
      </c>
      <c r="AQ105" s="33">
        <f t="shared" si="90"/>
        <v>300000</v>
      </c>
    </row>
    <row r="106" spans="1:43" ht="15.75" customHeight="1" x14ac:dyDescent="0.3">
      <c r="A106" s="46" t="s">
        <v>170</v>
      </c>
      <c r="B106" s="1921" t="s">
        <v>171</v>
      </c>
      <c r="C106" s="1922"/>
      <c r="D106" s="20">
        <f t="shared" ref="D106:D107" si="91">+F106+Z106+AF106+AK106</f>
        <v>29300000</v>
      </c>
      <c r="E106" s="98">
        <f t="shared" ref="E106:E107" si="92">SUM(G106+H106+I106+J106+K106+L106+M106+N106+O106+P106+Q106+R106+S106+T106+U106+V106+W106+X106+Y106+AA106+AB106+AC106+AD106+AE106+AG106+AH106+AI106+AJ106+AL106+AN106+AO106+AP106+AQ106)</f>
        <v>29300000</v>
      </c>
      <c r="F106" s="21">
        <f>SUM(G106:Y106)</f>
        <v>13200000</v>
      </c>
      <c r="G106" s="341"/>
      <c r="H106" s="341">
        <v>3200000</v>
      </c>
      <c r="I106" s="341"/>
      <c r="J106" s="341"/>
      <c r="K106" s="341"/>
      <c r="L106" s="1"/>
      <c r="M106" s="341"/>
      <c r="N106" s="341"/>
      <c r="O106" s="341"/>
      <c r="P106" s="341"/>
      <c r="Q106" s="1"/>
      <c r="R106" s="1"/>
      <c r="S106" s="355">
        <v>10000000</v>
      </c>
      <c r="T106" s="1"/>
      <c r="U106" s="1"/>
      <c r="V106" s="1"/>
      <c r="W106" s="1"/>
      <c r="X106" s="1"/>
      <c r="Y106" s="1"/>
      <c r="Z106" s="10">
        <f>SUM(AA106:AE106)</f>
        <v>13100000</v>
      </c>
      <c r="AA106" s="8">
        <v>3000000</v>
      </c>
      <c r="AB106" s="8">
        <v>1600000</v>
      </c>
      <c r="AC106" s="8">
        <v>500000</v>
      </c>
      <c r="AD106" s="8">
        <v>3000000</v>
      </c>
      <c r="AE106" s="8">
        <v>5000000</v>
      </c>
      <c r="AF106" s="2">
        <f>SUM(AG106:AJ106)</f>
        <v>0</v>
      </c>
      <c r="AG106" s="339"/>
      <c r="AH106" s="13"/>
      <c r="AI106" s="13"/>
      <c r="AJ106" s="13"/>
      <c r="AK106" s="34">
        <f>SUM(AL106+AM106)</f>
        <v>3000000</v>
      </c>
      <c r="AL106" s="13">
        <v>3000000</v>
      </c>
      <c r="AM106" s="93">
        <f>SUM(AN106:AQ106)</f>
        <v>0</v>
      </c>
      <c r="AN106" s="309"/>
      <c r="AO106" s="13"/>
      <c r="AP106" s="13"/>
      <c r="AQ106" s="13"/>
    </row>
    <row r="107" spans="1:43" ht="15.75" customHeight="1" x14ac:dyDescent="0.3">
      <c r="A107" s="46" t="s">
        <v>172</v>
      </c>
      <c r="B107" s="1903" t="s">
        <v>173</v>
      </c>
      <c r="C107" s="1921"/>
      <c r="D107" s="20">
        <f t="shared" si="91"/>
        <v>7150000</v>
      </c>
      <c r="E107" s="98">
        <f t="shared" si="92"/>
        <v>7150000</v>
      </c>
      <c r="F107" s="21">
        <f>SUM(G107:Y107)</f>
        <v>1000000</v>
      </c>
      <c r="G107" s="341"/>
      <c r="H107" s="341"/>
      <c r="I107" s="341">
        <v>1000000</v>
      </c>
      <c r="J107" s="341">
        <v>0</v>
      </c>
      <c r="K107" s="341"/>
      <c r="L107" s="1"/>
      <c r="M107" s="341"/>
      <c r="N107" s="341"/>
      <c r="O107" s="341"/>
      <c r="P107" s="341"/>
      <c r="Q107" s="1"/>
      <c r="R107" s="1"/>
      <c r="S107" s="1"/>
      <c r="T107" s="1"/>
      <c r="U107" s="1"/>
      <c r="V107" s="1"/>
      <c r="W107" s="1"/>
      <c r="X107" s="1"/>
      <c r="Y107" s="1"/>
      <c r="Z107" s="10">
        <f>SUM(AA107:AE107)</f>
        <v>4100000</v>
      </c>
      <c r="AA107" s="8">
        <v>500000</v>
      </c>
      <c r="AB107" s="8">
        <v>1600000</v>
      </c>
      <c r="AC107" s="8"/>
      <c r="AD107" s="8">
        <v>1000000</v>
      </c>
      <c r="AE107" s="8">
        <v>1000000</v>
      </c>
      <c r="AF107" s="2">
        <f>SUM(AG107:AJ107)</f>
        <v>500000</v>
      </c>
      <c r="AG107" s="343"/>
      <c r="AH107" s="9">
        <v>500000</v>
      </c>
      <c r="AI107" s="9"/>
      <c r="AJ107" s="9"/>
      <c r="AK107" s="34">
        <f>SUM(AL107+AM107)</f>
        <v>1550000</v>
      </c>
      <c r="AL107" s="12">
        <v>1000000</v>
      </c>
      <c r="AM107" s="93">
        <f>SUM(AN107:AQ107)</f>
        <v>550000</v>
      </c>
      <c r="AN107" s="317"/>
      <c r="AO107" s="12">
        <v>250000</v>
      </c>
      <c r="AP107" s="12"/>
      <c r="AQ107" s="12">
        <v>300000</v>
      </c>
    </row>
    <row r="108" spans="1:43" ht="15.75" hidden="1" customHeight="1" x14ac:dyDescent="0.3">
      <c r="A108" s="46" t="s">
        <v>174</v>
      </c>
      <c r="B108" s="1921" t="s">
        <v>175</v>
      </c>
      <c r="C108" s="1922"/>
      <c r="D108" s="20">
        <f>+F108+Z108+AF108+AK108</f>
        <v>0</v>
      </c>
      <c r="E108" s="98">
        <f>SUM(F108+Z108+AF108+AK108)</f>
        <v>0</v>
      </c>
      <c r="F108" s="21">
        <f>SUM(G108:Y108)</f>
        <v>0</v>
      </c>
      <c r="G108" s="341"/>
      <c r="H108" s="341"/>
      <c r="I108" s="341"/>
      <c r="J108" s="341">
        <v>0</v>
      </c>
      <c r="K108" s="341">
        <v>0</v>
      </c>
      <c r="L108" s="1"/>
      <c r="M108" s="341"/>
      <c r="N108" s="341"/>
      <c r="O108" s="341"/>
      <c r="P108" s="341"/>
      <c r="Q108" s="1"/>
      <c r="R108" s="1"/>
      <c r="S108" s="1"/>
      <c r="T108" s="1"/>
      <c r="U108" s="1"/>
      <c r="V108" s="1"/>
      <c r="W108" s="1"/>
      <c r="X108" s="1"/>
      <c r="Y108" s="1"/>
      <c r="Z108" s="10">
        <f>SUM(AA108:AE108)</f>
        <v>0</v>
      </c>
      <c r="AA108" s="8"/>
      <c r="AB108" s="8"/>
      <c r="AC108" s="8"/>
      <c r="AD108" s="8"/>
      <c r="AE108" s="8"/>
      <c r="AF108" s="2">
        <f>SUM(AG108:AJ108)</f>
        <v>0</v>
      </c>
      <c r="AG108" s="343"/>
      <c r="AH108" s="14"/>
      <c r="AI108" s="14"/>
      <c r="AJ108" s="14"/>
      <c r="AK108" s="34">
        <f>SUM(AL108+AM108)</f>
        <v>0</v>
      </c>
      <c r="AL108" s="13"/>
      <c r="AM108" s="93">
        <f>SUM(AN108:AQ108)</f>
        <v>0</v>
      </c>
      <c r="AN108" s="309"/>
      <c r="AO108" s="13"/>
      <c r="AP108" s="13"/>
      <c r="AQ108" s="13"/>
    </row>
    <row r="109" spans="1:43" ht="15.75" customHeight="1" x14ac:dyDescent="0.3">
      <c r="A109" s="46"/>
      <c r="B109" s="381"/>
      <c r="C109" s="99"/>
      <c r="D109" s="20"/>
      <c r="E109" s="98">
        <f>SUM(F109+Z109+AF109+AK109)</f>
        <v>0</v>
      </c>
      <c r="F109" s="21"/>
      <c r="G109" s="341"/>
      <c r="H109" s="341"/>
      <c r="I109" s="341"/>
      <c r="J109" s="341"/>
      <c r="K109" s="341"/>
      <c r="L109" s="1"/>
      <c r="M109" s="341"/>
      <c r="N109" s="341"/>
      <c r="O109" s="341"/>
      <c r="P109" s="341"/>
      <c r="Q109" s="1"/>
      <c r="R109" s="1"/>
      <c r="S109" s="1"/>
      <c r="T109" s="1"/>
      <c r="U109" s="1"/>
      <c r="V109" s="1"/>
      <c r="W109" s="1"/>
      <c r="X109" s="1"/>
      <c r="Y109" s="1"/>
      <c r="Z109" s="10"/>
      <c r="AA109" s="8"/>
      <c r="AB109" s="8"/>
      <c r="AC109" s="8"/>
      <c r="AD109" s="8"/>
      <c r="AE109" s="8"/>
      <c r="AF109" s="2"/>
      <c r="AG109" s="343"/>
      <c r="AH109" s="14"/>
      <c r="AI109" s="14"/>
      <c r="AJ109" s="14"/>
      <c r="AK109" s="34"/>
      <c r="AL109" s="13"/>
      <c r="AM109" s="115"/>
      <c r="AN109" s="309"/>
      <c r="AO109" s="13"/>
      <c r="AP109" s="13"/>
      <c r="AQ109" s="13"/>
    </row>
    <row r="110" spans="1:43" ht="15.75" customHeight="1" x14ac:dyDescent="0.3">
      <c r="A110" s="46"/>
      <c r="B110" s="381"/>
      <c r="C110" s="99"/>
      <c r="D110" s="20"/>
      <c r="E110" s="98"/>
      <c r="F110" s="21"/>
      <c r="G110" s="341"/>
      <c r="H110" s="341"/>
      <c r="I110" s="341"/>
      <c r="J110" s="341"/>
      <c r="K110" s="341"/>
      <c r="L110" s="1"/>
      <c r="M110" s="341"/>
      <c r="N110" s="341"/>
      <c r="O110" s="341"/>
      <c r="P110" s="341"/>
      <c r="Q110" s="1"/>
      <c r="R110" s="1"/>
      <c r="S110" s="1"/>
      <c r="T110" s="1"/>
      <c r="U110" s="1"/>
      <c r="V110" s="1"/>
      <c r="W110" s="1"/>
      <c r="X110" s="1"/>
      <c r="Y110" s="1"/>
      <c r="Z110" s="10"/>
      <c r="AA110" s="8"/>
      <c r="AB110" s="8"/>
      <c r="AC110" s="8"/>
      <c r="AD110" s="8"/>
      <c r="AE110" s="8"/>
      <c r="AF110" s="2"/>
      <c r="AG110" s="343"/>
      <c r="AH110" s="14"/>
      <c r="AI110" s="14"/>
      <c r="AJ110" s="14"/>
      <c r="AK110" s="34"/>
      <c r="AL110" s="13"/>
      <c r="AM110" s="115"/>
      <c r="AN110" s="322"/>
      <c r="AO110" s="323"/>
      <c r="AP110" s="323"/>
      <c r="AQ110" s="323"/>
    </row>
    <row r="111" spans="1:43" ht="15.75" hidden="1" customHeight="1" x14ac:dyDescent="0.3">
      <c r="A111" s="46"/>
      <c r="B111" s="381"/>
      <c r="C111" s="99"/>
      <c r="D111" s="20"/>
      <c r="E111" s="98"/>
      <c r="F111" s="21"/>
      <c r="G111" s="341"/>
      <c r="H111" s="341"/>
      <c r="I111" s="341"/>
      <c r="J111" s="341"/>
      <c r="K111" s="341"/>
      <c r="L111" s="1"/>
      <c r="M111" s="341"/>
      <c r="N111" s="341"/>
      <c r="O111" s="341"/>
      <c r="P111" s="341"/>
      <c r="Q111" s="1"/>
      <c r="R111" s="1"/>
      <c r="S111" s="1"/>
      <c r="T111" s="1"/>
      <c r="U111" s="1"/>
      <c r="V111" s="1"/>
      <c r="W111" s="1"/>
      <c r="X111" s="1"/>
      <c r="Y111" s="1"/>
      <c r="Z111" s="10"/>
      <c r="AA111" s="8"/>
      <c r="AB111" s="8"/>
      <c r="AC111" s="8"/>
      <c r="AD111" s="8"/>
      <c r="AE111" s="8"/>
      <c r="AF111" s="2"/>
      <c r="AG111" s="343"/>
      <c r="AH111" s="14"/>
      <c r="AI111" s="14"/>
      <c r="AJ111" s="14"/>
      <c r="AK111" s="34"/>
      <c r="AL111" s="13"/>
      <c r="AM111" s="115"/>
      <c r="AN111" s="309"/>
      <c r="AO111" s="13"/>
      <c r="AP111" s="13"/>
      <c r="AQ111" s="13"/>
    </row>
    <row r="112" spans="1:43" s="194" customFormat="1" ht="15.75" hidden="1" customHeight="1" x14ac:dyDescent="0.3">
      <c r="A112" s="46"/>
      <c r="B112" s="381"/>
      <c r="C112" s="99"/>
      <c r="D112" s="20"/>
      <c r="E112" s="98"/>
      <c r="F112" s="21"/>
      <c r="G112" s="341"/>
      <c r="H112" s="341"/>
      <c r="I112" s="341"/>
      <c r="J112" s="341"/>
      <c r="K112" s="341"/>
      <c r="L112" s="1"/>
      <c r="M112" s="341"/>
      <c r="N112" s="341"/>
      <c r="O112" s="341"/>
      <c r="P112" s="341"/>
      <c r="Q112" s="1"/>
      <c r="R112" s="1"/>
      <c r="S112" s="1"/>
      <c r="T112" s="1"/>
      <c r="U112" s="1"/>
      <c r="V112" s="1"/>
      <c r="W112" s="1"/>
      <c r="X112" s="1"/>
      <c r="Y112" s="1"/>
      <c r="Z112" s="175"/>
      <c r="AA112" s="5"/>
      <c r="AB112" s="5"/>
      <c r="AC112" s="5"/>
      <c r="AD112" s="5"/>
      <c r="AE112" s="5"/>
      <c r="AF112" s="2" t="s">
        <v>0</v>
      </c>
      <c r="AG112" s="352" t="s">
        <v>0</v>
      </c>
      <c r="AH112" s="15" t="s">
        <v>0</v>
      </c>
      <c r="AI112" s="15"/>
      <c r="AJ112" s="15"/>
      <c r="AK112" s="34"/>
      <c r="AL112" s="15"/>
      <c r="AM112" s="94"/>
      <c r="AN112" s="319"/>
      <c r="AO112" s="15"/>
      <c r="AP112" s="15"/>
      <c r="AQ112" s="15"/>
    </row>
    <row r="113" spans="1:43" ht="15.75" customHeight="1" x14ac:dyDescent="0.3">
      <c r="A113" s="40" t="s">
        <v>176</v>
      </c>
      <c r="B113" s="1912" t="s">
        <v>177</v>
      </c>
      <c r="C113" s="1919"/>
      <c r="D113" s="21">
        <f>SUM(D114:D122)</f>
        <v>186020000</v>
      </c>
      <c r="E113" s="71">
        <f>SUM(E115:E122)</f>
        <v>186020000</v>
      </c>
      <c r="F113" s="21">
        <f>SUM(F115:F122)</f>
        <v>160020000</v>
      </c>
      <c r="G113" s="23">
        <f t="shared" ref="G113:Z113" si="93">SUM(G114:G122)</f>
        <v>270000</v>
      </c>
      <c r="H113" s="23">
        <f t="shared" si="93"/>
        <v>150000</v>
      </c>
      <c r="I113" s="23">
        <f t="shared" si="93"/>
        <v>0</v>
      </c>
      <c r="J113" s="23">
        <f t="shared" si="93"/>
        <v>200000</v>
      </c>
      <c r="K113" s="23">
        <f t="shared" si="93"/>
        <v>0</v>
      </c>
      <c r="L113" s="23">
        <f t="shared" si="93"/>
        <v>87000000</v>
      </c>
      <c r="M113" s="23">
        <f t="shared" si="93"/>
        <v>0</v>
      </c>
      <c r="N113" s="23">
        <f t="shared" si="93"/>
        <v>0</v>
      </c>
      <c r="O113" s="23">
        <f t="shared" si="93"/>
        <v>0</v>
      </c>
      <c r="P113" s="23">
        <f t="shared" si="93"/>
        <v>0</v>
      </c>
      <c r="Q113" s="23">
        <f t="shared" si="93"/>
        <v>0</v>
      </c>
      <c r="R113" s="23">
        <f>SUM(R115+R118+R119+R120+R122)</f>
        <v>72000000</v>
      </c>
      <c r="S113" s="23">
        <f t="shared" si="93"/>
        <v>0</v>
      </c>
      <c r="T113" s="23">
        <f>SUM(T114:T122)</f>
        <v>200000</v>
      </c>
      <c r="U113" s="23">
        <f t="shared" si="93"/>
        <v>0</v>
      </c>
      <c r="V113" s="23">
        <f>SUM(V114:V122)</f>
        <v>0</v>
      </c>
      <c r="W113" s="23">
        <f>SUM(W114:W122)</f>
        <v>200000</v>
      </c>
      <c r="X113" s="23">
        <f>SUM(X114:X122)</f>
        <v>0</v>
      </c>
      <c r="Y113" s="23">
        <f t="shared" si="93"/>
        <v>0</v>
      </c>
      <c r="Z113" s="9">
        <f t="shared" si="93"/>
        <v>22200000</v>
      </c>
      <c r="AA113" s="9">
        <f>SUM(AA114:AA122)</f>
        <v>0</v>
      </c>
      <c r="AB113" s="9">
        <f>SUM(AB114:AB122)</f>
        <v>1000000</v>
      </c>
      <c r="AC113" s="9">
        <f>SUM(AC114:AC122)</f>
        <v>0</v>
      </c>
      <c r="AD113" s="9">
        <f>SUM(AD114:AD122)</f>
        <v>20000000</v>
      </c>
      <c r="AE113" s="9">
        <f>SUM(AE114:AE122)</f>
        <v>1200000</v>
      </c>
      <c r="AF113" s="2">
        <f>SUM(AF115:AF122)</f>
        <v>1150000</v>
      </c>
      <c r="AG113" s="353">
        <f>SUM(AG114:AG122)</f>
        <v>0</v>
      </c>
      <c r="AH113" s="18">
        <f>SUM(AH114:AH122)</f>
        <v>750000</v>
      </c>
      <c r="AI113" s="33">
        <f t="shared" ref="AI113:AQ113" si="94">SUM(AI115:AI122)</f>
        <v>0</v>
      </c>
      <c r="AJ113" s="33">
        <f t="shared" si="94"/>
        <v>400000</v>
      </c>
      <c r="AK113" s="34">
        <f t="shared" si="94"/>
        <v>2650000</v>
      </c>
      <c r="AL113" s="33">
        <f t="shared" si="94"/>
        <v>750000</v>
      </c>
      <c r="AM113" s="34">
        <f t="shared" si="94"/>
        <v>1900000</v>
      </c>
      <c r="AN113" s="308">
        <f>SUM(AN115:AN122)</f>
        <v>200000</v>
      </c>
      <c r="AO113" s="33">
        <f t="shared" si="94"/>
        <v>200000</v>
      </c>
      <c r="AP113" s="33">
        <f t="shared" si="94"/>
        <v>250000</v>
      </c>
      <c r="AQ113" s="33">
        <f t="shared" si="94"/>
        <v>1250000</v>
      </c>
    </row>
    <row r="114" spans="1:43" ht="15.75" customHeight="1" x14ac:dyDescent="0.3">
      <c r="A114" s="40"/>
      <c r="B114" s="380"/>
      <c r="C114" s="213"/>
      <c r="D114" s="214"/>
      <c r="E114" s="215"/>
      <c r="F114" s="21">
        <v>0</v>
      </c>
      <c r="G114" s="23"/>
      <c r="H114" s="23"/>
      <c r="I114" s="23"/>
      <c r="J114" s="23"/>
      <c r="K114" s="23"/>
      <c r="L114" s="26"/>
      <c r="M114" s="23"/>
      <c r="N114" s="23"/>
      <c r="O114" s="23"/>
      <c r="P114" s="23"/>
      <c r="Q114" s="26"/>
      <c r="R114" s="26"/>
      <c r="S114" s="26"/>
      <c r="T114" s="26"/>
      <c r="U114" s="26"/>
      <c r="V114" s="26"/>
      <c r="W114" s="26"/>
      <c r="X114" s="26"/>
      <c r="Y114" s="26"/>
      <c r="Z114" s="10"/>
      <c r="AA114" s="10"/>
      <c r="AB114" s="10"/>
      <c r="AC114" s="10"/>
      <c r="AD114" s="10"/>
      <c r="AE114" s="10"/>
      <c r="AF114" s="2" t="s">
        <v>0</v>
      </c>
      <c r="AG114" s="352" t="s">
        <v>0</v>
      </c>
      <c r="AH114" s="15"/>
      <c r="AI114" s="15" t="s">
        <v>0</v>
      </c>
      <c r="AJ114" s="15" t="s">
        <v>0</v>
      </c>
      <c r="AK114" s="124"/>
      <c r="AL114" s="15" t="s">
        <v>0</v>
      </c>
      <c r="AM114" s="94" t="s">
        <v>0</v>
      </c>
      <c r="AN114" s="319" t="s">
        <v>0</v>
      </c>
      <c r="AO114" s="15" t="s">
        <v>0</v>
      </c>
      <c r="AP114" s="15" t="s">
        <v>0</v>
      </c>
      <c r="AQ114" s="15" t="s">
        <v>0</v>
      </c>
    </row>
    <row r="115" spans="1:43" ht="15.75" customHeight="1" x14ac:dyDescent="0.3">
      <c r="A115" s="46" t="s">
        <v>178</v>
      </c>
      <c r="B115" s="1903" t="s">
        <v>179</v>
      </c>
      <c r="C115" s="1904"/>
      <c r="D115" s="20">
        <f t="shared" ref="D115:D122" si="95">+F115+Z115+AF115+AK115</f>
        <v>40000000</v>
      </c>
      <c r="E115" s="98">
        <f t="shared" ref="E115:E122" si="96">SUM(G115+H115+I115+J115+K115+L115+M115+N115+O115+P115+Q115+R115+S115+T115+U115+V115+W115+X115+Y115+AA115+AB115+AC115+AD115+AE115+AG115+AH115+AI115+AJ115+AL115+AN115+AO115+AP115+AQ115)</f>
        <v>40000000</v>
      </c>
      <c r="F115" s="21">
        <f t="shared" ref="F115:F122" si="97">SUM(G115:Y115)</f>
        <v>40000000</v>
      </c>
      <c r="G115" s="341"/>
      <c r="H115" s="341"/>
      <c r="I115" s="341"/>
      <c r="J115" s="341"/>
      <c r="K115" s="341"/>
      <c r="L115" s="1"/>
      <c r="M115" s="341">
        <v>0</v>
      </c>
      <c r="N115" s="341">
        <v>0</v>
      </c>
      <c r="O115" s="341"/>
      <c r="P115" s="341"/>
      <c r="Q115" s="1"/>
      <c r="R115" s="1">
        <v>40000000</v>
      </c>
      <c r="S115" s="1"/>
      <c r="T115" s="1"/>
      <c r="U115" s="1"/>
      <c r="V115" s="1"/>
      <c r="W115" s="1"/>
      <c r="X115" s="1"/>
      <c r="Y115" s="1"/>
      <c r="Z115" s="10">
        <f t="shared" ref="Z115:Z122" si="98">SUM(AA115:AE115)</f>
        <v>0</v>
      </c>
      <c r="AA115" s="8">
        <v>0</v>
      </c>
      <c r="AB115" s="8">
        <v>0</v>
      </c>
      <c r="AC115" s="8"/>
      <c r="AD115" s="8"/>
      <c r="AE115" s="8"/>
      <c r="AF115" s="2">
        <f t="shared" ref="AF115:AF122" si="99">SUM(AG115:AJ115)</f>
        <v>0</v>
      </c>
      <c r="AG115" s="352">
        <v>0</v>
      </c>
      <c r="AH115" s="15">
        <v>0</v>
      </c>
      <c r="AI115" s="15"/>
      <c r="AJ115" s="15">
        <v>0</v>
      </c>
      <c r="AK115" s="34">
        <f t="shared" ref="AK115:AK122" si="100">SUM(AL115+AM115)</f>
        <v>0</v>
      </c>
      <c r="AL115" s="15"/>
      <c r="AM115" s="94">
        <f t="shared" ref="AM115:AM122" si="101">SUM(AN115:AQ115)</f>
        <v>0</v>
      </c>
      <c r="AN115" s="319"/>
      <c r="AO115" s="15"/>
      <c r="AP115" s="15"/>
      <c r="AQ115" s="15"/>
    </row>
    <row r="116" spans="1:43" ht="15.75" hidden="1" customHeight="1" x14ac:dyDescent="0.3">
      <c r="A116" s="46" t="s">
        <v>180</v>
      </c>
      <c r="B116" s="1903" t="s">
        <v>181</v>
      </c>
      <c r="C116" s="1904"/>
      <c r="D116" s="20">
        <f t="shared" si="95"/>
        <v>0</v>
      </c>
      <c r="E116" s="98">
        <f t="shared" si="96"/>
        <v>0</v>
      </c>
      <c r="F116" s="21">
        <f t="shared" si="97"/>
        <v>0</v>
      </c>
      <c r="G116" s="341"/>
      <c r="H116" s="341"/>
      <c r="I116" s="341"/>
      <c r="J116" s="341"/>
      <c r="K116" s="341"/>
      <c r="L116" s="1"/>
      <c r="M116" s="341"/>
      <c r="N116" s="341"/>
      <c r="O116" s="341"/>
      <c r="P116" s="341"/>
      <c r="Q116" s="1"/>
      <c r="R116" s="1"/>
      <c r="S116" s="1"/>
      <c r="T116" s="1"/>
      <c r="U116" s="1"/>
      <c r="V116" s="1"/>
      <c r="W116" s="1"/>
      <c r="X116" s="1"/>
      <c r="Y116" s="1"/>
      <c r="Z116" s="10">
        <f t="shared" si="98"/>
        <v>0</v>
      </c>
      <c r="AA116" s="8"/>
      <c r="AB116" s="8"/>
      <c r="AC116" s="8"/>
      <c r="AD116" s="8"/>
      <c r="AE116" s="8"/>
      <c r="AF116" s="2">
        <f t="shared" si="99"/>
        <v>0</v>
      </c>
      <c r="AG116" s="352">
        <v>0</v>
      </c>
      <c r="AH116" s="15">
        <v>0</v>
      </c>
      <c r="AI116" s="12">
        <v>0</v>
      </c>
      <c r="AJ116" s="12">
        <v>0</v>
      </c>
      <c r="AK116" s="34">
        <f t="shared" si="100"/>
        <v>0</v>
      </c>
      <c r="AL116" s="12"/>
      <c r="AM116" s="93">
        <f t="shared" si="101"/>
        <v>0</v>
      </c>
      <c r="AN116" s="317"/>
      <c r="AO116" s="12"/>
      <c r="AP116" s="12"/>
      <c r="AQ116" s="12"/>
    </row>
    <row r="117" spans="1:43" ht="15.75" customHeight="1" x14ac:dyDescent="0.3">
      <c r="A117" s="46" t="s">
        <v>567</v>
      </c>
      <c r="B117" s="381" t="s">
        <v>568</v>
      </c>
      <c r="C117" s="382"/>
      <c r="D117" s="20">
        <f t="shared" si="95"/>
        <v>150000</v>
      </c>
      <c r="E117" s="98">
        <f t="shared" si="96"/>
        <v>150000</v>
      </c>
      <c r="F117" s="21">
        <f t="shared" si="97"/>
        <v>150000</v>
      </c>
      <c r="G117" s="341">
        <v>150000</v>
      </c>
      <c r="H117" s="341"/>
      <c r="I117" s="341"/>
      <c r="J117" s="341"/>
      <c r="K117" s="341"/>
      <c r="L117" s="1"/>
      <c r="M117" s="341"/>
      <c r="N117" s="341"/>
      <c r="O117" s="341"/>
      <c r="P117" s="341"/>
      <c r="Q117" s="1"/>
      <c r="R117" s="1"/>
      <c r="S117" s="1"/>
      <c r="T117" s="1"/>
      <c r="U117" s="1"/>
      <c r="V117" s="1"/>
      <c r="W117" s="1"/>
      <c r="X117" s="1"/>
      <c r="Y117" s="1"/>
      <c r="Z117" s="10">
        <f t="shared" si="98"/>
        <v>0</v>
      </c>
      <c r="AA117" s="8"/>
      <c r="AB117" s="8"/>
      <c r="AC117" s="8"/>
      <c r="AD117" s="8"/>
      <c r="AE117" s="8"/>
      <c r="AF117" s="2">
        <f t="shared" si="99"/>
        <v>0</v>
      </c>
      <c r="AG117" s="352"/>
      <c r="AH117" s="15"/>
      <c r="AI117" s="12"/>
      <c r="AJ117" s="12"/>
      <c r="AK117" s="34">
        <f t="shared" si="100"/>
        <v>0</v>
      </c>
      <c r="AL117" s="12"/>
      <c r="AM117" s="93">
        <f t="shared" si="101"/>
        <v>0</v>
      </c>
      <c r="AN117" s="317"/>
      <c r="AO117" s="12"/>
      <c r="AP117" s="12"/>
      <c r="AQ117" s="12"/>
    </row>
    <row r="118" spans="1:43" ht="13.5" customHeight="1" x14ac:dyDescent="0.3">
      <c r="A118" s="46" t="s">
        <v>182</v>
      </c>
      <c r="B118" s="1903" t="s">
        <v>183</v>
      </c>
      <c r="C118" s="1904"/>
      <c r="D118" s="20">
        <f t="shared" si="95"/>
        <v>15000000</v>
      </c>
      <c r="E118" s="98">
        <f t="shared" si="96"/>
        <v>15000000</v>
      </c>
      <c r="F118" s="21">
        <f t="shared" si="97"/>
        <v>15000000</v>
      </c>
      <c r="G118" s="341"/>
      <c r="H118" s="341"/>
      <c r="I118" s="341"/>
      <c r="J118" s="341"/>
      <c r="K118" s="341">
        <v>0</v>
      </c>
      <c r="L118" s="1"/>
      <c r="M118" s="341">
        <v>0</v>
      </c>
      <c r="N118" s="341"/>
      <c r="O118" s="341"/>
      <c r="P118" s="341"/>
      <c r="Q118" s="1"/>
      <c r="R118" s="1">
        <v>15000000</v>
      </c>
      <c r="S118" s="1"/>
      <c r="T118" s="1"/>
      <c r="U118" s="1"/>
      <c r="V118" s="1"/>
      <c r="W118" s="1"/>
      <c r="X118" s="1"/>
      <c r="Y118" s="1"/>
      <c r="Z118" s="10">
        <f t="shared" si="98"/>
        <v>0</v>
      </c>
      <c r="AA118" s="8"/>
      <c r="AB118" s="8"/>
      <c r="AC118" s="8"/>
      <c r="AD118" s="8"/>
      <c r="AE118" s="8"/>
      <c r="AF118" s="2">
        <f t="shared" si="99"/>
        <v>0</v>
      </c>
      <c r="AG118" s="352">
        <v>0</v>
      </c>
      <c r="AH118" s="15">
        <v>0</v>
      </c>
      <c r="AI118" s="16">
        <v>0</v>
      </c>
      <c r="AJ118" s="16">
        <v>0</v>
      </c>
      <c r="AK118" s="34">
        <f t="shared" si="100"/>
        <v>0</v>
      </c>
      <c r="AL118" s="16"/>
      <c r="AM118" s="93">
        <f t="shared" si="101"/>
        <v>0</v>
      </c>
      <c r="AN118" s="324"/>
      <c r="AO118" s="16"/>
      <c r="AP118" s="16"/>
      <c r="AQ118" s="16"/>
    </row>
    <row r="119" spans="1:43" ht="15.75" customHeight="1" x14ac:dyDescent="0.3">
      <c r="A119" s="46" t="s">
        <v>184</v>
      </c>
      <c r="B119" s="1903" t="s">
        <v>185</v>
      </c>
      <c r="C119" s="1904"/>
      <c r="D119" s="20">
        <f t="shared" si="95"/>
        <v>5400000</v>
      </c>
      <c r="E119" s="98">
        <f t="shared" si="96"/>
        <v>5400000</v>
      </c>
      <c r="F119" s="21">
        <f t="shared" si="97"/>
        <v>5100000</v>
      </c>
      <c r="G119" s="341"/>
      <c r="H119" s="341"/>
      <c r="I119" s="341"/>
      <c r="J119" s="341">
        <v>100000</v>
      </c>
      <c r="K119" s="341"/>
      <c r="L119" s="1"/>
      <c r="M119" s="341"/>
      <c r="N119" s="341"/>
      <c r="O119" s="341"/>
      <c r="P119" s="341"/>
      <c r="Q119" s="1"/>
      <c r="R119" s="1">
        <v>5000000</v>
      </c>
      <c r="S119" s="1"/>
      <c r="T119" s="1"/>
      <c r="U119" s="1"/>
      <c r="V119" s="1"/>
      <c r="W119" s="1"/>
      <c r="X119" s="1"/>
      <c r="Y119" s="1"/>
      <c r="Z119" s="10">
        <f t="shared" si="98"/>
        <v>0</v>
      </c>
      <c r="AA119" s="8"/>
      <c r="AB119" s="8"/>
      <c r="AC119" s="8"/>
      <c r="AD119" s="8"/>
      <c r="AE119" s="8"/>
      <c r="AF119" s="2">
        <f t="shared" si="99"/>
        <v>200000</v>
      </c>
      <c r="AG119" s="352">
        <v>0</v>
      </c>
      <c r="AH119" s="15">
        <v>0</v>
      </c>
      <c r="AI119" s="15">
        <v>0</v>
      </c>
      <c r="AJ119" s="15">
        <v>200000</v>
      </c>
      <c r="AK119" s="34">
        <f t="shared" si="100"/>
        <v>100000</v>
      </c>
      <c r="AL119" s="15"/>
      <c r="AM119" s="93">
        <f t="shared" si="101"/>
        <v>100000</v>
      </c>
      <c r="AN119" s="319"/>
      <c r="AO119" s="15"/>
      <c r="AP119" s="15">
        <v>100000</v>
      </c>
      <c r="AQ119" s="15"/>
    </row>
    <row r="120" spans="1:43" ht="15.75" customHeight="1" x14ac:dyDescent="0.3">
      <c r="A120" s="46" t="s">
        <v>186</v>
      </c>
      <c r="B120" s="1903" t="s">
        <v>187</v>
      </c>
      <c r="C120" s="1904"/>
      <c r="D120" s="20">
        <f t="shared" si="95"/>
        <v>16170000</v>
      </c>
      <c r="E120" s="98">
        <f t="shared" si="96"/>
        <v>16170000</v>
      </c>
      <c r="F120" s="21">
        <f t="shared" si="97"/>
        <v>12670000</v>
      </c>
      <c r="G120" s="341">
        <v>120000</v>
      </c>
      <c r="H120" s="341">
        <v>150000</v>
      </c>
      <c r="I120" s="341"/>
      <c r="J120" s="341">
        <v>100000</v>
      </c>
      <c r="K120" s="341"/>
      <c r="L120" s="1">
        <v>4000000</v>
      </c>
      <c r="M120" s="341"/>
      <c r="N120" s="341"/>
      <c r="O120" s="341"/>
      <c r="P120" s="341"/>
      <c r="Q120" s="1"/>
      <c r="R120" s="1">
        <v>8000000</v>
      </c>
      <c r="S120" s="1"/>
      <c r="T120" s="1">
        <v>200000</v>
      </c>
      <c r="U120" s="1"/>
      <c r="V120" s="1"/>
      <c r="W120" s="355">
        <v>100000</v>
      </c>
      <c r="X120" s="1"/>
      <c r="Y120" s="1"/>
      <c r="Z120" s="10">
        <f t="shared" si="98"/>
        <v>2200000</v>
      </c>
      <c r="AA120" s="8"/>
      <c r="AB120" s="8"/>
      <c r="AC120" s="8"/>
      <c r="AD120" s="8">
        <v>2000000</v>
      </c>
      <c r="AE120" s="8">
        <v>200000</v>
      </c>
      <c r="AF120" s="2">
        <f t="shared" si="99"/>
        <v>0</v>
      </c>
      <c r="AG120" s="352"/>
      <c r="AH120" s="15"/>
      <c r="AI120" s="1"/>
      <c r="AJ120" s="1"/>
      <c r="AK120" s="34">
        <f t="shared" si="100"/>
        <v>1300000</v>
      </c>
      <c r="AL120" s="1">
        <v>500000</v>
      </c>
      <c r="AM120" s="93">
        <f t="shared" si="101"/>
        <v>800000</v>
      </c>
      <c r="AN120" s="304">
        <v>200000</v>
      </c>
      <c r="AO120" s="1">
        <v>200000</v>
      </c>
      <c r="AP120" s="1">
        <v>150000</v>
      </c>
      <c r="AQ120" s="1">
        <v>250000</v>
      </c>
    </row>
    <row r="121" spans="1:43" ht="15.75" customHeight="1" x14ac:dyDescent="0.3">
      <c r="A121" s="46" t="s">
        <v>188</v>
      </c>
      <c r="B121" s="1903" t="s">
        <v>189</v>
      </c>
      <c r="C121" s="1904"/>
      <c r="D121" s="20">
        <f t="shared" si="95"/>
        <v>98850000</v>
      </c>
      <c r="E121" s="98">
        <f t="shared" si="96"/>
        <v>98850000</v>
      </c>
      <c r="F121" s="21">
        <f t="shared" si="97"/>
        <v>82100000</v>
      </c>
      <c r="G121" s="341"/>
      <c r="H121" s="341"/>
      <c r="I121" s="341"/>
      <c r="J121" s="341"/>
      <c r="K121" s="341"/>
      <c r="L121" s="1">
        <v>82000000</v>
      </c>
      <c r="M121" s="341"/>
      <c r="N121" s="341"/>
      <c r="O121" s="341"/>
      <c r="P121" s="341"/>
      <c r="Q121" s="1"/>
      <c r="R121" s="1"/>
      <c r="S121" s="1"/>
      <c r="T121" s="1"/>
      <c r="U121" s="1"/>
      <c r="V121" s="1"/>
      <c r="W121" s="355">
        <v>100000</v>
      </c>
      <c r="X121" s="1"/>
      <c r="Y121" s="1"/>
      <c r="Z121" s="10">
        <f t="shared" si="98"/>
        <v>16000000</v>
      </c>
      <c r="AA121" s="8"/>
      <c r="AB121" s="8"/>
      <c r="AC121" s="8"/>
      <c r="AD121" s="8">
        <v>15000000</v>
      </c>
      <c r="AE121" s="8">
        <v>1000000</v>
      </c>
      <c r="AF121" s="2">
        <f t="shared" si="99"/>
        <v>500000</v>
      </c>
      <c r="AG121" s="352"/>
      <c r="AH121" s="15">
        <v>500000</v>
      </c>
      <c r="AI121" s="1"/>
      <c r="AJ121" s="1"/>
      <c r="AK121" s="34">
        <f t="shared" si="100"/>
        <v>250000</v>
      </c>
      <c r="AL121" s="1">
        <v>250000</v>
      </c>
      <c r="AM121" s="93">
        <f t="shared" si="101"/>
        <v>0</v>
      </c>
      <c r="AN121" s="304"/>
      <c r="AO121" s="1"/>
      <c r="AP121" s="1"/>
      <c r="AQ121" s="1"/>
    </row>
    <row r="122" spans="1:43" ht="15.75" customHeight="1" x14ac:dyDescent="0.3">
      <c r="A122" s="46" t="s">
        <v>190</v>
      </c>
      <c r="B122" s="1903" t="s">
        <v>191</v>
      </c>
      <c r="C122" s="1904"/>
      <c r="D122" s="20">
        <f t="shared" si="95"/>
        <v>10450000</v>
      </c>
      <c r="E122" s="98">
        <f t="shared" si="96"/>
        <v>10450000</v>
      </c>
      <c r="F122" s="21">
        <f t="shared" si="97"/>
        <v>5000000</v>
      </c>
      <c r="G122" s="341"/>
      <c r="H122" s="341"/>
      <c r="I122" s="341"/>
      <c r="J122" s="341"/>
      <c r="K122" s="341"/>
      <c r="L122" s="1">
        <v>1000000</v>
      </c>
      <c r="M122" s="341"/>
      <c r="N122" s="341"/>
      <c r="O122" s="341"/>
      <c r="P122" s="341"/>
      <c r="Q122" s="1"/>
      <c r="R122" s="1">
        <v>4000000</v>
      </c>
      <c r="S122" s="1"/>
      <c r="T122" s="1"/>
      <c r="U122" s="1"/>
      <c r="V122" s="1"/>
      <c r="W122" s="1"/>
      <c r="X122" s="1"/>
      <c r="Y122" s="1"/>
      <c r="Z122" s="10">
        <f t="shared" si="98"/>
        <v>4000000</v>
      </c>
      <c r="AA122" s="8"/>
      <c r="AB122" s="8">
        <v>1000000</v>
      </c>
      <c r="AC122" s="8"/>
      <c r="AD122" s="8">
        <v>3000000</v>
      </c>
      <c r="AE122" s="8"/>
      <c r="AF122" s="2">
        <f t="shared" si="99"/>
        <v>450000</v>
      </c>
      <c r="AG122" s="356"/>
      <c r="AH122" s="17">
        <v>250000</v>
      </c>
      <c r="AI122" s="17"/>
      <c r="AJ122" s="17">
        <v>200000</v>
      </c>
      <c r="AK122" s="34">
        <f t="shared" si="100"/>
        <v>1000000</v>
      </c>
      <c r="AL122" s="17"/>
      <c r="AM122" s="93">
        <f t="shared" si="101"/>
        <v>1000000</v>
      </c>
      <c r="AN122" s="325"/>
      <c r="AO122" s="17"/>
      <c r="AP122" s="17"/>
      <c r="AQ122" s="17">
        <v>1000000</v>
      </c>
    </row>
    <row r="123" spans="1:43" ht="15.75" customHeight="1" x14ac:dyDescent="0.3">
      <c r="A123" s="46"/>
      <c r="B123" s="381"/>
      <c r="C123" s="216"/>
      <c r="D123" s="20"/>
      <c r="E123" s="98"/>
      <c r="F123" s="21"/>
      <c r="G123" s="341"/>
      <c r="H123" s="341"/>
      <c r="I123" s="341"/>
      <c r="J123" s="341"/>
      <c r="K123" s="341"/>
      <c r="L123" s="1"/>
      <c r="M123" s="341"/>
      <c r="N123" s="341"/>
      <c r="O123" s="341"/>
      <c r="P123" s="341"/>
      <c r="Q123" s="1"/>
      <c r="R123" s="1"/>
      <c r="S123" s="1"/>
      <c r="T123" s="1"/>
      <c r="U123" s="1"/>
      <c r="V123" s="1"/>
      <c r="W123" s="1"/>
      <c r="X123" s="1"/>
      <c r="Y123" s="1"/>
      <c r="Z123" s="2"/>
      <c r="AA123" s="11"/>
      <c r="AB123" s="11"/>
      <c r="AC123" s="11"/>
      <c r="AD123" s="11"/>
      <c r="AE123" s="11"/>
      <c r="AF123" s="2" t="s">
        <v>0</v>
      </c>
      <c r="AG123" s="356"/>
      <c r="AH123" s="17"/>
      <c r="AI123" s="17"/>
      <c r="AJ123" s="17"/>
      <c r="AK123" s="124"/>
      <c r="AL123" s="17"/>
      <c r="AM123" s="95"/>
      <c r="AN123" s="325"/>
      <c r="AO123" s="17"/>
      <c r="AP123" s="17"/>
      <c r="AQ123" s="17"/>
    </row>
    <row r="124" spans="1:43" ht="15.75" customHeight="1" x14ac:dyDescent="0.3">
      <c r="A124" s="40" t="s">
        <v>192</v>
      </c>
      <c r="B124" s="1912" t="s">
        <v>193</v>
      </c>
      <c r="C124" s="1919"/>
      <c r="D124" s="21">
        <f>SUM(D125:D126)</f>
        <v>7430000</v>
      </c>
      <c r="E124" s="71">
        <f>SUM(E125:E126)</f>
        <v>7430000</v>
      </c>
      <c r="F124" s="21">
        <f>SUM(F125:F126)</f>
        <v>7380000</v>
      </c>
      <c r="G124" s="341"/>
      <c r="H124" s="23">
        <f>SUM(H125:H126)</f>
        <v>0</v>
      </c>
      <c r="I124" s="341"/>
      <c r="J124" s="341"/>
      <c r="K124" s="341"/>
      <c r="L124" s="26">
        <f>+L125+L126</f>
        <v>0</v>
      </c>
      <c r="M124" s="341"/>
      <c r="N124" s="341"/>
      <c r="O124" s="341"/>
      <c r="P124" s="341"/>
      <c r="Q124" s="26">
        <f t="shared" ref="Q124:Z124" si="102">+Q125+Q126</f>
        <v>0</v>
      </c>
      <c r="R124" s="26">
        <f t="shared" si="102"/>
        <v>7350000</v>
      </c>
      <c r="S124" s="26">
        <f t="shared" si="102"/>
        <v>0</v>
      </c>
      <c r="T124" s="26">
        <f>+T125+T126</f>
        <v>0</v>
      </c>
      <c r="U124" s="26">
        <f t="shared" si="102"/>
        <v>0</v>
      </c>
      <c r="V124" s="26">
        <f>+V125+V126</f>
        <v>0</v>
      </c>
      <c r="W124" s="26">
        <f>+W125+W126</f>
        <v>30000</v>
      </c>
      <c r="X124" s="26">
        <f>+X125+X126</f>
        <v>0</v>
      </c>
      <c r="Y124" s="26">
        <f t="shared" si="102"/>
        <v>0</v>
      </c>
      <c r="Z124" s="26">
        <f t="shared" si="102"/>
        <v>0</v>
      </c>
      <c r="AA124" s="26">
        <f>+AA125+AA126</f>
        <v>0</v>
      </c>
      <c r="AB124" s="26">
        <f>+AB125+AB126</f>
        <v>0</v>
      </c>
      <c r="AC124" s="26">
        <f>+AC125+AC126</f>
        <v>0</v>
      </c>
      <c r="AD124" s="26">
        <f>+AD125+AD126</f>
        <v>0</v>
      </c>
      <c r="AE124" s="26">
        <f>+AE125+AE126</f>
        <v>0</v>
      </c>
      <c r="AF124" s="2">
        <f>SUM(AF125:AF126)</f>
        <v>50000</v>
      </c>
      <c r="AG124" s="345">
        <f t="shared" ref="AG124:AQ124" si="103">SUM(AG125:AG126)</f>
        <v>0</v>
      </c>
      <c r="AH124" s="33">
        <f t="shared" si="103"/>
        <v>0</v>
      </c>
      <c r="AI124" s="33">
        <f t="shared" si="103"/>
        <v>0</v>
      </c>
      <c r="AJ124" s="33">
        <f t="shared" si="103"/>
        <v>50000</v>
      </c>
      <c r="AK124" s="34">
        <f t="shared" si="103"/>
        <v>0</v>
      </c>
      <c r="AL124" s="35">
        <f t="shared" si="103"/>
        <v>0</v>
      </c>
      <c r="AM124" s="34">
        <f t="shared" si="103"/>
        <v>0</v>
      </c>
      <c r="AN124" s="305">
        <f>SUM(AN125:AN126)</f>
        <v>0</v>
      </c>
      <c r="AO124" s="35">
        <f t="shared" si="103"/>
        <v>0</v>
      </c>
      <c r="AP124" s="35">
        <f t="shared" si="103"/>
        <v>0</v>
      </c>
      <c r="AQ124" s="35">
        <f t="shared" si="103"/>
        <v>0</v>
      </c>
    </row>
    <row r="125" spans="1:43" ht="21.75" hidden="1" customHeight="1" x14ac:dyDescent="0.3">
      <c r="A125" s="46" t="s">
        <v>194</v>
      </c>
      <c r="B125" s="1903" t="s">
        <v>195</v>
      </c>
      <c r="C125" s="1917"/>
      <c r="D125" s="20">
        <f>+F125+Z125+AF125+AK125</f>
        <v>0</v>
      </c>
      <c r="E125" s="98">
        <f t="shared" ref="E125:E126" si="104">SUM(G125+H125+I125+J125+K125+L125+M125+N125+O125+P125+Q125+R125+S125+T125+U125+V125+W125+X125+Y125+AA125+AB125+AC125+AD125+AE125+AG125+AH125+AI125+AJ125+AL125+AN125+AO125+AP125+AQ125)</f>
        <v>0</v>
      </c>
      <c r="F125" s="21">
        <f>SUM(G125:Y125)</f>
        <v>0</v>
      </c>
      <c r="G125" s="341"/>
      <c r="H125" s="341"/>
      <c r="I125" s="341"/>
      <c r="J125" s="341"/>
      <c r="K125" s="341"/>
      <c r="L125" s="1">
        <v>0</v>
      </c>
      <c r="M125" s="341"/>
      <c r="N125" s="341"/>
      <c r="O125" s="341"/>
      <c r="P125" s="341"/>
      <c r="Q125" s="1"/>
      <c r="R125" s="1"/>
      <c r="S125" s="1"/>
      <c r="T125" s="1"/>
      <c r="U125" s="1"/>
      <c r="V125" s="1"/>
      <c r="W125" s="1"/>
      <c r="X125" s="1"/>
      <c r="Y125" s="1"/>
      <c r="Z125" s="10">
        <f>SUM(AA125:AE125)</f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2">
        <f>SUM(AG125:AJ125)</f>
        <v>0</v>
      </c>
      <c r="AG125" s="339">
        <v>0</v>
      </c>
      <c r="AH125" s="12">
        <v>0</v>
      </c>
      <c r="AI125" s="35">
        <v>0</v>
      </c>
      <c r="AJ125" s="35">
        <v>0</v>
      </c>
      <c r="AK125" s="34">
        <f>SUM(AL125+AM125)</f>
        <v>0</v>
      </c>
      <c r="AL125" s="35">
        <v>0</v>
      </c>
      <c r="AM125" s="93">
        <f>SUM(AN125:AQ125)</f>
        <v>0</v>
      </c>
      <c r="AN125" s="305">
        <v>0</v>
      </c>
      <c r="AO125" s="35">
        <v>0</v>
      </c>
      <c r="AP125" s="35">
        <v>0</v>
      </c>
      <c r="AQ125" s="35">
        <v>0</v>
      </c>
    </row>
    <row r="126" spans="1:43" ht="15.75" customHeight="1" x14ac:dyDescent="0.3">
      <c r="A126" s="46" t="s">
        <v>196</v>
      </c>
      <c r="B126" s="1903" t="s">
        <v>197</v>
      </c>
      <c r="C126" s="1917"/>
      <c r="D126" s="20">
        <f>+F126+Z126+AF126+AK126</f>
        <v>7430000</v>
      </c>
      <c r="E126" s="98">
        <f t="shared" si="104"/>
        <v>7430000</v>
      </c>
      <c r="F126" s="21">
        <f>SUM(G126:Y126)</f>
        <v>7380000</v>
      </c>
      <c r="G126" s="341"/>
      <c r="H126" s="341"/>
      <c r="I126" s="341"/>
      <c r="J126" s="341"/>
      <c r="K126" s="341"/>
      <c r="L126" s="1">
        <v>0</v>
      </c>
      <c r="M126" s="341"/>
      <c r="N126" s="341"/>
      <c r="O126" s="341"/>
      <c r="P126" s="341"/>
      <c r="Q126" s="1"/>
      <c r="R126" s="1">
        <v>7350000</v>
      </c>
      <c r="S126" s="1"/>
      <c r="T126" s="1"/>
      <c r="U126" s="1"/>
      <c r="V126" s="1"/>
      <c r="W126" s="1">
        <v>30000</v>
      </c>
      <c r="X126" s="1"/>
      <c r="Y126" s="1"/>
      <c r="Z126" s="10">
        <f>SUM(AA126:AE126)</f>
        <v>0</v>
      </c>
      <c r="AA126" s="1"/>
      <c r="AB126" s="1">
        <v>0</v>
      </c>
      <c r="AC126" s="1">
        <v>0</v>
      </c>
      <c r="AD126" s="1">
        <v>0</v>
      </c>
      <c r="AE126" s="1">
        <v>0</v>
      </c>
      <c r="AF126" s="2">
        <f>SUM(AG126:AJ126)</f>
        <v>50000</v>
      </c>
      <c r="AG126" s="339"/>
      <c r="AH126" s="12"/>
      <c r="AI126" s="35"/>
      <c r="AJ126" s="35">
        <v>50000</v>
      </c>
      <c r="AK126" s="34">
        <f>SUM(AL126+AM126)</f>
        <v>0</v>
      </c>
      <c r="AL126" s="35"/>
      <c r="AM126" s="93">
        <f>SUM(AN126:AQ126)</f>
        <v>0</v>
      </c>
      <c r="AN126" s="305"/>
      <c r="AO126" s="35"/>
      <c r="AP126" s="35"/>
      <c r="AQ126" s="35"/>
    </row>
    <row r="127" spans="1:43" ht="15.75" customHeight="1" x14ac:dyDescent="0.3">
      <c r="A127" s="46"/>
      <c r="B127" s="381"/>
      <c r="C127" s="216"/>
      <c r="D127" s="20"/>
      <c r="E127" s="98"/>
      <c r="F127" s="21">
        <f>SUM(G127:Y127)</f>
        <v>0</v>
      </c>
      <c r="G127" s="341"/>
      <c r="H127" s="341"/>
      <c r="I127" s="341"/>
      <c r="J127" s="341"/>
      <c r="K127" s="341"/>
      <c r="L127" s="1"/>
      <c r="M127" s="341"/>
      <c r="N127" s="341"/>
      <c r="O127" s="341"/>
      <c r="P127" s="341"/>
      <c r="Q127" s="1"/>
      <c r="R127" s="1"/>
      <c r="S127" s="1"/>
      <c r="T127" s="1"/>
      <c r="U127" s="1"/>
      <c r="V127" s="1"/>
      <c r="W127" s="1"/>
      <c r="X127" s="1"/>
      <c r="Y127" s="1"/>
      <c r="Z127" s="26"/>
      <c r="AA127" s="1"/>
      <c r="AB127" s="1"/>
      <c r="AC127" s="1"/>
      <c r="AD127" s="1"/>
      <c r="AE127" s="1"/>
      <c r="AF127" s="2" t="s">
        <v>0</v>
      </c>
      <c r="AG127" s="343" t="s">
        <v>0</v>
      </c>
      <c r="AH127" s="9" t="s">
        <v>0</v>
      </c>
      <c r="AI127" s="9" t="s">
        <v>0</v>
      </c>
      <c r="AJ127" s="9" t="s">
        <v>0</v>
      </c>
      <c r="AK127" s="34"/>
      <c r="AL127" s="12" t="s">
        <v>0</v>
      </c>
      <c r="AM127" s="118" t="s">
        <v>0</v>
      </c>
      <c r="AN127" s="317" t="s">
        <v>0</v>
      </c>
      <c r="AO127" s="12" t="s">
        <v>0</v>
      </c>
      <c r="AP127" s="12" t="s">
        <v>0</v>
      </c>
      <c r="AQ127" s="12" t="s">
        <v>0</v>
      </c>
    </row>
    <row r="128" spans="1:43" ht="15.75" customHeight="1" x14ac:dyDescent="0.3">
      <c r="A128" s="40" t="s">
        <v>372</v>
      </c>
      <c r="B128" s="1912" t="s">
        <v>373</v>
      </c>
      <c r="C128" s="1918"/>
      <c r="D128" s="21">
        <f>SUM(D129:D131)</f>
        <v>1850000</v>
      </c>
      <c r="E128" s="71">
        <f>SUM(E129:E131)</f>
        <v>1850000</v>
      </c>
      <c r="F128" s="21">
        <f>SUM(F129:F131)</f>
        <v>1850000</v>
      </c>
      <c r="G128" s="341"/>
      <c r="H128" s="341"/>
      <c r="I128" s="341"/>
      <c r="J128" s="341"/>
      <c r="K128" s="341"/>
      <c r="L128" s="26">
        <f>+L129+L130+L131</f>
        <v>0</v>
      </c>
      <c r="M128" s="341"/>
      <c r="N128" s="341"/>
      <c r="O128" s="341"/>
      <c r="P128" s="341"/>
      <c r="Q128" s="26">
        <f t="shared" ref="Q128:Z128" si="105">+Q129+Q130+Q131</f>
        <v>0</v>
      </c>
      <c r="R128" s="26">
        <f t="shared" si="105"/>
        <v>1850000</v>
      </c>
      <c r="S128" s="26">
        <f t="shared" si="105"/>
        <v>0</v>
      </c>
      <c r="T128" s="26">
        <f>+T129+T130+T131</f>
        <v>0</v>
      </c>
      <c r="U128" s="26">
        <f t="shared" si="105"/>
        <v>0</v>
      </c>
      <c r="V128" s="26">
        <f>+V129+V130+V131</f>
        <v>0</v>
      </c>
      <c r="W128" s="26">
        <f>+W129+W130+W131</f>
        <v>0</v>
      </c>
      <c r="X128" s="26">
        <f>+X129+X130+X131</f>
        <v>0</v>
      </c>
      <c r="Y128" s="26">
        <f t="shared" si="105"/>
        <v>0</v>
      </c>
      <c r="Z128" s="26">
        <f t="shared" si="105"/>
        <v>0</v>
      </c>
      <c r="AA128" s="26">
        <f>+AA129+AA130+AA131</f>
        <v>0</v>
      </c>
      <c r="AB128" s="26">
        <f>+AB129+AB130+AB131</f>
        <v>0</v>
      </c>
      <c r="AC128" s="26">
        <f>+AC129+AC130+AC131</f>
        <v>0</v>
      </c>
      <c r="AD128" s="26">
        <f>+AD129+AD130+AD131</f>
        <v>0</v>
      </c>
      <c r="AE128" s="26">
        <f>+AE129+AE130+AE131</f>
        <v>0</v>
      </c>
      <c r="AF128" s="2">
        <f>SUM(AF129:AF131)</f>
        <v>0</v>
      </c>
      <c r="AG128" s="343">
        <f t="shared" ref="AG128:AQ128" si="106">SUM(AG129:AG131)</f>
        <v>0</v>
      </c>
      <c r="AH128" s="14">
        <f t="shared" si="106"/>
        <v>0</v>
      </c>
      <c r="AI128" s="14">
        <f t="shared" si="106"/>
        <v>0</v>
      </c>
      <c r="AJ128" s="14">
        <f t="shared" si="106"/>
        <v>0</v>
      </c>
      <c r="AK128" s="34">
        <f t="shared" si="106"/>
        <v>0</v>
      </c>
      <c r="AL128" s="13">
        <f t="shared" si="106"/>
        <v>0</v>
      </c>
      <c r="AM128" s="115">
        <f t="shared" si="106"/>
        <v>0</v>
      </c>
      <c r="AN128" s="309">
        <f>SUM(AN129:AN131)</f>
        <v>0</v>
      </c>
      <c r="AO128" s="13">
        <f t="shared" si="106"/>
        <v>0</v>
      </c>
      <c r="AP128" s="13">
        <f t="shared" si="106"/>
        <v>0</v>
      </c>
      <c r="AQ128" s="13">
        <f t="shared" si="106"/>
        <v>0</v>
      </c>
    </row>
    <row r="129" spans="1:43" ht="15.75" customHeight="1" x14ac:dyDescent="0.3">
      <c r="A129" s="46" t="s">
        <v>198</v>
      </c>
      <c r="B129" s="1903" t="s">
        <v>199</v>
      </c>
      <c r="C129" s="1917"/>
      <c r="D129" s="20">
        <f>+F129+Z129+AF129+AK129</f>
        <v>200000</v>
      </c>
      <c r="E129" s="98">
        <f t="shared" ref="E129:E131" si="107">SUM(G129+H129+I129+J129+K129+L129+M129+N129+O129+P129+Q129+R129+S129+T129+U129+V129+W129+X129+Y129+AA129+AB129+AC129+AD129+AE129+AG129+AH129+AI129+AJ129+AL129+AN129+AO129+AP129+AQ129)</f>
        <v>200000</v>
      </c>
      <c r="F129" s="21">
        <f>SUM(G129:Y129)</f>
        <v>200000</v>
      </c>
      <c r="G129" s="341"/>
      <c r="H129" s="341"/>
      <c r="I129" s="341"/>
      <c r="J129" s="341"/>
      <c r="K129" s="341"/>
      <c r="L129" s="1">
        <v>0</v>
      </c>
      <c r="M129" s="341"/>
      <c r="N129" s="341"/>
      <c r="O129" s="341"/>
      <c r="P129" s="341"/>
      <c r="Q129" s="1"/>
      <c r="R129" s="1">
        <v>200000</v>
      </c>
      <c r="S129" s="1"/>
      <c r="T129" s="1"/>
      <c r="U129" s="1"/>
      <c r="V129" s="1"/>
      <c r="W129" s="1"/>
      <c r="X129" s="1"/>
      <c r="Y129" s="1"/>
      <c r="Z129" s="10">
        <f>SUM(AA129:AE129)</f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0</v>
      </c>
      <c r="AF129" s="2">
        <f>SUM(AG129:AJ129)</f>
        <v>0</v>
      </c>
      <c r="AG129" s="352">
        <v>0</v>
      </c>
      <c r="AH129" s="15">
        <v>0</v>
      </c>
      <c r="AI129" s="15">
        <v>0</v>
      </c>
      <c r="AJ129" s="15">
        <v>0</v>
      </c>
      <c r="AK129" s="34">
        <f>SUM(AL129+AM129)</f>
        <v>0</v>
      </c>
      <c r="AL129" s="15">
        <v>0</v>
      </c>
      <c r="AM129" s="93">
        <f>SUM(AN129:AQ129)</f>
        <v>0</v>
      </c>
      <c r="AN129" s="319">
        <v>0</v>
      </c>
      <c r="AO129" s="15">
        <v>0</v>
      </c>
      <c r="AP129" s="15">
        <v>0</v>
      </c>
      <c r="AQ129" s="15">
        <v>0</v>
      </c>
    </row>
    <row r="130" spans="1:43" ht="15.75" customHeight="1" x14ac:dyDescent="0.3">
      <c r="A130" s="46" t="s">
        <v>200</v>
      </c>
      <c r="B130" s="1903" t="s">
        <v>201</v>
      </c>
      <c r="C130" s="1917"/>
      <c r="D130" s="20">
        <f>+F130+Z130+AF130+AK130</f>
        <v>1400000</v>
      </c>
      <c r="E130" s="98">
        <f t="shared" si="107"/>
        <v>1400000</v>
      </c>
      <c r="F130" s="21">
        <f>SUM(G130:Y130)</f>
        <v>1400000</v>
      </c>
      <c r="G130" s="341"/>
      <c r="H130" s="341"/>
      <c r="I130" s="341"/>
      <c r="J130" s="341"/>
      <c r="K130" s="341"/>
      <c r="L130" s="1">
        <v>0</v>
      </c>
      <c r="M130" s="341"/>
      <c r="N130" s="341"/>
      <c r="O130" s="341"/>
      <c r="P130" s="341"/>
      <c r="Q130" s="1"/>
      <c r="R130" s="1">
        <v>1400000</v>
      </c>
      <c r="S130" s="1"/>
      <c r="T130" s="1"/>
      <c r="U130" s="1"/>
      <c r="V130" s="1"/>
      <c r="W130" s="1"/>
      <c r="X130" s="1"/>
      <c r="Y130" s="1"/>
      <c r="Z130" s="10">
        <f>SUM(AA130:AE130)</f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2">
        <f>SUM(AG130:AJ130)</f>
        <v>0</v>
      </c>
      <c r="AG130" s="352">
        <v>0</v>
      </c>
      <c r="AH130" s="15">
        <v>0</v>
      </c>
      <c r="AI130" s="15">
        <v>0</v>
      </c>
      <c r="AJ130" s="15">
        <v>0</v>
      </c>
      <c r="AK130" s="34">
        <f>SUM(AL130+AM130)</f>
        <v>0</v>
      </c>
      <c r="AL130" s="15">
        <v>0</v>
      </c>
      <c r="AM130" s="93">
        <f>SUM(AN130:AQ130)</f>
        <v>0</v>
      </c>
      <c r="AN130" s="319">
        <v>0</v>
      </c>
      <c r="AO130" s="15">
        <v>0</v>
      </c>
      <c r="AP130" s="15">
        <v>0</v>
      </c>
      <c r="AQ130" s="15">
        <v>0</v>
      </c>
    </row>
    <row r="131" spans="1:43" ht="15.75" customHeight="1" x14ac:dyDescent="0.3">
      <c r="A131" s="46" t="s">
        <v>202</v>
      </c>
      <c r="B131" s="1903" t="s">
        <v>203</v>
      </c>
      <c r="C131" s="1917"/>
      <c r="D131" s="20">
        <f>+F131+Z131+AF131+AK131</f>
        <v>250000</v>
      </c>
      <c r="E131" s="98">
        <f t="shared" si="107"/>
        <v>250000</v>
      </c>
      <c r="F131" s="21">
        <f>SUM(G131:Y131)</f>
        <v>250000</v>
      </c>
      <c r="G131" s="341"/>
      <c r="H131" s="341"/>
      <c r="I131" s="341"/>
      <c r="J131" s="341"/>
      <c r="K131" s="341"/>
      <c r="L131" s="1">
        <v>0</v>
      </c>
      <c r="M131" s="341"/>
      <c r="N131" s="341"/>
      <c r="O131" s="341"/>
      <c r="P131" s="341"/>
      <c r="Q131" s="1"/>
      <c r="R131" s="1">
        <v>250000</v>
      </c>
      <c r="S131" s="1"/>
      <c r="T131" s="1"/>
      <c r="U131" s="1"/>
      <c r="V131" s="1"/>
      <c r="W131" s="1"/>
      <c r="X131" s="1"/>
      <c r="Y131" s="1"/>
      <c r="Z131" s="10">
        <f>SUM(AA131:AE131)</f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2">
        <f>SUM(AG131:AJ131)</f>
        <v>0</v>
      </c>
      <c r="AG131" s="352"/>
      <c r="AH131" s="15"/>
      <c r="AI131" s="15">
        <v>0</v>
      </c>
      <c r="AJ131" s="15">
        <v>0</v>
      </c>
      <c r="AK131" s="34">
        <f>SUM(AL131+AM131)</f>
        <v>0</v>
      </c>
      <c r="AL131" s="15">
        <v>0</v>
      </c>
      <c r="AM131" s="93">
        <f>SUM(AN131:AQ131)</f>
        <v>0</v>
      </c>
      <c r="AN131" s="319">
        <v>0</v>
      </c>
      <c r="AO131" s="15">
        <v>0</v>
      </c>
      <c r="AP131" s="15">
        <v>0</v>
      </c>
      <c r="AQ131" s="15"/>
    </row>
    <row r="132" spans="1:43" ht="15.75" customHeight="1" x14ac:dyDescent="0.3">
      <c r="A132" s="46"/>
      <c r="B132" s="381"/>
      <c r="C132" s="216"/>
      <c r="D132" s="20"/>
      <c r="E132" s="98"/>
      <c r="F132" s="21"/>
      <c r="G132" s="341"/>
      <c r="H132" s="341"/>
      <c r="I132" s="341"/>
      <c r="J132" s="341"/>
      <c r="K132" s="341"/>
      <c r="L132" s="1"/>
      <c r="M132" s="341"/>
      <c r="N132" s="341"/>
      <c r="O132" s="341"/>
      <c r="P132" s="341"/>
      <c r="Q132" s="1"/>
      <c r="R132" s="1"/>
      <c r="S132" s="1"/>
      <c r="T132" s="1"/>
      <c r="U132" s="1"/>
      <c r="V132" s="1"/>
      <c r="W132" s="1"/>
      <c r="X132" s="1"/>
      <c r="Y132" s="1"/>
      <c r="Z132" s="10"/>
      <c r="AA132" s="8"/>
      <c r="AB132" s="8"/>
      <c r="AC132" s="8"/>
      <c r="AD132" s="8"/>
      <c r="AE132" s="8"/>
      <c r="AF132" s="2">
        <f>SUM(AG132:AI132)</f>
        <v>0</v>
      </c>
      <c r="AG132" s="345"/>
      <c r="AH132" s="10"/>
      <c r="AI132" s="10"/>
      <c r="AJ132" s="10"/>
      <c r="AK132" s="34"/>
      <c r="AL132" s="8"/>
      <c r="AM132" s="117"/>
      <c r="AN132" s="326"/>
      <c r="AO132" s="10"/>
      <c r="AP132" s="10"/>
      <c r="AQ132" s="10"/>
    </row>
    <row r="133" spans="1:43" ht="15.75" customHeight="1" x14ac:dyDescent="0.3">
      <c r="A133" s="69">
        <v>2</v>
      </c>
      <c r="B133" s="1912" t="s">
        <v>204</v>
      </c>
      <c r="C133" s="1918"/>
      <c r="D133" s="25">
        <f>+D135+D141+D144+D153+D157</f>
        <v>132369300</v>
      </c>
      <c r="E133" s="71">
        <f>SUM(E135+E141+E144+E153+E157)</f>
        <v>132369300</v>
      </c>
      <c r="F133" s="25">
        <f t="shared" ref="F133:AE133" si="108">F135+F144+F153+F157+F141</f>
        <v>75232896</v>
      </c>
      <c r="G133" s="25">
        <f t="shared" si="108"/>
        <v>1464908</v>
      </c>
      <c r="H133" s="25">
        <f t="shared" si="108"/>
        <v>644095</v>
      </c>
      <c r="I133" s="25">
        <f t="shared" si="108"/>
        <v>3004173</v>
      </c>
      <c r="J133" s="25">
        <f t="shared" si="108"/>
        <v>750000</v>
      </c>
      <c r="K133" s="25">
        <f t="shared" si="108"/>
        <v>1997800</v>
      </c>
      <c r="L133" s="25">
        <f t="shared" si="108"/>
        <v>17898000</v>
      </c>
      <c r="M133" s="25">
        <f t="shared" si="108"/>
        <v>400000</v>
      </c>
      <c r="N133" s="25">
        <f t="shared" si="108"/>
        <v>600000</v>
      </c>
      <c r="O133" s="25">
        <f t="shared" si="108"/>
        <v>830436</v>
      </c>
      <c r="P133" s="25">
        <f t="shared" si="108"/>
        <v>1799135</v>
      </c>
      <c r="Q133" s="25">
        <f t="shared" si="108"/>
        <v>268548</v>
      </c>
      <c r="R133" s="25">
        <f t="shared" si="108"/>
        <v>35397500</v>
      </c>
      <c r="S133" s="25">
        <f t="shared" si="108"/>
        <v>1925308</v>
      </c>
      <c r="T133" s="25">
        <f t="shared" si="108"/>
        <v>561800</v>
      </c>
      <c r="U133" s="25">
        <f t="shared" si="108"/>
        <v>218548</v>
      </c>
      <c r="V133" s="25">
        <f t="shared" si="108"/>
        <v>1063240</v>
      </c>
      <c r="W133" s="25">
        <f t="shared" si="108"/>
        <v>4100000</v>
      </c>
      <c r="X133" s="25">
        <f t="shared" si="108"/>
        <v>1771602</v>
      </c>
      <c r="Y133" s="25">
        <f t="shared" si="108"/>
        <v>537803</v>
      </c>
      <c r="Z133" s="25">
        <f t="shared" si="108"/>
        <v>32652613</v>
      </c>
      <c r="AA133" s="25">
        <f t="shared" si="108"/>
        <v>1209287</v>
      </c>
      <c r="AB133" s="25">
        <f t="shared" si="108"/>
        <v>5992136</v>
      </c>
      <c r="AC133" s="25">
        <f t="shared" si="108"/>
        <v>3100000</v>
      </c>
      <c r="AD133" s="25">
        <f t="shared" si="108"/>
        <v>18751190</v>
      </c>
      <c r="AE133" s="25">
        <f t="shared" si="108"/>
        <v>3600000</v>
      </c>
      <c r="AF133" s="2">
        <f>SUM(AF135+AF141+AF144+AF153+AF157)</f>
        <v>5178791</v>
      </c>
      <c r="AG133" s="345">
        <f t="shared" ref="AG133:AQ133" si="109">AG135+AG141+AG144+AG153+AG157</f>
        <v>851405</v>
      </c>
      <c r="AH133" s="33">
        <f t="shared" si="109"/>
        <v>2505000</v>
      </c>
      <c r="AI133" s="33">
        <f t="shared" si="109"/>
        <v>32386</v>
      </c>
      <c r="AJ133" s="33">
        <f t="shared" si="109"/>
        <v>1790000</v>
      </c>
      <c r="AK133" s="34">
        <f t="shared" si="109"/>
        <v>19305000</v>
      </c>
      <c r="AL133" s="33">
        <f t="shared" si="109"/>
        <v>4880000</v>
      </c>
      <c r="AM133" s="34">
        <f t="shared" si="109"/>
        <v>14425000</v>
      </c>
      <c r="AN133" s="308">
        <f t="shared" si="109"/>
        <v>1775000</v>
      </c>
      <c r="AO133" s="33">
        <f t="shared" si="109"/>
        <v>3950000</v>
      </c>
      <c r="AP133" s="33">
        <f t="shared" si="109"/>
        <v>3350000</v>
      </c>
      <c r="AQ133" s="33">
        <f t="shared" si="109"/>
        <v>5350000</v>
      </c>
    </row>
    <row r="134" spans="1:43" ht="15.75" customHeight="1" x14ac:dyDescent="0.3">
      <c r="A134" s="46"/>
      <c r="B134" s="381"/>
      <c r="C134" s="216"/>
      <c r="D134" s="20"/>
      <c r="E134" s="98"/>
      <c r="F134" s="21"/>
      <c r="G134" s="341"/>
      <c r="H134" s="341"/>
      <c r="I134" s="341"/>
      <c r="J134" s="341"/>
      <c r="K134" s="341"/>
      <c r="L134" s="1"/>
      <c r="M134" s="341"/>
      <c r="N134" s="341"/>
      <c r="O134" s="341"/>
      <c r="P134" s="341"/>
      <c r="Q134" s="1"/>
      <c r="R134" s="1"/>
      <c r="S134" s="1"/>
      <c r="T134" s="1"/>
      <c r="U134" s="1"/>
      <c r="V134" s="1"/>
      <c r="W134" s="1"/>
      <c r="X134" s="1"/>
      <c r="Y134" s="1"/>
      <c r="Z134" s="10"/>
      <c r="AA134" s="10"/>
      <c r="AB134" s="10"/>
      <c r="AC134" s="10"/>
      <c r="AD134" s="10"/>
      <c r="AE134" s="10"/>
      <c r="AF134" s="2" t="s">
        <v>0</v>
      </c>
      <c r="AG134" s="344" t="s">
        <v>0</v>
      </c>
      <c r="AH134" s="8" t="s">
        <v>0</v>
      </c>
      <c r="AI134" s="8" t="s">
        <v>0</v>
      </c>
      <c r="AJ134" s="8" t="s">
        <v>0</v>
      </c>
      <c r="AK134" s="34"/>
      <c r="AL134" s="8" t="s">
        <v>0</v>
      </c>
      <c r="AM134" s="117" t="s">
        <v>0</v>
      </c>
      <c r="AN134" s="316" t="s">
        <v>0</v>
      </c>
      <c r="AO134" s="8" t="s">
        <v>0</v>
      </c>
      <c r="AP134" s="8" t="s">
        <v>0</v>
      </c>
      <c r="AQ134" s="8" t="s">
        <v>0</v>
      </c>
    </row>
    <row r="135" spans="1:43" ht="15.75" customHeight="1" x14ac:dyDescent="0.3">
      <c r="A135" s="40" t="s">
        <v>205</v>
      </c>
      <c r="B135" s="1912" t="s">
        <v>206</v>
      </c>
      <c r="C135" s="1918"/>
      <c r="D135" s="21">
        <f>SUM(D136:D139)</f>
        <v>42540466</v>
      </c>
      <c r="E135" s="71">
        <f>SUM(E136:E139)</f>
        <v>42540466</v>
      </c>
      <c r="F135" s="21">
        <f>SUM(G135:Y135)</f>
        <v>19029813</v>
      </c>
      <c r="G135" s="23">
        <f t="shared" ref="G135:Z135" si="110">SUM(G136:G139)</f>
        <v>690000</v>
      </c>
      <c r="H135" s="23">
        <f t="shared" si="110"/>
        <v>168625</v>
      </c>
      <c r="I135" s="23">
        <f t="shared" si="110"/>
        <v>1111465</v>
      </c>
      <c r="J135" s="23">
        <f t="shared" si="110"/>
        <v>250000</v>
      </c>
      <c r="K135" s="23">
        <f t="shared" si="110"/>
        <v>0</v>
      </c>
      <c r="L135" s="23">
        <f t="shared" si="110"/>
        <v>1668000</v>
      </c>
      <c r="M135" s="23">
        <f t="shared" si="110"/>
        <v>200000</v>
      </c>
      <c r="N135" s="23">
        <f t="shared" si="110"/>
        <v>300000</v>
      </c>
      <c r="O135" s="23">
        <f t="shared" si="110"/>
        <v>608193</v>
      </c>
      <c r="P135" s="23">
        <f t="shared" si="110"/>
        <v>558021</v>
      </c>
      <c r="Q135" s="23">
        <f t="shared" si="110"/>
        <v>166344</v>
      </c>
      <c r="R135" s="23">
        <f t="shared" si="110"/>
        <v>8747500</v>
      </c>
      <c r="S135" s="23">
        <f t="shared" si="110"/>
        <v>1044722</v>
      </c>
      <c r="T135" s="23">
        <f>SUM(T136:T139)</f>
        <v>111800</v>
      </c>
      <c r="U135" s="23">
        <f t="shared" si="110"/>
        <v>166344</v>
      </c>
      <c r="V135" s="23">
        <f>SUM(V136:V139)</f>
        <v>466800</v>
      </c>
      <c r="W135" s="23">
        <f>SUM(W136:W139)</f>
        <v>1600000</v>
      </c>
      <c r="X135" s="23">
        <f>SUM(X136:X139)</f>
        <v>878692</v>
      </c>
      <c r="Y135" s="23">
        <f t="shared" si="110"/>
        <v>293307</v>
      </c>
      <c r="Z135" s="9">
        <f t="shared" si="110"/>
        <v>13587639</v>
      </c>
      <c r="AA135" s="9">
        <f t="shared" ref="AA135:AF135" si="111">SUM(AA136:AA139)</f>
        <v>453439</v>
      </c>
      <c r="AB135" s="9">
        <f t="shared" si="111"/>
        <v>2134200</v>
      </c>
      <c r="AC135" s="9">
        <f t="shared" si="111"/>
        <v>0</v>
      </c>
      <c r="AD135" s="9">
        <f t="shared" si="111"/>
        <v>10000000</v>
      </c>
      <c r="AE135" s="9">
        <f t="shared" si="111"/>
        <v>1000000</v>
      </c>
      <c r="AF135" s="2">
        <f t="shared" si="111"/>
        <v>3998014</v>
      </c>
      <c r="AG135" s="345">
        <f t="shared" ref="AG135:AQ135" si="112">SUM(AG136:AG139)</f>
        <v>698014</v>
      </c>
      <c r="AH135" s="33">
        <f t="shared" si="112"/>
        <v>2100000</v>
      </c>
      <c r="AI135" s="33">
        <f t="shared" si="112"/>
        <v>0</v>
      </c>
      <c r="AJ135" s="33">
        <f t="shared" si="112"/>
        <v>1200000</v>
      </c>
      <c r="AK135" s="34">
        <f t="shared" si="112"/>
        <v>5925000</v>
      </c>
      <c r="AL135" s="35">
        <f t="shared" si="112"/>
        <v>1350000</v>
      </c>
      <c r="AM135" s="34">
        <f t="shared" si="112"/>
        <v>4575000</v>
      </c>
      <c r="AN135" s="305">
        <f>SUM(AN136:AN139)</f>
        <v>675000</v>
      </c>
      <c r="AO135" s="35">
        <f t="shared" si="112"/>
        <v>1400000</v>
      </c>
      <c r="AP135" s="35">
        <f t="shared" si="112"/>
        <v>1000000</v>
      </c>
      <c r="AQ135" s="35">
        <f t="shared" si="112"/>
        <v>1500000</v>
      </c>
    </row>
    <row r="136" spans="1:43" ht="15.75" customHeight="1" x14ac:dyDescent="0.3">
      <c r="A136" s="46" t="s">
        <v>207</v>
      </c>
      <c r="B136" s="1903" t="s">
        <v>208</v>
      </c>
      <c r="C136" s="1904"/>
      <c r="D136" s="20">
        <f>+F136+Z136+AF136+AK136</f>
        <v>6397500</v>
      </c>
      <c r="E136" s="98">
        <f t="shared" ref="E136:E139" si="113">SUM(G136+H136+I136+J136+K136+L136+M136+N136+O136+P136+Q136+R136+S136+T136+U136+V136+W136+X136+Y136+AA136+AB136+AC136+AD136+AE136+AG136+AH136+AI136+AJ136+AL136+AN136+AO136+AP136+AQ136)</f>
        <v>6397500</v>
      </c>
      <c r="F136" s="21">
        <f>SUM(G136:Y136)</f>
        <v>6397500</v>
      </c>
      <c r="G136" s="341"/>
      <c r="H136" s="341"/>
      <c r="I136" s="341"/>
      <c r="J136" s="341"/>
      <c r="K136" s="341"/>
      <c r="L136" s="1">
        <v>150000</v>
      </c>
      <c r="M136" s="341"/>
      <c r="N136" s="341"/>
      <c r="O136" s="341"/>
      <c r="P136" s="341"/>
      <c r="Q136" s="1"/>
      <c r="R136" s="1">
        <v>6247500</v>
      </c>
      <c r="S136" s="1"/>
      <c r="T136" s="1"/>
      <c r="U136" s="1"/>
      <c r="V136" s="1"/>
      <c r="W136" s="1"/>
      <c r="X136" s="1"/>
      <c r="Y136" s="1"/>
      <c r="Z136" s="10">
        <f>SUM(AA136:AE136)</f>
        <v>0</v>
      </c>
      <c r="AA136" s="8"/>
      <c r="AB136" s="8"/>
      <c r="AC136" s="8"/>
      <c r="AD136" s="8"/>
      <c r="AE136" s="8"/>
      <c r="AF136" s="2">
        <f>SUM(AG136:AJ136)</f>
        <v>0</v>
      </c>
      <c r="AG136" s="343">
        <v>0</v>
      </c>
      <c r="AH136" s="9">
        <v>0</v>
      </c>
      <c r="AI136" s="9">
        <v>0</v>
      </c>
      <c r="AJ136" s="9">
        <v>0</v>
      </c>
      <c r="AK136" s="34">
        <f>SUM(AL136+AM136)</f>
        <v>0</v>
      </c>
      <c r="AL136" s="12">
        <v>0</v>
      </c>
      <c r="AM136" s="93">
        <f>SUM(AN136:AQ136)</f>
        <v>0</v>
      </c>
      <c r="AN136" s="317">
        <v>0</v>
      </c>
      <c r="AO136" s="12">
        <v>0</v>
      </c>
      <c r="AP136" s="12">
        <v>0</v>
      </c>
      <c r="AQ136" s="12">
        <v>0</v>
      </c>
    </row>
    <row r="137" spans="1:43" ht="15.75" customHeight="1" x14ac:dyDescent="0.3">
      <c r="A137" s="46" t="s">
        <v>209</v>
      </c>
      <c r="B137" s="1903" t="s">
        <v>210</v>
      </c>
      <c r="C137" s="1904"/>
      <c r="D137" s="20">
        <f>+F137+Z137+AF137+AK137</f>
        <v>318000</v>
      </c>
      <c r="E137" s="98">
        <f t="shared" si="113"/>
        <v>318000</v>
      </c>
      <c r="F137" s="21">
        <f>SUM(G137:Y137)</f>
        <v>318000</v>
      </c>
      <c r="G137" s="341"/>
      <c r="H137" s="341"/>
      <c r="I137" s="341"/>
      <c r="J137" s="341"/>
      <c r="K137" s="341"/>
      <c r="L137" s="1">
        <v>18000</v>
      </c>
      <c r="M137" s="341"/>
      <c r="N137" s="341"/>
      <c r="O137" s="341"/>
      <c r="P137" s="341"/>
      <c r="Q137" s="1"/>
      <c r="R137" s="1">
        <v>200000</v>
      </c>
      <c r="S137" s="1"/>
      <c r="T137" s="1"/>
      <c r="U137" s="1"/>
      <c r="V137" s="1"/>
      <c r="W137" s="1"/>
      <c r="X137" s="1">
        <v>100000</v>
      </c>
      <c r="Y137" s="1"/>
      <c r="Z137" s="10">
        <f>SUM(AA137:AE137)</f>
        <v>0</v>
      </c>
      <c r="AA137" s="8"/>
      <c r="AB137" s="8"/>
      <c r="AC137" s="8"/>
      <c r="AD137" s="8"/>
      <c r="AE137" s="8"/>
      <c r="AF137" s="2">
        <f>SUM(AG137:AJ137)</f>
        <v>0</v>
      </c>
      <c r="AG137" s="339">
        <v>0</v>
      </c>
      <c r="AH137" s="5">
        <v>0</v>
      </c>
      <c r="AI137" s="5"/>
      <c r="AJ137" s="5"/>
      <c r="AK137" s="34">
        <f>SUM(AL137+AM137)</f>
        <v>0</v>
      </c>
      <c r="AL137" s="5"/>
      <c r="AM137" s="93">
        <f>SUM(AN137:AQ137)</f>
        <v>0</v>
      </c>
      <c r="AN137" s="306"/>
      <c r="AO137" s="5"/>
      <c r="AP137" s="5"/>
      <c r="AQ137" s="5"/>
    </row>
    <row r="138" spans="1:43" ht="15.75" customHeight="1" x14ac:dyDescent="0.3">
      <c r="A138" s="46" t="s">
        <v>211</v>
      </c>
      <c r="B138" s="1903" t="s">
        <v>212</v>
      </c>
      <c r="C138" s="1904"/>
      <c r="D138" s="20">
        <f>+F138+Z138+AF138+AK138</f>
        <v>35524966</v>
      </c>
      <c r="E138" s="98">
        <f t="shared" si="113"/>
        <v>35524966</v>
      </c>
      <c r="F138" s="21">
        <f>SUM(G138:Y138)</f>
        <v>12014313</v>
      </c>
      <c r="G138" s="341">
        <f>600000+90000</f>
        <v>690000</v>
      </c>
      <c r="H138" s="341">
        <v>168625</v>
      </c>
      <c r="I138" s="341">
        <v>1111465</v>
      </c>
      <c r="J138" s="341">
        <v>250000</v>
      </c>
      <c r="K138" s="341"/>
      <c r="L138" s="1">
        <v>1500000</v>
      </c>
      <c r="M138" s="341">
        <v>200000</v>
      </c>
      <c r="N138" s="341">
        <v>300000</v>
      </c>
      <c r="O138" s="341">
        <v>608193</v>
      </c>
      <c r="P138" s="341">
        <v>558021</v>
      </c>
      <c r="Q138" s="1">
        <v>166344</v>
      </c>
      <c r="R138" s="1">
        <v>2000000</v>
      </c>
      <c r="S138" s="1">
        <v>1044722</v>
      </c>
      <c r="T138" s="1">
        <v>111800</v>
      </c>
      <c r="U138" s="1">
        <v>166344</v>
      </c>
      <c r="V138" s="1">
        <v>466800</v>
      </c>
      <c r="W138" s="1">
        <v>1600000</v>
      </c>
      <c r="X138" s="1">
        <v>778692</v>
      </c>
      <c r="Y138" s="1">
        <v>293307</v>
      </c>
      <c r="Z138" s="10">
        <f>SUM(AA138:AE138)</f>
        <v>13587639</v>
      </c>
      <c r="AA138" s="12">
        <v>453439</v>
      </c>
      <c r="AB138" s="12">
        <v>2134200</v>
      </c>
      <c r="AC138" s="12"/>
      <c r="AD138" s="12">
        <v>10000000</v>
      </c>
      <c r="AE138" s="12">
        <v>1000000</v>
      </c>
      <c r="AF138" s="2">
        <f>SUM(AG138:AJ138)</f>
        <v>3998014</v>
      </c>
      <c r="AG138" s="356">
        <v>698014</v>
      </c>
      <c r="AH138" s="17">
        <v>2100000</v>
      </c>
      <c r="AI138" s="17"/>
      <c r="AJ138" s="17">
        <v>1200000</v>
      </c>
      <c r="AK138" s="34">
        <f>SUM(AL138+AM138)</f>
        <v>5925000</v>
      </c>
      <c r="AL138" s="17">
        <v>1350000</v>
      </c>
      <c r="AM138" s="93">
        <f>SUM(AN138:AQ138)</f>
        <v>4575000</v>
      </c>
      <c r="AN138" s="325">
        <v>675000</v>
      </c>
      <c r="AO138" s="17">
        <v>1400000</v>
      </c>
      <c r="AP138" s="17">
        <v>1000000</v>
      </c>
      <c r="AQ138" s="17">
        <v>1500000</v>
      </c>
    </row>
    <row r="139" spans="1:43" ht="15.75" customHeight="1" x14ac:dyDescent="0.3">
      <c r="A139" s="46" t="s">
        <v>213</v>
      </c>
      <c r="B139" s="1903" t="s">
        <v>214</v>
      </c>
      <c r="C139" s="1904"/>
      <c r="D139" s="20">
        <f>+F139+Z139+AF139+AK139</f>
        <v>300000</v>
      </c>
      <c r="E139" s="98">
        <f t="shared" si="113"/>
        <v>300000</v>
      </c>
      <c r="F139" s="21">
        <f>SUM(G139:Y139)</f>
        <v>300000</v>
      </c>
      <c r="G139" s="341"/>
      <c r="H139" s="341"/>
      <c r="I139" s="341"/>
      <c r="J139" s="341">
        <v>0</v>
      </c>
      <c r="K139" s="341">
        <v>0</v>
      </c>
      <c r="L139" s="1"/>
      <c r="M139" s="341"/>
      <c r="N139" s="341"/>
      <c r="O139" s="341"/>
      <c r="P139" s="341"/>
      <c r="Q139" s="1"/>
      <c r="R139" s="1">
        <v>300000</v>
      </c>
      <c r="S139" s="1"/>
      <c r="T139" s="1"/>
      <c r="U139" s="1"/>
      <c r="V139" s="1"/>
      <c r="W139" s="1"/>
      <c r="X139" s="1"/>
      <c r="Y139" s="1"/>
      <c r="Z139" s="10">
        <f>SUM(AA139:AE139)</f>
        <v>0</v>
      </c>
      <c r="AA139" s="8"/>
      <c r="AB139" s="8"/>
      <c r="AC139" s="8"/>
      <c r="AD139" s="8"/>
      <c r="AE139" s="8"/>
      <c r="AF139" s="2">
        <f>SUM(AG139:AJ139)</f>
        <v>0</v>
      </c>
      <c r="AG139" s="339"/>
      <c r="AH139" s="13"/>
      <c r="AI139" s="13"/>
      <c r="AJ139" s="13"/>
      <c r="AK139" s="34">
        <f>SUM(AL139+AM139)</f>
        <v>0</v>
      </c>
      <c r="AL139" s="13"/>
      <c r="AM139" s="93">
        <f>SUM(AN139:AQ139)</f>
        <v>0</v>
      </c>
      <c r="AN139" s="309"/>
      <c r="AO139" s="13"/>
      <c r="AP139" s="13"/>
      <c r="AQ139" s="13"/>
    </row>
    <row r="140" spans="1:43" ht="15.75" customHeight="1" x14ac:dyDescent="0.3">
      <c r="A140" s="46"/>
      <c r="B140" s="381"/>
      <c r="C140" s="99"/>
      <c r="D140" s="20"/>
      <c r="E140" s="98"/>
      <c r="F140" s="21"/>
      <c r="G140" s="341"/>
      <c r="H140" s="341"/>
      <c r="I140" s="341"/>
      <c r="J140" s="341"/>
      <c r="K140" s="341"/>
      <c r="L140" s="1"/>
      <c r="M140" s="341"/>
      <c r="N140" s="341"/>
      <c r="O140" s="341"/>
      <c r="P140" s="341"/>
      <c r="Q140" s="1"/>
      <c r="R140" s="1"/>
      <c r="S140" s="1"/>
      <c r="T140" s="1"/>
      <c r="U140" s="1"/>
      <c r="V140" s="1"/>
      <c r="W140" s="1"/>
      <c r="X140" s="1"/>
      <c r="Y140" s="1"/>
      <c r="Z140" s="10"/>
      <c r="AA140" s="8"/>
      <c r="AB140" s="8"/>
      <c r="AC140" s="8"/>
      <c r="AD140" s="8"/>
      <c r="AE140" s="8"/>
      <c r="AF140" s="2"/>
      <c r="AG140" s="339"/>
      <c r="AH140" s="13"/>
      <c r="AI140" s="13"/>
      <c r="AJ140" s="13"/>
      <c r="AK140" s="34"/>
      <c r="AL140" s="13"/>
      <c r="AM140" s="93"/>
      <c r="AN140" s="309"/>
      <c r="AO140" s="13"/>
      <c r="AP140" s="13"/>
      <c r="AQ140" s="13"/>
    </row>
    <row r="141" spans="1:43" ht="15.75" customHeight="1" x14ac:dyDescent="0.3">
      <c r="A141" s="40" t="s">
        <v>215</v>
      </c>
      <c r="B141" s="1912" t="s">
        <v>216</v>
      </c>
      <c r="C141" s="1918"/>
      <c r="D141" s="21">
        <f>+D142</f>
        <v>4550000</v>
      </c>
      <c r="E141" s="71">
        <f>SUM(E142)</f>
        <v>4550000</v>
      </c>
      <c r="F141" s="21">
        <f>SUM(G141:Y141)</f>
        <v>1300000</v>
      </c>
      <c r="G141" s="23">
        <f t="shared" ref="G141:AE141" si="114">G142</f>
        <v>600000</v>
      </c>
      <c r="H141" s="23">
        <f t="shared" si="114"/>
        <v>0</v>
      </c>
      <c r="I141" s="23">
        <f t="shared" si="114"/>
        <v>700000</v>
      </c>
      <c r="J141" s="23">
        <f t="shared" si="114"/>
        <v>0</v>
      </c>
      <c r="K141" s="23">
        <f t="shared" si="114"/>
        <v>0</v>
      </c>
      <c r="L141" s="23">
        <f t="shared" si="114"/>
        <v>0</v>
      </c>
      <c r="M141" s="23">
        <f t="shared" si="114"/>
        <v>0</v>
      </c>
      <c r="N141" s="23">
        <f t="shared" si="114"/>
        <v>0</v>
      </c>
      <c r="O141" s="23">
        <f t="shared" si="114"/>
        <v>0</v>
      </c>
      <c r="P141" s="23">
        <f t="shared" si="114"/>
        <v>0</v>
      </c>
      <c r="Q141" s="23"/>
      <c r="R141" s="23"/>
      <c r="S141" s="23"/>
      <c r="T141" s="23"/>
      <c r="U141" s="23"/>
      <c r="V141" s="23"/>
      <c r="W141" s="23"/>
      <c r="X141" s="23"/>
      <c r="Y141" s="23"/>
      <c r="Z141" s="23">
        <f t="shared" si="114"/>
        <v>2300000</v>
      </c>
      <c r="AA141" s="23">
        <f t="shared" si="114"/>
        <v>300000</v>
      </c>
      <c r="AB141" s="23">
        <f t="shared" si="114"/>
        <v>0</v>
      </c>
      <c r="AC141" s="23">
        <f t="shared" si="114"/>
        <v>0</v>
      </c>
      <c r="AD141" s="23">
        <f t="shared" si="114"/>
        <v>2000000</v>
      </c>
      <c r="AE141" s="23">
        <f t="shared" si="114"/>
        <v>0</v>
      </c>
      <c r="AF141" s="2">
        <f>SUM(AF142)</f>
        <v>0</v>
      </c>
      <c r="AG141" s="343">
        <f>+AG142</f>
        <v>0</v>
      </c>
      <c r="AH141" s="14">
        <f>+AH142</f>
        <v>0</v>
      </c>
      <c r="AI141" s="33">
        <f t="shared" ref="AI141:AQ141" si="115">SUM(AI142)</f>
        <v>0</v>
      </c>
      <c r="AJ141" s="33">
        <f t="shared" si="115"/>
        <v>0</v>
      </c>
      <c r="AK141" s="34">
        <f t="shared" si="115"/>
        <v>950000</v>
      </c>
      <c r="AL141" s="35">
        <f t="shared" si="115"/>
        <v>500000</v>
      </c>
      <c r="AM141" s="34">
        <f t="shared" si="115"/>
        <v>450000</v>
      </c>
      <c r="AN141" s="305">
        <f t="shared" si="115"/>
        <v>250000</v>
      </c>
      <c r="AO141" s="35">
        <f t="shared" si="115"/>
        <v>200000</v>
      </c>
      <c r="AP141" s="35">
        <f t="shared" si="115"/>
        <v>0</v>
      </c>
      <c r="AQ141" s="35">
        <f t="shared" si="115"/>
        <v>0</v>
      </c>
    </row>
    <row r="142" spans="1:43" ht="15.75" customHeight="1" thickBot="1" x14ac:dyDescent="0.35">
      <c r="A142" s="229" t="s">
        <v>217</v>
      </c>
      <c r="B142" s="1905" t="s">
        <v>218</v>
      </c>
      <c r="C142" s="1906"/>
      <c r="D142" s="419">
        <f>+F142+Z142+AF142+AK142</f>
        <v>4550000</v>
      </c>
      <c r="E142" s="420">
        <f t="shared" ref="E142" si="116">SUM(G142+H142+I142+J142+K142+L142+M142+N142+O142+P142+Q142+R142+S142+T142+U142+V142+W142+X142+Y142+AA142+AB142+AC142+AD142+AE142+AG142+AH142+AI142+AJ142+AL142+AN142+AO142+AP142+AQ142)</f>
        <v>4550000</v>
      </c>
      <c r="F142" s="282">
        <f>SUM(G142:Y142)</f>
        <v>1300000</v>
      </c>
      <c r="G142" s="230">
        <v>600000</v>
      </c>
      <c r="H142" s="230"/>
      <c r="I142" s="230">
        <v>700000</v>
      </c>
      <c r="J142" s="230"/>
      <c r="K142" s="230"/>
      <c r="L142" s="421"/>
      <c r="M142" s="230">
        <v>0</v>
      </c>
      <c r="N142" s="230"/>
      <c r="O142" s="230"/>
      <c r="P142" s="230"/>
      <c r="Q142" s="421"/>
      <c r="R142" s="421"/>
      <c r="S142" s="421"/>
      <c r="T142" s="421"/>
      <c r="U142" s="421"/>
      <c r="V142" s="421"/>
      <c r="W142" s="421"/>
      <c r="X142" s="421"/>
      <c r="Y142" s="421"/>
      <c r="Z142" s="237">
        <f>SUM(AA142:AE142)</f>
        <v>2300000</v>
      </c>
      <c r="AA142" s="422">
        <v>300000</v>
      </c>
      <c r="AB142" s="422"/>
      <c r="AC142" s="422"/>
      <c r="AD142" s="422">
        <v>2000000</v>
      </c>
      <c r="AE142" s="422"/>
      <c r="AF142" s="369">
        <f>SUM(AG142:AI142)</f>
        <v>0</v>
      </c>
      <c r="AG142" s="423"/>
      <c r="AH142" s="422"/>
      <c r="AI142" s="424">
        <v>0</v>
      </c>
      <c r="AJ142" s="424">
        <v>0</v>
      </c>
      <c r="AK142" s="238">
        <f>SUM(AL142+AM142)</f>
        <v>950000</v>
      </c>
      <c r="AL142" s="424">
        <v>500000</v>
      </c>
      <c r="AM142" s="121">
        <f>SUM(AN142:AQ142)</f>
        <v>450000</v>
      </c>
      <c r="AN142" s="305">
        <v>250000</v>
      </c>
      <c r="AO142" s="35">
        <v>200000</v>
      </c>
      <c r="AP142" s="35"/>
      <c r="AQ142" s="35"/>
    </row>
    <row r="143" spans="1:43" ht="15.75" customHeight="1" x14ac:dyDescent="0.3">
      <c r="A143" s="46"/>
      <c r="B143" s="381"/>
      <c r="C143" s="99"/>
      <c r="D143" s="20"/>
      <c r="E143" s="98"/>
      <c r="F143" s="21"/>
      <c r="G143" s="341"/>
      <c r="H143" s="341"/>
      <c r="I143" s="341"/>
      <c r="J143" s="341"/>
      <c r="K143" s="341"/>
      <c r="L143" s="1"/>
      <c r="M143" s="341"/>
      <c r="N143" s="341"/>
      <c r="O143" s="341"/>
      <c r="P143" s="341"/>
      <c r="Q143" s="1"/>
      <c r="R143" s="1"/>
      <c r="S143" s="1"/>
      <c r="T143" s="1"/>
      <c r="U143" s="1"/>
      <c r="V143" s="1"/>
      <c r="W143" s="1"/>
      <c r="X143" s="1"/>
      <c r="Y143" s="1"/>
      <c r="Z143" s="10"/>
      <c r="AA143" s="8"/>
      <c r="AB143" s="8"/>
      <c r="AC143" s="8"/>
      <c r="AD143" s="8"/>
      <c r="AE143" s="8"/>
      <c r="AF143" s="2" t="s">
        <v>0</v>
      </c>
      <c r="AG143" s="339" t="s">
        <v>0</v>
      </c>
      <c r="AH143" s="13" t="s">
        <v>0</v>
      </c>
      <c r="AI143" s="13" t="s">
        <v>0</v>
      </c>
      <c r="AJ143" s="13" t="s">
        <v>0</v>
      </c>
      <c r="AK143" s="34"/>
      <c r="AL143" s="13" t="s">
        <v>0</v>
      </c>
      <c r="AM143" s="115" t="s">
        <v>0</v>
      </c>
      <c r="AN143" s="309" t="s">
        <v>0</v>
      </c>
      <c r="AO143" s="13" t="s">
        <v>0</v>
      </c>
      <c r="AP143" s="13" t="s">
        <v>0</v>
      </c>
      <c r="AQ143" s="13" t="s">
        <v>0</v>
      </c>
    </row>
    <row r="144" spans="1:43" ht="15.75" customHeight="1" x14ac:dyDescent="0.3">
      <c r="A144" s="40" t="s">
        <v>219</v>
      </c>
      <c r="B144" s="1912" t="s">
        <v>220</v>
      </c>
      <c r="C144" s="1919"/>
      <c r="D144" s="21">
        <f>SUM(D145:D151)</f>
        <v>31300000</v>
      </c>
      <c r="E144" s="71">
        <f>SUM(E145:E151)</f>
        <v>31300000</v>
      </c>
      <c r="F144" s="21">
        <f t="shared" ref="F144:F151" si="117">SUM(G144:Y144)</f>
        <v>29060000</v>
      </c>
      <c r="G144" s="23">
        <f t="shared" ref="G144:Z144" si="118">SUM(G145:G151)</f>
        <v>0</v>
      </c>
      <c r="H144" s="23">
        <f t="shared" si="118"/>
        <v>260000</v>
      </c>
      <c r="I144" s="23">
        <f t="shared" si="118"/>
        <v>100000</v>
      </c>
      <c r="J144" s="23">
        <f t="shared" si="118"/>
        <v>0</v>
      </c>
      <c r="K144" s="23">
        <f t="shared" si="118"/>
        <v>0</v>
      </c>
      <c r="L144" s="23">
        <f t="shared" si="118"/>
        <v>14060000</v>
      </c>
      <c r="M144" s="23">
        <f t="shared" si="118"/>
        <v>0</v>
      </c>
      <c r="N144" s="23">
        <f t="shared" si="118"/>
        <v>0</v>
      </c>
      <c r="O144" s="23">
        <f>SUM(O145:O151)</f>
        <v>60000</v>
      </c>
      <c r="P144" s="23">
        <f t="shared" si="118"/>
        <v>0</v>
      </c>
      <c r="Q144" s="23">
        <f t="shared" si="118"/>
        <v>50000</v>
      </c>
      <c r="R144" s="23">
        <f t="shared" si="118"/>
        <v>14100000</v>
      </c>
      <c r="S144" s="23">
        <f t="shared" si="118"/>
        <v>0</v>
      </c>
      <c r="T144" s="23">
        <f>SUM(T145:T151)</f>
        <v>200000</v>
      </c>
      <c r="U144" s="23">
        <f t="shared" si="118"/>
        <v>0</v>
      </c>
      <c r="V144" s="23">
        <f>SUM(V145:V151)</f>
        <v>210000</v>
      </c>
      <c r="W144" s="23">
        <f>SUM(W145:W151)</f>
        <v>0</v>
      </c>
      <c r="X144" s="23">
        <f>SUM(X145:X151)</f>
        <v>0</v>
      </c>
      <c r="Y144" s="23">
        <f t="shared" si="118"/>
        <v>20000</v>
      </c>
      <c r="Z144" s="23">
        <f t="shared" si="118"/>
        <v>1350000</v>
      </c>
      <c r="AA144" s="23">
        <f t="shared" ref="AA144:AF144" si="119">SUM(AA145:AA151)</f>
        <v>250000</v>
      </c>
      <c r="AB144" s="23">
        <f t="shared" si="119"/>
        <v>500000</v>
      </c>
      <c r="AC144" s="23">
        <f t="shared" si="119"/>
        <v>0</v>
      </c>
      <c r="AD144" s="23">
        <f t="shared" si="119"/>
        <v>100000</v>
      </c>
      <c r="AE144" s="23">
        <f t="shared" si="119"/>
        <v>500000</v>
      </c>
      <c r="AF144" s="2">
        <f t="shared" si="119"/>
        <v>0</v>
      </c>
      <c r="AG144" s="345">
        <f t="shared" ref="AG144:AQ144" si="120">SUM(AG145:AG151)</f>
        <v>0</v>
      </c>
      <c r="AH144" s="33">
        <f t="shared" si="120"/>
        <v>0</v>
      </c>
      <c r="AI144" s="33">
        <f t="shared" si="120"/>
        <v>0</v>
      </c>
      <c r="AJ144" s="33">
        <f t="shared" si="120"/>
        <v>0</v>
      </c>
      <c r="AK144" s="34">
        <f t="shared" si="120"/>
        <v>890000</v>
      </c>
      <c r="AL144" s="33">
        <f t="shared" si="120"/>
        <v>690000</v>
      </c>
      <c r="AM144" s="34">
        <f t="shared" si="120"/>
        <v>200000</v>
      </c>
      <c r="AN144" s="305">
        <f>SUM(AN145:AN151)</f>
        <v>0</v>
      </c>
      <c r="AO144" s="35">
        <f t="shared" si="120"/>
        <v>0</v>
      </c>
      <c r="AP144" s="35">
        <f t="shared" si="120"/>
        <v>100000</v>
      </c>
      <c r="AQ144" s="35">
        <f t="shared" si="120"/>
        <v>100000</v>
      </c>
    </row>
    <row r="145" spans="1:43" ht="15.75" customHeight="1" x14ac:dyDescent="0.3">
      <c r="A145" s="46" t="s">
        <v>221</v>
      </c>
      <c r="B145" s="1903" t="s">
        <v>222</v>
      </c>
      <c r="C145" s="1904"/>
      <c r="D145" s="20">
        <f t="shared" ref="D145:D151" si="121">+F145+Z145+AF145+AK145</f>
        <v>2430000</v>
      </c>
      <c r="E145" s="98">
        <f t="shared" ref="E145:E151" si="122">SUM(G145+H145+I145+J145+K145+L145+M145+N145+O145+P145+Q145+R145+S145+T145+U145+V145+W145+X145+Y145+AA145+AB145+AC145+AD145+AE145+AG145+AH145+AI145+AJ145+AL145+AN145+AO145+AP145+AQ145)</f>
        <v>2430000</v>
      </c>
      <c r="F145" s="21">
        <f t="shared" si="117"/>
        <v>2180000</v>
      </c>
      <c r="G145" s="341"/>
      <c r="H145" s="341">
        <v>120000</v>
      </c>
      <c r="I145" s="341"/>
      <c r="J145" s="341"/>
      <c r="K145" s="341"/>
      <c r="L145" s="1">
        <v>60000</v>
      </c>
      <c r="M145" s="341"/>
      <c r="N145" s="341"/>
      <c r="O145" s="341"/>
      <c r="P145" s="341"/>
      <c r="Q145" s="1"/>
      <c r="R145" s="1">
        <v>2000000</v>
      </c>
      <c r="S145" s="1"/>
      <c r="T145" s="1"/>
      <c r="U145" s="1"/>
      <c r="V145" s="1"/>
      <c r="W145" s="1"/>
      <c r="X145" s="1"/>
      <c r="Y145" s="1"/>
      <c r="Z145" s="10">
        <f t="shared" ref="Z145:Z151" si="123">SUM(AA145:AE145)</f>
        <v>0</v>
      </c>
      <c r="AA145" s="1"/>
      <c r="AB145" s="1"/>
      <c r="AC145" s="1"/>
      <c r="AD145" s="1"/>
      <c r="AE145" s="1"/>
      <c r="AF145" s="2">
        <f t="shared" ref="AF145:AF151" si="124">SUM(AG145:AJ145)</f>
        <v>0</v>
      </c>
      <c r="AG145" s="343">
        <v>0</v>
      </c>
      <c r="AH145" s="9">
        <v>0</v>
      </c>
      <c r="AI145" s="9">
        <f>SUM(AI146:AI147)</f>
        <v>0</v>
      </c>
      <c r="AJ145" s="9">
        <f>SUM(AJ146:AJ147)</f>
        <v>0</v>
      </c>
      <c r="AK145" s="34">
        <f t="shared" ref="AK145:AK151" si="125">SUM(AL145+AM145)</f>
        <v>250000</v>
      </c>
      <c r="AL145" s="12">
        <v>250000</v>
      </c>
      <c r="AM145" s="93">
        <f t="shared" ref="AM145:AM151" si="126">SUM(AN145:AQ145)</f>
        <v>0</v>
      </c>
      <c r="AN145" s="317"/>
      <c r="AO145" s="12"/>
      <c r="AP145" s="12"/>
      <c r="AQ145" s="12"/>
    </row>
    <row r="146" spans="1:43" ht="15.75" customHeight="1" x14ac:dyDescent="0.3">
      <c r="A146" s="46" t="s">
        <v>223</v>
      </c>
      <c r="B146" s="1903" t="s">
        <v>224</v>
      </c>
      <c r="C146" s="1904"/>
      <c r="D146" s="20">
        <f t="shared" si="121"/>
        <v>1000000</v>
      </c>
      <c r="E146" s="98">
        <f t="shared" si="122"/>
        <v>1000000</v>
      </c>
      <c r="F146" s="21">
        <f t="shared" si="117"/>
        <v>1000000</v>
      </c>
      <c r="G146" s="341"/>
      <c r="H146" s="341"/>
      <c r="I146" s="341"/>
      <c r="J146" s="341"/>
      <c r="K146" s="341"/>
      <c r="L146" s="1"/>
      <c r="M146" s="341"/>
      <c r="N146" s="341"/>
      <c r="O146" s="341"/>
      <c r="P146" s="341"/>
      <c r="Q146" s="1"/>
      <c r="R146" s="1">
        <v>1000000</v>
      </c>
      <c r="S146" s="1"/>
      <c r="T146" s="1"/>
      <c r="U146" s="1"/>
      <c r="V146" s="1"/>
      <c r="W146" s="1"/>
      <c r="X146" s="1"/>
      <c r="Y146" s="1"/>
      <c r="Z146" s="10">
        <f t="shared" si="123"/>
        <v>0</v>
      </c>
      <c r="AA146" s="1"/>
      <c r="AB146" s="1"/>
      <c r="AC146" s="1"/>
      <c r="AD146" s="1"/>
      <c r="AE146" s="1"/>
      <c r="AF146" s="2">
        <f t="shared" si="124"/>
        <v>0</v>
      </c>
      <c r="AG146" s="339">
        <v>0</v>
      </c>
      <c r="AH146" s="13">
        <v>0</v>
      </c>
      <c r="AI146" s="13">
        <v>0</v>
      </c>
      <c r="AJ146" s="13">
        <v>0</v>
      </c>
      <c r="AK146" s="34">
        <f t="shared" si="125"/>
        <v>0</v>
      </c>
      <c r="AL146" s="13"/>
      <c r="AM146" s="93">
        <f t="shared" si="126"/>
        <v>0</v>
      </c>
      <c r="AN146" s="309"/>
      <c r="AO146" s="13"/>
      <c r="AP146" s="13"/>
      <c r="AQ146" s="13"/>
    </row>
    <row r="147" spans="1:43" ht="15.75" customHeight="1" x14ac:dyDescent="0.3">
      <c r="A147" s="46" t="s">
        <v>225</v>
      </c>
      <c r="B147" s="1903" t="s">
        <v>226</v>
      </c>
      <c r="C147" s="1904"/>
      <c r="D147" s="20">
        <f t="shared" si="121"/>
        <v>3260000</v>
      </c>
      <c r="E147" s="98">
        <f t="shared" si="122"/>
        <v>3260000</v>
      </c>
      <c r="F147" s="21">
        <f t="shared" si="117"/>
        <v>3140000</v>
      </c>
      <c r="G147" s="341"/>
      <c r="H147" s="341">
        <v>140000</v>
      </c>
      <c r="I147" s="341"/>
      <c r="J147" s="341"/>
      <c r="K147" s="341"/>
      <c r="L147" s="1"/>
      <c r="M147" s="341"/>
      <c r="N147" s="341"/>
      <c r="O147" s="341"/>
      <c r="P147" s="341"/>
      <c r="Q147" s="1"/>
      <c r="R147" s="1">
        <v>3000000</v>
      </c>
      <c r="S147" s="1"/>
      <c r="T147" s="1"/>
      <c r="U147" s="1"/>
      <c r="V147" s="1"/>
      <c r="W147" s="1"/>
      <c r="X147" s="1"/>
      <c r="Y147" s="1"/>
      <c r="Z147" s="10">
        <f t="shared" si="123"/>
        <v>0</v>
      </c>
      <c r="AA147" s="1"/>
      <c r="AB147" s="1"/>
      <c r="AC147" s="1"/>
      <c r="AD147" s="1"/>
      <c r="AE147" s="1"/>
      <c r="AF147" s="2">
        <f t="shared" si="124"/>
        <v>0</v>
      </c>
      <c r="AG147" s="339">
        <v>0</v>
      </c>
      <c r="AH147" s="13">
        <v>0</v>
      </c>
      <c r="AI147" s="13">
        <v>0</v>
      </c>
      <c r="AJ147" s="13">
        <v>0</v>
      </c>
      <c r="AK147" s="34">
        <f t="shared" si="125"/>
        <v>120000</v>
      </c>
      <c r="AL147" s="13">
        <v>120000</v>
      </c>
      <c r="AM147" s="93">
        <f t="shared" si="126"/>
        <v>0</v>
      </c>
      <c r="AN147" s="309"/>
      <c r="AO147" s="13"/>
      <c r="AP147" s="13"/>
      <c r="AQ147" s="13"/>
    </row>
    <row r="148" spans="1:43" ht="15.75" customHeight="1" x14ac:dyDescent="0.3">
      <c r="A148" s="217" t="s">
        <v>227</v>
      </c>
      <c r="B148" s="1903" t="s">
        <v>228</v>
      </c>
      <c r="C148" s="1904"/>
      <c r="D148" s="20">
        <f t="shared" si="121"/>
        <v>21425000</v>
      </c>
      <c r="E148" s="98">
        <f t="shared" si="122"/>
        <v>21425000</v>
      </c>
      <c r="F148" s="21">
        <f t="shared" si="117"/>
        <v>19640000</v>
      </c>
      <c r="G148" s="341"/>
      <c r="H148" s="341"/>
      <c r="I148" s="341">
        <v>100000</v>
      </c>
      <c r="J148" s="341"/>
      <c r="K148" s="341"/>
      <c r="L148" s="1">
        <v>14000000</v>
      </c>
      <c r="M148" s="341"/>
      <c r="N148" s="341"/>
      <c r="O148" s="341">
        <v>60000</v>
      </c>
      <c r="P148" s="341"/>
      <c r="Q148" s="1">
        <v>50000</v>
      </c>
      <c r="R148" s="1">
        <v>5000000</v>
      </c>
      <c r="S148" s="1"/>
      <c r="T148" s="1">
        <v>200000</v>
      </c>
      <c r="U148" s="1"/>
      <c r="V148" s="355">
        <v>210000</v>
      </c>
      <c r="W148" s="1"/>
      <c r="X148" s="1"/>
      <c r="Y148" s="1">
        <v>20000</v>
      </c>
      <c r="Z148" s="10">
        <f t="shared" si="123"/>
        <v>1350000</v>
      </c>
      <c r="AA148" s="1">
        <v>250000</v>
      </c>
      <c r="AB148" s="1">
        <v>500000</v>
      </c>
      <c r="AC148" s="1"/>
      <c r="AD148" s="1">
        <v>100000</v>
      </c>
      <c r="AE148" s="1">
        <v>500000</v>
      </c>
      <c r="AF148" s="2">
        <f t="shared" si="124"/>
        <v>0</v>
      </c>
      <c r="AG148" s="339"/>
      <c r="AH148" s="13"/>
      <c r="AI148" s="13"/>
      <c r="AJ148" s="13"/>
      <c r="AK148" s="34">
        <f t="shared" si="125"/>
        <v>435000</v>
      </c>
      <c r="AL148" s="13">
        <v>235000</v>
      </c>
      <c r="AM148" s="93">
        <f t="shared" si="126"/>
        <v>200000</v>
      </c>
      <c r="AN148" s="309"/>
      <c r="AO148" s="13"/>
      <c r="AP148" s="327">
        <v>100000</v>
      </c>
      <c r="AQ148" s="13">
        <v>100000</v>
      </c>
    </row>
    <row r="149" spans="1:43" ht="15.75" customHeight="1" x14ac:dyDescent="0.3">
      <c r="A149" s="46" t="s">
        <v>229</v>
      </c>
      <c r="B149" s="1903" t="s">
        <v>230</v>
      </c>
      <c r="C149" s="1904"/>
      <c r="D149" s="20">
        <f t="shared" si="121"/>
        <v>1000000</v>
      </c>
      <c r="E149" s="98">
        <f t="shared" si="122"/>
        <v>1000000</v>
      </c>
      <c r="F149" s="21">
        <f t="shared" si="117"/>
        <v>1000000</v>
      </c>
      <c r="G149" s="341"/>
      <c r="H149" s="341"/>
      <c r="I149" s="341"/>
      <c r="J149" s="341"/>
      <c r="K149" s="341"/>
      <c r="L149" s="1"/>
      <c r="M149" s="341"/>
      <c r="N149" s="341"/>
      <c r="O149" s="341"/>
      <c r="P149" s="341"/>
      <c r="Q149" s="1"/>
      <c r="R149" s="1">
        <v>1000000</v>
      </c>
      <c r="S149" s="1"/>
      <c r="T149" s="1"/>
      <c r="U149" s="1"/>
      <c r="V149" s="1"/>
      <c r="W149" s="1"/>
      <c r="X149" s="1"/>
      <c r="Y149" s="1"/>
      <c r="Z149" s="10">
        <f t="shared" si="123"/>
        <v>0</v>
      </c>
      <c r="AA149" s="1"/>
      <c r="AB149" s="1"/>
      <c r="AC149" s="1"/>
      <c r="AD149" s="1"/>
      <c r="AE149" s="1"/>
      <c r="AF149" s="2">
        <f t="shared" si="124"/>
        <v>0</v>
      </c>
      <c r="AG149" s="339"/>
      <c r="AH149" s="13"/>
      <c r="AI149" s="13"/>
      <c r="AJ149" s="13"/>
      <c r="AK149" s="34">
        <f t="shared" si="125"/>
        <v>0</v>
      </c>
      <c r="AL149" s="13"/>
      <c r="AM149" s="93">
        <f t="shared" si="126"/>
        <v>0</v>
      </c>
      <c r="AN149" s="309"/>
      <c r="AO149" s="13"/>
      <c r="AP149" s="13"/>
      <c r="AQ149" s="13"/>
    </row>
    <row r="150" spans="1:43" ht="15.75" customHeight="1" x14ac:dyDescent="0.3">
      <c r="A150" s="46" t="s">
        <v>231</v>
      </c>
      <c r="B150" s="1903" t="s">
        <v>232</v>
      </c>
      <c r="C150" s="1904"/>
      <c r="D150" s="20">
        <f t="shared" si="121"/>
        <v>735000</v>
      </c>
      <c r="E150" s="98">
        <f t="shared" si="122"/>
        <v>735000</v>
      </c>
      <c r="F150" s="21">
        <f t="shared" si="117"/>
        <v>700000</v>
      </c>
      <c r="G150" s="341"/>
      <c r="H150" s="341"/>
      <c r="I150" s="341"/>
      <c r="J150" s="341"/>
      <c r="K150" s="341"/>
      <c r="L150" s="1"/>
      <c r="M150" s="341"/>
      <c r="N150" s="341"/>
      <c r="O150" s="341"/>
      <c r="P150" s="341"/>
      <c r="Q150" s="1"/>
      <c r="R150" s="1">
        <v>700000</v>
      </c>
      <c r="S150" s="1"/>
      <c r="T150" s="1"/>
      <c r="U150" s="1"/>
      <c r="V150" s="1"/>
      <c r="W150" s="1"/>
      <c r="X150" s="1"/>
      <c r="Y150" s="1"/>
      <c r="Z150" s="10">
        <f t="shared" si="123"/>
        <v>0</v>
      </c>
      <c r="AA150" s="1"/>
      <c r="AB150" s="1"/>
      <c r="AC150" s="1"/>
      <c r="AD150" s="1"/>
      <c r="AE150" s="1"/>
      <c r="AF150" s="2">
        <f t="shared" si="124"/>
        <v>0</v>
      </c>
      <c r="AG150" s="343">
        <v>0</v>
      </c>
      <c r="AH150" s="9">
        <v>0</v>
      </c>
      <c r="AI150" s="9">
        <v>0</v>
      </c>
      <c r="AJ150" s="9">
        <v>0</v>
      </c>
      <c r="AK150" s="34">
        <f t="shared" si="125"/>
        <v>35000</v>
      </c>
      <c r="AL150" s="12">
        <v>35000</v>
      </c>
      <c r="AM150" s="93">
        <f t="shared" si="126"/>
        <v>0</v>
      </c>
      <c r="AN150" s="317"/>
      <c r="AO150" s="12"/>
      <c r="AP150" s="12"/>
      <c r="AQ150" s="12"/>
    </row>
    <row r="151" spans="1:43" ht="15.75" customHeight="1" x14ac:dyDescent="0.3">
      <c r="A151" s="46" t="s">
        <v>233</v>
      </c>
      <c r="B151" s="1903" t="s">
        <v>234</v>
      </c>
      <c r="C151" s="1904"/>
      <c r="D151" s="20">
        <f t="shared" si="121"/>
        <v>1450000</v>
      </c>
      <c r="E151" s="98">
        <f t="shared" si="122"/>
        <v>1450000</v>
      </c>
      <c r="F151" s="21">
        <f t="shared" si="117"/>
        <v>1400000</v>
      </c>
      <c r="G151" s="341"/>
      <c r="H151" s="341"/>
      <c r="I151" s="341"/>
      <c r="J151" s="341"/>
      <c r="K151" s="341"/>
      <c r="L151" s="1"/>
      <c r="M151" s="341"/>
      <c r="N151" s="341"/>
      <c r="O151" s="341"/>
      <c r="P151" s="341"/>
      <c r="Q151" s="1"/>
      <c r="R151" s="1">
        <v>1400000</v>
      </c>
      <c r="S151" s="1"/>
      <c r="T151" s="1"/>
      <c r="U151" s="1"/>
      <c r="V151" s="1"/>
      <c r="W151" s="1"/>
      <c r="X151" s="1"/>
      <c r="Y151" s="1"/>
      <c r="Z151" s="10">
        <f t="shared" si="123"/>
        <v>0</v>
      </c>
      <c r="AA151" s="1"/>
      <c r="AB151" s="1"/>
      <c r="AC151" s="1"/>
      <c r="AD151" s="1"/>
      <c r="AE151" s="1"/>
      <c r="AF151" s="2">
        <f t="shared" si="124"/>
        <v>0</v>
      </c>
      <c r="AG151" s="352"/>
      <c r="AH151" s="15"/>
      <c r="AI151" s="15"/>
      <c r="AJ151" s="15"/>
      <c r="AK151" s="34">
        <f t="shared" si="125"/>
        <v>50000</v>
      </c>
      <c r="AL151" s="15">
        <v>50000</v>
      </c>
      <c r="AM151" s="93">
        <f t="shared" si="126"/>
        <v>0</v>
      </c>
      <c r="AN151" s="319"/>
      <c r="AO151" s="15"/>
      <c r="AP151" s="15"/>
      <c r="AQ151" s="15"/>
    </row>
    <row r="152" spans="1:43" ht="15.75" customHeight="1" x14ac:dyDescent="0.3">
      <c r="A152" s="46"/>
      <c r="B152" s="381"/>
      <c r="C152" s="99"/>
      <c r="D152" s="20"/>
      <c r="E152" s="98"/>
      <c r="F152" s="21"/>
      <c r="G152" s="341"/>
      <c r="H152" s="341"/>
      <c r="I152" s="341"/>
      <c r="J152" s="341"/>
      <c r="K152" s="341"/>
      <c r="L152" s="1"/>
      <c r="M152" s="341"/>
      <c r="N152" s="341"/>
      <c r="O152" s="341"/>
      <c r="P152" s="341"/>
      <c r="Q152" s="1"/>
      <c r="R152" s="1"/>
      <c r="S152" s="1"/>
      <c r="T152" s="1"/>
      <c r="U152" s="1"/>
      <c r="V152" s="1"/>
      <c r="W152" s="1"/>
      <c r="X152" s="1"/>
      <c r="Y152" s="1"/>
      <c r="Z152" s="26"/>
      <c r="AA152" s="1"/>
      <c r="AB152" s="1"/>
      <c r="AC152" s="1"/>
      <c r="AD152" s="1"/>
      <c r="AE152" s="1"/>
      <c r="AF152" s="2" t="s">
        <v>0</v>
      </c>
      <c r="AG152" s="339" t="s">
        <v>0</v>
      </c>
      <c r="AH152" s="5"/>
      <c r="AI152" s="15"/>
      <c r="AJ152" s="15"/>
      <c r="AK152" s="34"/>
      <c r="AL152" s="15"/>
      <c r="AM152" s="94"/>
      <c r="AN152" s="319"/>
      <c r="AO152" s="15"/>
      <c r="AP152" s="15"/>
      <c r="AQ152" s="15"/>
    </row>
    <row r="153" spans="1:43" ht="15.75" customHeight="1" x14ac:dyDescent="0.3">
      <c r="A153" s="40" t="s">
        <v>235</v>
      </c>
      <c r="B153" s="1912" t="s">
        <v>236</v>
      </c>
      <c r="C153" s="1919"/>
      <c r="D153" s="21">
        <f>SUM(D154:D155)</f>
        <v>5895000</v>
      </c>
      <c r="E153" s="71">
        <f>SUM(E154:E155)</f>
        <v>5895000</v>
      </c>
      <c r="F153" s="21">
        <f>SUM(G153:Y153)</f>
        <v>4195000</v>
      </c>
      <c r="G153" s="23">
        <f t="shared" ref="G153:Z153" si="127">SUM(G154:G155)</f>
        <v>0</v>
      </c>
      <c r="H153" s="23">
        <f t="shared" si="127"/>
        <v>25000</v>
      </c>
      <c r="I153" s="23">
        <f t="shared" si="127"/>
        <v>0</v>
      </c>
      <c r="J153" s="23">
        <f t="shared" si="127"/>
        <v>0</v>
      </c>
      <c r="K153" s="23">
        <f t="shared" si="127"/>
        <v>0</v>
      </c>
      <c r="L153" s="23">
        <f t="shared" si="127"/>
        <v>170000</v>
      </c>
      <c r="M153" s="23">
        <f t="shared" si="127"/>
        <v>0</v>
      </c>
      <c r="N153" s="23">
        <f t="shared" si="127"/>
        <v>0</v>
      </c>
      <c r="O153" s="23">
        <f t="shared" si="127"/>
        <v>0</v>
      </c>
      <c r="P153" s="23">
        <f t="shared" si="127"/>
        <v>0</v>
      </c>
      <c r="Q153" s="23">
        <f t="shared" si="127"/>
        <v>0</v>
      </c>
      <c r="R153" s="23">
        <f t="shared" si="127"/>
        <v>3750000</v>
      </c>
      <c r="S153" s="23">
        <f t="shared" si="127"/>
        <v>250000</v>
      </c>
      <c r="T153" s="23">
        <f>SUM(T154:T155)</f>
        <v>0</v>
      </c>
      <c r="U153" s="23">
        <f t="shared" si="127"/>
        <v>0</v>
      </c>
      <c r="V153" s="23">
        <f>SUM(V154:V155)</f>
        <v>0</v>
      </c>
      <c r="W153" s="23">
        <f>SUM(W154:W155)</f>
        <v>0</v>
      </c>
      <c r="X153" s="23">
        <f>SUM(X154:X155)</f>
        <v>0</v>
      </c>
      <c r="Y153" s="23">
        <f t="shared" si="127"/>
        <v>0</v>
      </c>
      <c r="Z153" s="23">
        <f t="shared" si="127"/>
        <v>1150000</v>
      </c>
      <c r="AA153" s="23">
        <f t="shared" ref="AA153:AF153" si="128">SUM(AA154:AA155)</f>
        <v>0</v>
      </c>
      <c r="AB153" s="23">
        <f t="shared" si="128"/>
        <v>0</v>
      </c>
      <c r="AC153" s="23">
        <f t="shared" si="128"/>
        <v>0</v>
      </c>
      <c r="AD153" s="23">
        <f t="shared" si="128"/>
        <v>850000</v>
      </c>
      <c r="AE153" s="23">
        <f t="shared" si="128"/>
        <v>300000</v>
      </c>
      <c r="AF153" s="2">
        <f t="shared" si="128"/>
        <v>0</v>
      </c>
      <c r="AG153" s="353">
        <f t="shared" ref="AG153:AQ153" si="129">SUM(AG154:AG155)</f>
        <v>0</v>
      </c>
      <c r="AH153" s="18">
        <f t="shared" si="129"/>
        <v>0</v>
      </c>
      <c r="AI153" s="33">
        <f t="shared" si="129"/>
        <v>0</v>
      </c>
      <c r="AJ153" s="33">
        <f t="shared" si="129"/>
        <v>0</v>
      </c>
      <c r="AK153" s="34">
        <f t="shared" si="129"/>
        <v>550000</v>
      </c>
      <c r="AL153" s="35">
        <f t="shared" si="129"/>
        <v>500000</v>
      </c>
      <c r="AM153" s="34">
        <f t="shared" si="129"/>
        <v>50000</v>
      </c>
      <c r="AN153" s="305">
        <f>SUM(AN154:AN155)</f>
        <v>0</v>
      </c>
      <c r="AO153" s="35">
        <f t="shared" si="129"/>
        <v>50000</v>
      </c>
      <c r="AP153" s="35">
        <f t="shared" si="129"/>
        <v>0</v>
      </c>
      <c r="AQ153" s="35">
        <f t="shared" si="129"/>
        <v>0</v>
      </c>
    </row>
    <row r="154" spans="1:43" ht="15.75" customHeight="1" x14ac:dyDescent="0.3">
      <c r="A154" s="46" t="s">
        <v>237</v>
      </c>
      <c r="B154" s="1903" t="s">
        <v>238</v>
      </c>
      <c r="C154" s="1904"/>
      <c r="D154" s="20">
        <f>+F154+Z154+AF154+AK154</f>
        <v>1725000</v>
      </c>
      <c r="E154" s="98">
        <f t="shared" ref="E154:E155" si="130">SUM(G154+H154+I154+J154+K154+L154+M154+N154+O154+P154+Q154+R154+S154+T154+U154+V154+W154+X154+Y154+AA154+AB154+AC154+AD154+AE154+AG154+AH154+AI154+AJ154+AL154+AN154+AO154+AP154+AQ154)</f>
        <v>1725000</v>
      </c>
      <c r="F154" s="21">
        <f>SUM(G154:Y154)</f>
        <v>825000</v>
      </c>
      <c r="G154" s="341"/>
      <c r="H154" s="341">
        <v>25000</v>
      </c>
      <c r="I154" s="341"/>
      <c r="J154" s="341"/>
      <c r="K154" s="341"/>
      <c r="L154" s="1">
        <v>50000</v>
      </c>
      <c r="M154" s="341"/>
      <c r="N154" s="341"/>
      <c r="O154" s="341"/>
      <c r="P154" s="341"/>
      <c r="Q154" s="1"/>
      <c r="R154" s="1">
        <v>750000</v>
      </c>
      <c r="S154" s="1"/>
      <c r="T154" s="1"/>
      <c r="U154" s="1"/>
      <c r="V154" s="1"/>
      <c r="W154" s="1"/>
      <c r="X154" s="1"/>
      <c r="Y154" s="1"/>
      <c r="Z154" s="10">
        <f>SUM(AA154:AE154)</f>
        <v>700000</v>
      </c>
      <c r="AA154" s="1"/>
      <c r="AB154" s="1"/>
      <c r="AC154" s="1"/>
      <c r="AD154" s="1">
        <v>700000</v>
      </c>
      <c r="AE154" s="1"/>
      <c r="AF154" s="2">
        <f>SUM(AG154:AJ154)</f>
        <v>0</v>
      </c>
      <c r="AG154" s="352"/>
      <c r="AH154" s="15"/>
      <c r="AI154" s="15"/>
      <c r="AJ154" s="15"/>
      <c r="AK154" s="34">
        <f>SUM(AL154+AM154)</f>
        <v>200000</v>
      </c>
      <c r="AL154" s="15">
        <v>150000</v>
      </c>
      <c r="AM154" s="93">
        <f>SUM(AN154:AQ154)</f>
        <v>50000</v>
      </c>
      <c r="AN154" s="319"/>
      <c r="AO154" s="15">
        <v>50000</v>
      </c>
      <c r="AP154" s="15"/>
      <c r="AQ154" s="15"/>
    </row>
    <row r="155" spans="1:43" ht="15.75" customHeight="1" x14ac:dyDescent="0.3">
      <c r="A155" s="46" t="s">
        <v>239</v>
      </c>
      <c r="B155" s="1903" t="s">
        <v>240</v>
      </c>
      <c r="C155" s="1904"/>
      <c r="D155" s="20">
        <f>+F155+Z155+AF155+AK155</f>
        <v>4170000</v>
      </c>
      <c r="E155" s="98">
        <f t="shared" si="130"/>
        <v>4170000</v>
      </c>
      <c r="F155" s="21">
        <f>SUM(G155:Y155)</f>
        <v>3370000</v>
      </c>
      <c r="G155" s="341">
        <v>0</v>
      </c>
      <c r="H155" s="341"/>
      <c r="I155" s="341"/>
      <c r="J155" s="341"/>
      <c r="K155" s="341"/>
      <c r="L155" s="1">
        <v>120000</v>
      </c>
      <c r="M155" s="341"/>
      <c r="N155" s="341"/>
      <c r="O155" s="341"/>
      <c r="P155" s="341"/>
      <c r="Q155" s="1"/>
      <c r="R155" s="1">
        <v>3000000</v>
      </c>
      <c r="S155" s="1">
        <v>250000</v>
      </c>
      <c r="T155" s="1"/>
      <c r="U155" s="1"/>
      <c r="V155" s="1"/>
      <c r="W155" s="1"/>
      <c r="X155" s="1"/>
      <c r="Y155" s="1"/>
      <c r="Z155" s="10">
        <f>SUM(AA155:AE155)</f>
        <v>450000</v>
      </c>
      <c r="AA155" s="1"/>
      <c r="AB155" s="1"/>
      <c r="AC155" s="1"/>
      <c r="AD155" s="1">
        <v>150000</v>
      </c>
      <c r="AE155" s="1">
        <v>300000</v>
      </c>
      <c r="AF155" s="2">
        <f>SUM(AG155:AJ155)</f>
        <v>0</v>
      </c>
      <c r="AG155" s="352"/>
      <c r="AH155" s="15"/>
      <c r="AI155" s="15"/>
      <c r="AJ155" s="15"/>
      <c r="AK155" s="34">
        <f>SUM(AL155+AM155)</f>
        <v>350000</v>
      </c>
      <c r="AL155" s="15">
        <v>350000</v>
      </c>
      <c r="AM155" s="93">
        <f>SUM(AN155:AQ155)</f>
        <v>0</v>
      </c>
      <c r="AN155" s="319"/>
      <c r="AO155" s="15"/>
      <c r="AP155" s="15"/>
      <c r="AQ155" s="15"/>
    </row>
    <row r="156" spans="1:43" ht="15.75" customHeight="1" x14ac:dyDescent="0.3">
      <c r="A156" s="46"/>
      <c r="B156" s="381"/>
      <c r="C156" s="99"/>
      <c r="D156" s="20"/>
      <c r="E156" s="98"/>
      <c r="F156" s="21"/>
      <c r="G156" s="341"/>
      <c r="H156" s="341"/>
      <c r="I156" s="341"/>
      <c r="J156" s="341"/>
      <c r="K156" s="341"/>
      <c r="L156" s="1"/>
      <c r="M156" s="341"/>
      <c r="N156" s="341"/>
      <c r="O156" s="341"/>
      <c r="P156" s="341"/>
      <c r="Q156" s="1"/>
      <c r="R156" s="1"/>
      <c r="S156" s="1"/>
      <c r="T156" s="1"/>
      <c r="U156" s="1"/>
      <c r="V156" s="1"/>
      <c r="W156" s="1"/>
      <c r="X156" s="1"/>
      <c r="Y156" s="1"/>
      <c r="Z156" s="26"/>
      <c r="AA156" s="1"/>
      <c r="AB156" s="1"/>
      <c r="AC156" s="1"/>
      <c r="AD156" s="1"/>
      <c r="AE156" s="1"/>
      <c r="AF156" s="2" t="s">
        <v>0</v>
      </c>
      <c r="AG156" s="352" t="s">
        <v>0</v>
      </c>
      <c r="AH156" s="15" t="s">
        <v>0</v>
      </c>
      <c r="AI156" s="15"/>
      <c r="AJ156" s="15"/>
      <c r="AK156" s="34"/>
      <c r="AL156" s="15"/>
      <c r="AM156" s="94"/>
      <c r="AN156" s="319"/>
      <c r="AO156" s="15"/>
      <c r="AP156" s="15"/>
      <c r="AQ156" s="15"/>
    </row>
    <row r="157" spans="1:43" ht="15.75" customHeight="1" x14ac:dyDescent="0.3">
      <c r="A157" s="40" t="s">
        <v>241</v>
      </c>
      <c r="B157" s="1912" t="s">
        <v>242</v>
      </c>
      <c r="C157" s="1918"/>
      <c r="D157" s="21">
        <f>SUM(D158:D165)</f>
        <v>48083834</v>
      </c>
      <c r="E157" s="71">
        <f>SUM(E158:E165)</f>
        <v>48083834</v>
      </c>
      <c r="F157" s="21">
        <f t="shared" ref="F157:F165" si="131">SUM(G157:Y157)</f>
        <v>21648083</v>
      </c>
      <c r="G157" s="23">
        <f t="shared" ref="G157:Z157" si="132">SUM(G158:G165)</f>
        <v>174908</v>
      </c>
      <c r="H157" s="23">
        <f t="shared" si="132"/>
        <v>190470</v>
      </c>
      <c r="I157" s="23">
        <f t="shared" si="132"/>
        <v>1092708</v>
      </c>
      <c r="J157" s="23">
        <f t="shared" si="132"/>
        <v>500000</v>
      </c>
      <c r="K157" s="23">
        <f t="shared" si="132"/>
        <v>1997800</v>
      </c>
      <c r="L157" s="23">
        <f t="shared" si="132"/>
        <v>2000000</v>
      </c>
      <c r="M157" s="23">
        <f t="shared" si="132"/>
        <v>200000</v>
      </c>
      <c r="N157" s="23">
        <f t="shared" si="132"/>
        <v>300000</v>
      </c>
      <c r="O157" s="23">
        <f t="shared" si="132"/>
        <v>162243</v>
      </c>
      <c r="P157" s="23">
        <f t="shared" si="132"/>
        <v>1241114</v>
      </c>
      <c r="Q157" s="23">
        <f t="shared" si="132"/>
        <v>52204</v>
      </c>
      <c r="R157" s="23">
        <f t="shared" si="132"/>
        <v>8800000</v>
      </c>
      <c r="S157" s="23">
        <f t="shared" si="132"/>
        <v>630586</v>
      </c>
      <c r="T157" s="23">
        <f>SUM(T158:T165)</f>
        <v>250000</v>
      </c>
      <c r="U157" s="23">
        <f t="shared" si="132"/>
        <v>52204</v>
      </c>
      <c r="V157" s="23">
        <f>SUM(V158:V165)</f>
        <v>386440</v>
      </c>
      <c r="W157" s="23">
        <f>SUM(W158:W165)</f>
        <v>2500000</v>
      </c>
      <c r="X157" s="23">
        <f>SUM(X158:X165)</f>
        <v>892910</v>
      </c>
      <c r="Y157" s="23">
        <f t="shared" si="132"/>
        <v>224496</v>
      </c>
      <c r="Z157" s="23">
        <f t="shared" si="132"/>
        <v>14264974</v>
      </c>
      <c r="AA157" s="23">
        <f t="shared" ref="AA157:AF157" si="133">SUM(AA158:AA165)</f>
        <v>205848</v>
      </c>
      <c r="AB157" s="23">
        <f t="shared" si="133"/>
        <v>3357936</v>
      </c>
      <c r="AC157" s="23">
        <f t="shared" si="133"/>
        <v>3100000</v>
      </c>
      <c r="AD157" s="23">
        <f t="shared" si="133"/>
        <v>5801190</v>
      </c>
      <c r="AE157" s="23">
        <f t="shared" si="133"/>
        <v>1800000</v>
      </c>
      <c r="AF157" s="2">
        <f t="shared" si="133"/>
        <v>1180777</v>
      </c>
      <c r="AG157" s="345">
        <f>SUM(AG158:AG160)</f>
        <v>153391</v>
      </c>
      <c r="AH157" s="33">
        <f t="shared" ref="AH157:AQ157" si="134">SUM(AH158:AH165)</f>
        <v>405000</v>
      </c>
      <c r="AI157" s="33">
        <f t="shared" si="134"/>
        <v>32386</v>
      </c>
      <c r="AJ157" s="33">
        <f t="shared" si="134"/>
        <v>590000</v>
      </c>
      <c r="AK157" s="34">
        <f t="shared" si="134"/>
        <v>10990000</v>
      </c>
      <c r="AL157" s="35">
        <f t="shared" si="134"/>
        <v>1840000</v>
      </c>
      <c r="AM157" s="34">
        <f t="shared" si="134"/>
        <v>9150000</v>
      </c>
      <c r="AN157" s="305">
        <f>SUM(AN158:AN165)</f>
        <v>850000</v>
      </c>
      <c r="AO157" s="35">
        <f t="shared" si="134"/>
        <v>2300000</v>
      </c>
      <c r="AP157" s="35">
        <f t="shared" si="134"/>
        <v>2250000</v>
      </c>
      <c r="AQ157" s="35">
        <f t="shared" si="134"/>
        <v>3750000</v>
      </c>
    </row>
    <row r="158" spans="1:43" ht="15.75" customHeight="1" x14ac:dyDescent="0.3">
      <c r="A158" s="46" t="s">
        <v>243</v>
      </c>
      <c r="B158" s="1903" t="s">
        <v>244</v>
      </c>
      <c r="C158" s="1904"/>
      <c r="D158" s="20">
        <f t="shared" ref="D158:D165" si="135">+F158+Z158+AF158+AK158</f>
        <v>10097687</v>
      </c>
      <c r="E158" s="98">
        <f t="shared" ref="E158:E165" si="136">SUM(G158+H158+I158+J158+K158+L158+M158+N158+O158+P158+Q158+R158+S158+T158+U158+V158+W158+X158+Y158+AA158+AB158+AC158+AD158+AE158+AG158+AH158+AI158+AJ158+AL158+AN158+AO158+AP158+AQ158)</f>
        <v>10097687</v>
      </c>
      <c r="F158" s="21">
        <f t="shared" si="131"/>
        <v>4297160</v>
      </c>
      <c r="G158" s="341">
        <v>56640</v>
      </c>
      <c r="H158" s="341">
        <v>77470</v>
      </c>
      <c r="I158" s="341">
        <v>358053</v>
      </c>
      <c r="J158" s="341">
        <v>200000</v>
      </c>
      <c r="K158" s="341">
        <v>12300</v>
      </c>
      <c r="L158" s="1">
        <v>800000</v>
      </c>
      <c r="M158" s="341">
        <v>100000</v>
      </c>
      <c r="N158" s="341">
        <v>150000</v>
      </c>
      <c r="O158" s="341">
        <v>70138</v>
      </c>
      <c r="P158" s="341">
        <v>205277</v>
      </c>
      <c r="Q158" s="1">
        <v>14738</v>
      </c>
      <c r="R158" s="1">
        <v>250000</v>
      </c>
      <c r="S158" s="1">
        <v>308070</v>
      </c>
      <c r="T158" s="1">
        <v>150000</v>
      </c>
      <c r="U158" s="1">
        <v>14738</v>
      </c>
      <c r="V158" s="1">
        <v>199840</v>
      </c>
      <c r="W158" s="1">
        <v>1000000</v>
      </c>
      <c r="X158" s="1">
        <v>159307</v>
      </c>
      <c r="Y158" s="1">
        <v>170589</v>
      </c>
      <c r="Z158" s="10">
        <f t="shared" ref="Z158:Z165" si="137">SUM(AA158:AE158)</f>
        <v>1401802</v>
      </c>
      <c r="AA158" s="1">
        <v>9090</v>
      </c>
      <c r="AB158" s="1">
        <v>92712</v>
      </c>
      <c r="AC158" s="1">
        <v>400000</v>
      </c>
      <c r="AD158" s="1">
        <v>400000</v>
      </c>
      <c r="AE158" s="1">
        <v>500000</v>
      </c>
      <c r="AF158" s="2">
        <f t="shared" ref="AF158:AF165" si="138">SUM(AG158:AJ158)</f>
        <v>453725</v>
      </c>
      <c r="AG158" s="352">
        <v>10564</v>
      </c>
      <c r="AH158" s="15">
        <v>100000</v>
      </c>
      <c r="AI158" s="15">
        <v>8161</v>
      </c>
      <c r="AJ158" s="15">
        <v>335000</v>
      </c>
      <c r="AK158" s="34">
        <f t="shared" ref="AK158:AK165" si="139">SUM(AL158+AM158)</f>
        <v>3945000</v>
      </c>
      <c r="AL158" s="15">
        <v>145000</v>
      </c>
      <c r="AM158" s="93">
        <f t="shared" ref="AM158:AM165" si="140">SUM(AN158:AQ158)</f>
        <v>3800000</v>
      </c>
      <c r="AN158" s="319">
        <v>500000</v>
      </c>
      <c r="AO158" s="15">
        <v>1550000</v>
      </c>
      <c r="AP158" s="15">
        <v>750000</v>
      </c>
      <c r="AQ158" s="15">
        <v>1000000</v>
      </c>
    </row>
    <row r="159" spans="1:43" ht="15.75" customHeight="1" x14ac:dyDescent="0.3">
      <c r="A159" s="46" t="s">
        <v>469</v>
      </c>
      <c r="B159" s="381" t="s">
        <v>470</v>
      </c>
      <c r="C159" s="99"/>
      <c r="D159" s="20">
        <f t="shared" si="135"/>
        <v>150000</v>
      </c>
      <c r="E159" s="98">
        <f t="shared" si="136"/>
        <v>150000</v>
      </c>
      <c r="F159" s="21">
        <f t="shared" si="131"/>
        <v>150000</v>
      </c>
      <c r="G159" s="341"/>
      <c r="H159" s="341"/>
      <c r="I159" s="341"/>
      <c r="J159" s="341"/>
      <c r="K159" s="341">
        <v>150000</v>
      </c>
      <c r="L159" s="1"/>
      <c r="M159" s="341"/>
      <c r="N159" s="341"/>
      <c r="O159" s="341"/>
      <c r="P159" s="341"/>
      <c r="Q159" s="1"/>
      <c r="R159" s="1"/>
      <c r="S159" s="1"/>
      <c r="T159" s="1"/>
      <c r="U159" s="1"/>
      <c r="V159" s="1"/>
      <c r="W159" s="1"/>
      <c r="X159" s="1"/>
      <c r="Y159" s="1"/>
      <c r="Z159" s="10">
        <f t="shared" si="137"/>
        <v>0</v>
      </c>
      <c r="AA159" s="1"/>
      <c r="AB159" s="1"/>
      <c r="AC159" s="1"/>
      <c r="AD159" s="1"/>
      <c r="AE159" s="1"/>
      <c r="AF159" s="2">
        <f t="shared" si="138"/>
        <v>0</v>
      </c>
      <c r="AG159" s="339"/>
      <c r="AH159" s="13"/>
      <c r="AI159" s="13"/>
      <c r="AJ159" s="13"/>
      <c r="AK159" s="34">
        <f t="shared" si="139"/>
        <v>0</v>
      </c>
      <c r="AL159" s="13"/>
      <c r="AM159" s="93">
        <f t="shared" si="140"/>
        <v>0</v>
      </c>
      <c r="AN159" s="309"/>
      <c r="AO159" s="13"/>
      <c r="AP159" s="13"/>
      <c r="AQ159" s="13"/>
    </row>
    <row r="160" spans="1:43" ht="15.75" customHeight="1" x14ac:dyDescent="0.3">
      <c r="A160" s="46" t="s">
        <v>245</v>
      </c>
      <c r="B160" s="1903" t="s">
        <v>246</v>
      </c>
      <c r="C160" s="1904"/>
      <c r="D160" s="20">
        <f t="shared" si="135"/>
        <v>17145047</v>
      </c>
      <c r="E160" s="98">
        <f t="shared" si="136"/>
        <v>17145047</v>
      </c>
      <c r="F160" s="21">
        <f t="shared" si="131"/>
        <v>8599823</v>
      </c>
      <c r="G160" s="341">
        <v>67168</v>
      </c>
      <c r="H160" s="341">
        <v>113000</v>
      </c>
      <c r="I160" s="341">
        <v>434655</v>
      </c>
      <c r="J160" s="341">
        <v>300000</v>
      </c>
      <c r="K160" s="341">
        <v>35500</v>
      </c>
      <c r="L160" s="1">
        <v>800000</v>
      </c>
      <c r="M160" s="341">
        <v>100000</v>
      </c>
      <c r="N160" s="341">
        <v>150000</v>
      </c>
      <c r="O160" s="341">
        <v>92105</v>
      </c>
      <c r="P160" s="341">
        <v>1035837</v>
      </c>
      <c r="Q160" s="1">
        <v>37466</v>
      </c>
      <c r="R160" s="1">
        <v>2900000</v>
      </c>
      <c r="S160" s="1">
        <v>22516</v>
      </c>
      <c r="T160" s="1">
        <v>100000</v>
      </c>
      <c r="U160" s="1">
        <v>37466</v>
      </c>
      <c r="V160" s="1">
        <v>186600</v>
      </c>
      <c r="W160" s="1">
        <v>1500000</v>
      </c>
      <c r="X160" s="1">
        <v>633603</v>
      </c>
      <c r="Y160" s="1">
        <v>53907</v>
      </c>
      <c r="Z160" s="10">
        <f t="shared" si="137"/>
        <v>1538172</v>
      </c>
      <c r="AA160" s="1">
        <v>171758</v>
      </c>
      <c r="AB160" s="1">
        <v>265224</v>
      </c>
      <c r="AC160" s="1">
        <v>200000</v>
      </c>
      <c r="AD160" s="1">
        <v>401190</v>
      </c>
      <c r="AE160" s="1">
        <v>500000</v>
      </c>
      <c r="AF160" s="2">
        <f t="shared" si="138"/>
        <v>707052</v>
      </c>
      <c r="AG160" s="344">
        <v>142827</v>
      </c>
      <c r="AH160" s="7">
        <v>305000</v>
      </c>
      <c r="AI160" s="7">
        <v>24225</v>
      </c>
      <c r="AJ160" s="7">
        <v>235000</v>
      </c>
      <c r="AK160" s="34">
        <f t="shared" si="139"/>
        <v>6300000</v>
      </c>
      <c r="AL160" s="7">
        <v>1500000</v>
      </c>
      <c r="AM160" s="93">
        <f t="shared" si="140"/>
        <v>4800000</v>
      </c>
      <c r="AN160" s="318">
        <v>350000</v>
      </c>
      <c r="AO160" s="7">
        <v>450000</v>
      </c>
      <c r="AP160" s="7">
        <v>1500000</v>
      </c>
      <c r="AQ160" s="7">
        <v>2500000</v>
      </c>
    </row>
    <row r="161" spans="1:43" ht="15.75" customHeight="1" x14ac:dyDescent="0.3">
      <c r="A161" s="218" t="s">
        <v>247</v>
      </c>
      <c r="B161" s="1903" t="s">
        <v>248</v>
      </c>
      <c r="C161" s="1923"/>
      <c r="D161" s="20">
        <f t="shared" si="135"/>
        <v>10170000</v>
      </c>
      <c r="E161" s="98">
        <f t="shared" si="136"/>
        <v>10170000</v>
      </c>
      <c r="F161" s="21">
        <f t="shared" si="131"/>
        <v>850000</v>
      </c>
      <c r="G161" s="341"/>
      <c r="H161" s="341"/>
      <c r="I161" s="341">
        <v>300000</v>
      </c>
      <c r="J161" s="341"/>
      <c r="K161" s="341">
        <v>300000</v>
      </c>
      <c r="L161" s="1"/>
      <c r="M161" s="341"/>
      <c r="N161" s="341"/>
      <c r="O161" s="341"/>
      <c r="P161" s="341"/>
      <c r="Q161" s="1"/>
      <c r="R161" s="1">
        <v>250000</v>
      </c>
      <c r="S161" s="1"/>
      <c r="T161" s="1"/>
      <c r="U161" s="1"/>
      <c r="V161" s="1"/>
      <c r="W161" s="1"/>
      <c r="X161" s="1"/>
      <c r="Y161" s="1"/>
      <c r="Z161" s="10">
        <f t="shared" si="137"/>
        <v>9200000</v>
      </c>
      <c r="AA161" s="1"/>
      <c r="AB161" s="1">
        <v>3000000</v>
      </c>
      <c r="AC161" s="1">
        <v>2500000</v>
      </c>
      <c r="AD161" s="1">
        <v>3000000</v>
      </c>
      <c r="AE161" s="1">
        <v>700000</v>
      </c>
      <c r="AF161" s="2">
        <f t="shared" si="138"/>
        <v>0</v>
      </c>
      <c r="AG161" s="339"/>
      <c r="AH161" s="13"/>
      <c r="AI161" s="13"/>
      <c r="AJ161" s="13"/>
      <c r="AK161" s="34">
        <f t="shared" si="139"/>
        <v>120000</v>
      </c>
      <c r="AL161" s="13">
        <v>120000</v>
      </c>
      <c r="AM161" s="93">
        <f t="shared" si="140"/>
        <v>0</v>
      </c>
      <c r="AN161" s="309"/>
      <c r="AO161" s="13"/>
      <c r="AP161" s="13"/>
      <c r="AQ161" s="13"/>
    </row>
    <row r="162" spans="1:43" ht="15.75" customHeight="1" x14ac:dyDescent="0.3">
      <c r="A162" s="218" t="s">
        <v>249</v>
      </c>
      <c r="B162" s="1903" t="s">
        <v>250</v>
      </c>
      <c r="C162" s="1923"/>
      <c r="D162" s="20">
        <f t="shared" si="135"/>
        <v>3582600</v>
      </c>
      <c r="E162" s="98">
        <f t="shared" si="136"/>
        <v>3582600</v>
      </c>
      <c r="F162" s="21">
        <f t="shared" si="131"/>
        <v>3562600</v>
      </c>
      <c r="G162" s="341">
        <v>12600</v>
      </c>
      <c r="H162" s="341"/>
      <c r="I162" s="341"/>
      <c r="J162" s="341"/>
      <c r="K162" s="341"/>
      <c r="L162" s="1">
        <v>400000</v>
      </c>
      <c r="M162" s="341"/>
      <c r="N162" s="341"/>
      <c r="O162" s="341"/>
      <c r="P162" s="341"/>
      <c r="Q162" s="1"/>
      <c r="R162" s="1">
        <v>3150000</v>
      </c>
      <c r="S162" s="1"/>
      <c r="T162" s="1"/>
      <c r="U162" s="1"/>
      <c r="V162" s="1"/>
      <c r="W162" s="1"/>
      <c r="X162" s="1"/>
      <c r="Y162" s="1"/>
      <c r="Z162" s="10">
        <f t="shared" si="137"/>
        <v>0</v>
      </c>
      <c r="AA162" s="1"/>
      <c r="AB162" s="1"/>
      <c r="AC162" s="1"/>
      <c r="AD162" s="1"/>
      <c r="AE162" s="1"/>
      <c r="AF162" s="2">
        <f t="shared" si="138"/>
        <v>20000</v>
      </c>
      <c r="AG162" s="339"/>
      <c r="AH162" s="12"/>
      <c r="AI162" s="12"/>
      <c r="AJ162" s="12">
        <v>20000</v>
      </c>
      <c r="AK162" s="34">
        <f t="shared" si="139"/>
        <v>0</v>
      </c>
      <c r="AL162" s="12"/>
      <c r="AM162" s="93">
        <f t="shared" si="140"/>
        <v>0</v>
      </c>
      <c r="AN162" s="317"/>
      <c r="AO162" s="12"/>
      <c r="AP162" s="12"/>
      <c r="AQ162" s="12"/>
    </row>
    <row r="163" spans="1:43" ht="15.75" customHeight="1" x14ac:dyDescent="0.3">
      <c r="A163" s="218" t="s">
        <v>251</v>
      </c>
      <c r="B163" s="1903" t="s">
        <v>252</v>
      </c>
      <c r="C163" s="1923"/>
      <c r="D163" s="20">
        <f t="shared" si="135"/>
        <v>3500000</v>
      </c>
      <c r="E163" s="98">
        <f t="shared" si="136"/>
        <v>3500000</v>
      </c>
      <c r="F163" s="21">
        <f t="shared" si="131"/>
        <v>3500000</v>
      </c>
      <c r="G163" s="341"/>
      <c r="H163" s="341"/>
      <c r="I163" s="341"/>
      <c r="J163" s="341"/>
      <c r="K163" s="341">
        <v>1500000</v>
      </c>
      <c r="L163" s="1"/>
      <c r="M163" s="341"/>
      <c r="N163" s="341"/>
      <c r="O163" s="341"/>
      <c r="P163" s="341"/>
      <c r="Q163" s="1"/>
      <c r="R163" s="1">
        <v>2000000</v>
      </c>
      <c r="S163" s="1"/>
      <c r="T163" s="1"/>
      <c r="U163" s="1"/>
      <c r="V163" s="1"/>
      <c r="W163" s="1"/>
      <c r="X163" s="1"/>
      <c r="Y163" s="1"/>
      <c r="Z163" s="10">
        <f t="shared" si="137"/>
        <v>0</v>
      </c>
      <c r="AA163" s="1"/>
      <c r="AB163" s="1"/>
      <c r="AC163" s="1"/>
      <c r="AD163" s="1"/>
      <c r="AE163" s="1"/>
      <c r="AF163" s="2">
        <f t="shared" si="138"/>
        <v>0</v>
      </c>
      <c r="AG163" s="339"/>
      <c r="AH163" s="13"/>
      <c r="AI163" s="13"/>
      <c r="AJ163" s="13"/>
      <c r="AK163" s="34">
        <f t="shared" si="139"/>
        <v>0</v>
      </c>
      <c r="AL163" s="13"/>
      <c r="AM163" s="93">
        <f t="shared" si="140"/>
        <v>0</v>
      </c>
      <c r="AN163" s="309"/>
      <c r="AO163" s="13"/>
      <c r="AP163" s="13"/>
      <c r="AQ163" s="13"/>
    </row>
    <row r="164" spans="1:43" ht="15.75" customHeight="1" x14ac:dyDescent="0.3">
      <c r="A164" s="218" t="s">
        <v>253</v>
      </c>
      <c r="B164" s="1921" t="s">
        <v>254</v>
      </c>
      <c r="C164" s="1924"/>
      <c r="D164" s="20">
        <f t="shared" si="135"/>
        <v>363500</v>
      </c>
      <c r="E164" s="98">
        <f t="shared" si="136"/>
        <v>363500</v>
      </c>
      <c r="F164" s="21">
        <f t="shared" si="131"/>
        <v>338500</v>
      </c>
      <c r="G164" s="341">
        <v>38500</v>
      </c>
      <c r="H164" s="341"/>
      <c r="I164" s="341"/>
      <c r="J164" s="341"/>
      <c r="K164" s="341"/>
      <c r="L164" s="1"/>
      <c r="M164" s="341"/>
      <c r="N164" s="341"/>
      <c r="O164" s="341"/>
      <c r="P164" s="341"/>
      <c r="Q164" s="1"/>
      <c r="R164" s="1"/>
      <c r="S164" s="355">
        <v>300000</v>
      </c>
      <c r="T164" s="1"/>
      <c r="U164" s="1"/>
      <c r="V164" s="1"/>
      <c r="W164" s="1"/>
      <c r="X164" s="1"/>
      <c r="Y164" s="1"/>
      <c r="Z164" s="10">
        <f t="shared" si="137"/>
        <v>25000</v>
      </c>
      <c r="AA164" s="1">
        <v>25000</v>
      </c>
      <c r="AB164" s="1"/>
      <c r="AC164" s="1"/>
      <c r="AD164" s="1"/>
      <c r="AE164" s="1"/>
      <c r="AF164" s="2">
        <f t="shared" si="138"/>
        <v>0</v>
      </c>
      <c r="AG164" s="336"/>
      <c r="AH164" s="28"/>
      <c r="AI164" s="28"/>
      <c r="AJ164" s="28"/>
      <c r="AK164" s="34">
        <f t="shared" si="139"/>
        <v>0</v>
      </c>
      <c r="AL164" s="28"/>
      <c r="AM164" s="93">
        <f t="shared" si="140"/>
        <v>0</v>
      </c>
      <c r="AN164" s="28"/>
      <c r="AO164" s="28"/>
      <c r="AP164" s="28"/>
      <c r="AQ164" s="28"/>
    </row>
    <row r="165" spans="1:43" ht="15.75" customHeight="1" x14ac:dyDescent="0.3">
      <c r="A165" s="218" t="s">
        <v>255</v>
      </c>
      <c r="B165" s="1903" t="s">
        <v>256</v>
      </c>
      <c r="C165" s="1923"/>
      <c r="D165" s="20">
        <f t="shared" si="135"/>
        <v>3075000</v>
      </c>
      <c r="E165" s="98">
        <f t="shared" si="136"/>
        <v>3075000</v>
      </c>
      <c r="F165" s="21">
        <f t="shared" si="131"/>
        <v>350000</v>
      </c>
      <c r="G165" s="341"/>
      <c r="H165" s="341">
        <v>0</v>
      </c>
      <c r="I165" s="341"/>
      <c r="J165" s="341">
        <v>0</v>
      </c>
      <c r="K165" s="341">
        <v>0</v>
      </c>
      <c r="L165" s="1">
        <v>0</v>
      </c>
      <c r="M165" s="341"/>
      <c r="N165" s="341"/>
      <c r="O165" s="341"/>
      <c r="P165" s="341"/>
      <c r="Q165" s="1"/>
      <c r="R165" s="1">
        <v>250000</v>
      </c>
      <c r="S165" s="1"/>
      <c r="T165" s="1"/>
      <c r="U165" s="1"/>
      <c r="V165" s="1"/>
      <c r="W165" s="1"/>
      <c r="X165" s="1">
        <v>100000</v>
      </c>
      <c r="Y165" s="1"/>
      <c r="Z165" s="10">
        <f t="shared" si="137"/>
        <v>2100000</v>
      </c>
      <c r="AA165" s="1"/>
      <c r="AB165" s="1"/>
      <c r="AC165" s="1"/>
      <c r="AD165" s="1">
        <v>2000000</v>
      </c>
      <c r="AE165" s="1">
        <v>100000</v>
      </c>
      <c r="AF165" s="2">
        <f t="shared" si="138"/>
        <v>0</v>
      </c>
      <c r="AG165" s="339"/>
      <c r="AH165" s="13"/>
      <c r="AI165" s="13"/>
      <c r="AJ165" s="13"/>
      <c r="AK165" s="34">
        <f t="shared" si="139"/>
        <v>625000</v>
      </c>
      <c r="AL165" s="13">
        <v>75000</v>
      </c>
      <c r="AM165" s="93">
        <f t="shared" si="140"/>
        <v>550000</v>
      </c>
      <c r="AN165" s="309"/>
      <c r="AO165" s="13">
        <v>300000</v>
      </c>
      <c r="AP165" s="13"/>
      <c r="AQ165" s="13">
        <v>250000</v>
      </c>
    </row>
    <row r="166" spans="1:43" ht="15.75" customHeight="1" x14ac:dyDescent="0.3">
      <c r="A166" s="218"/>
      <c r="B166" s="381"/>
      <c r="C166" s="382"/>
      <c r="D166" s="20"/>
      <c r="E166" s="98"/>
      <c r="F166" s="21"/>
      <c r="G166" s="341"/>
      <c r="H166" s="341"/>
      <c r="I166" s="341"/>
      <c r="J166" s="341"/>
      <c r="K166" s="341"/>
      <c r="L166" s="1"/>
      <c r="M166" s="341"/>
      <c r="N166" s="341"/>
      <c r="O166" s="341"/>
      <c r="P166" s="341"/>
      <c r="Q166" s="1"/>
      <c r="R166" s="1"/>
      <c r="S166" s="1"/>
      <c r="T166" s="1"/>
      <c r="U166" s="1"/>
      <c r="V166" s="1"/>
      <c r="W166" s="1"/>
      <c r="X166" s="1"/>
      <c r="Y166" s="1"/>
      <c r="Z166" s="26"/>
      <c r="AA166" s="1"/>
      <c r="AB166" s="1"/>
      <c r="AC166" s="1"/>
      <c r="AD166" s="1"/>
      <c r="AE166" s="1"/>
      <c r="AF166" s="2"/>
      <c r="AG166" s="339"/>
      <c r="AH166" s="13"/>
      <c r="AI166" s="13"/>
      <c r="AJ166" s="13"/>
      <c r="AK166" s="34"/>
      <c r="AL166" s="152"/>
      <c r="AM166" s="115"/>
      <c r="AN166" s="322"/>
      <c r="AO166" s="323"/>
      <c r="AP166" s="323"/>
      <c r="AQ166" s="323"/>
    </row>
    <row r="167" spans="1:43" ht="15.75" customHeight="1" x14ac:dyDescent="0.3">
      <c r="A167" s="217"/>
      <c r="B167" s="381"/>
      <c r="C167" s="99"/>
      <c r="D167" s="20"/>
      <c r="E167" s="98"/>
      <c r="F167" s="21" t="s">
        <v>0</v>
      </c>
      <c r="G167" s="346"/>
      <c r="H167" s="346"/>
      <c r="I167" s="346"/>
      <c r="J167" s="346"/>
      <c r="K167" s="346"/>
      <c r="L167" s="1"/>
      <c r="M167" s="346"/>
      <c r="N167" s="346"/>
      <c r="O167" s="346"/>
      <c r="P167" s="346"/>
      <c r="Q167" s="1"/>
      <c r="R167" s="1"/>
      <c r="S167" s="1"/>
      <c r="T167" s="1"/>
      <c r="U167" s="1"/>
      <c r="V167" s="1"/>
      <c r="W167" s="1"/>
      <c r="X167" s="1"/>
      <c r="Y167" s="1"/>
      <c r="Z167" s="26"/>
      <c r="AA167" s="1"/>
      <c r="AB167" s="1"/>
      <c r="AC167" s="1"/>
      <c r="AD167" s="1"/>
      <c r="AE167" s="1"/>
      <c r="AF167" s="2" t="s">
        <v>0</v>
      </c>
      <c r="AG167" s="339" t="s">
        <v>0</v>
      </c>
      <c r="AH167" s="13" t="s">
        <v>0</v>
      </c>
      <c r="AI167" s="13" t="s">
        <v>0</v>
      </c>
      <c r="AJ167" s="13" t="s">
        <v>0</v>
      </c>
      <c r="AK167" s="34"/>
      <c r="AL167" s="13" t="s">
        <v>0</v>
      </c>
      <c r="AM167" s="115" t="s">
        <v>0</v>
      </c>
      <c r="AN167" s="309" t="s">
        <v>0</v>
      </c>
      <c r="AO167" s="13" t="s">
        <v>0</v>
      </c>
      <c r="AP167" s="13" t="s">
        <v>0</v>
      </c>
      <c r="AQ167" s="13" t="s">
        <v>0</v>
      </c>
    </row>
    <row r="168" spans="1:43" ht="15.75" customHeight="1" x14ac:dyDescent="0.3">
      <c r="A168" s="219">
        <v>3</v>
      </c>
      <c r="B168" s="1909" t="s">
        <v>257</v>
      </c>
      <c r="C168" s="1904"/>
      <c r="D168" s="25">
        <f>D170</f>
        <v>719495680</v>
      </c>
      <c r="E168" s="71">
        <f>SUM(E170)</f>
        <v>719495680</v>
      </c>
      <c r="F168" s="25">
        <f>+F170+F179</f>
        <v>0</v>
      </c>
      <c r="G168" s="25">
        <f t="shared" ref="G168:S168" si="141">G170</f>
        <v>0</v>
      </c>
      <c r="H168" s="25">
        <f t="shared" si="141"/>
        <v>0</v>
      </c>
      <c r="I168" s="25">
        <f t="shared" si="141"/>
        <v>0</v>
      </c>
      <c r="J168" s="25">
        <f t="shared" si="141"/>
        <v>0</v>
      </c>
      <c r="K168" s="25">
        <f t="shared" si="141"/>
        <v>0</v>
      </c>
      <c r="L168" s="25">
        <f t="shared" si="141"/>
        <v>0</v>
      </c>
      <c r="M168" s="25">
        <f t="shared" si="141"/>
        <v>0</v>
      </c>
      <c r="N168" s="25">
        <f t="shared" si="141"/>
        <v>0</v>
      </c>
      <c r="O168" s="25">
        <f t="shared" si="141"/>
        <v>0</v>
      </c>
      <c r="P168" s="25">
        <f t="shared" si="141"/>
        <v>0</v>
      </c>
      <c r="Q168" s="25">
        <f t="shared" si="141"/>
        <v>0</v>
      </c>
      <c r="R168" s="25">
        <f t="shared" si="141"/>
        <v>0</v>
      </c>
      <c r="S168" s="25">
        <f t="shared" si="141"/>
        <v>0</v>
      </c>
      <c r="T168" s="25">
        <f>T170</f>
        <v>0</v>
      </c>
      <c r="U168" s="25">
        <f>U170+U179</f>
        <v>0</v>
      </c>
      <c r="V168" s="25">
        <f>V170+V179</f>
        <v>0</v>
      </c>
      <c r="W168" s="25">
        <f>W170+W179</f>
        <v>0</v>
      </c>
      <c r="X168" s="25">
        <f>X170+X179</f>
        <v>0</v>
      </c>
      <c r="Y168" s="25">
        <f t="shared" ref="Y168:AE168" si="142">Y170</f>
        <v>0</v>
      </c>
      <c r="Z168" s="25">
        <f t="shared" si="142"/>
        <v>0</v>
      </c>
      <c r="AA168" s="25">
        <f t="shared" si="142"/>
        <v>0</v>
      </c>
      <c r="AB168" s="25">
        <f t="shared" si="142"/>
        <v>0</v>
      </c>
      <c r="AC168" s="25">
        <f t="shared" si="142"/>
        <v>0</v>
      </c>
      <c r="AD168" s="25">
        <f t="shared" si="142"/>
        <v>0</v>
      </c>
      <c r="AE168" s="25">
        <f t="shared" si="142"/>
        <v>0</v>
      </c>
      <c r="AF168" s="2">
        <f>SUM(AF170)</f>
        <v>0</v>
      </c>
      <c r="AG168" s="345">
        <f t="shared" ref="AG168:AQ168" si="143">AG170+AG179</f>
        <v>0</v>
      </c>
      <c r="AH168" s="33">
        <f t="shared" si="143"/>
        <v>0</v>
      </c>
      <c r="AI168" s="33">
        <f t="shared" si="143"/>
        <v>0</v>
      </c>
      <c r="AJ168" s="33">
        <f t="shared" si="143"/>
        <v>0</v>
      </c>
      <c r="AK168" s="34">
        <f t="shared" si="143"/>
        <v>719495680</v>
      </c>
      <c r="AL168" s="33">
        <f t="shared" si="143"/>
        <v>719495680</v>
      </c>
      <c r="AM168" s="34">
        <f>SUM(AM170)</f>
        <v>0</v>
      </c>
      <c r="AN168" s="305">
        <f>AN170+AN179</f>
        <v>0</v>
      </c>
      <c r="AO168" s="35">
        <f t="shared" si="143"/>
        <v>0</v>
      </c>
      <c r="AP168" s="35">
        <f t="shared" si="143"/>
        <v>0</v>
      </c>
      <c r="AQ168" s="35">
        <f t="shared" si="143"/>
        <v>0</v>
      </c>
    </row>
    <row r="169" spans="1:43" ht="15.75" customHeight="1" x14ac:dyDescent="0.3">
      <c r="A169" s="217"/>
      <c r="B169" s="381"/>
      <c r="C169" s="99"/>
      <c r="D169" s="20"/>
      <c r="E169" s="98"/>
      <c r="F169" s="21"/>
      <c r="G169" s="346"/>
      <c r="H169" s="346"/>
      <c r="I169" s="346"/>
      <c r="J169" s="346"/>
      <c r="K169" s="346"/>
      <c r="L169" s="1"/>
      <c r="M169" s="346"/>
      <c r="N169" s="346"/>
      <c r="O169" s="346"/>
      <c r="P169" s="346"/>
      <c r="Q169" s="1"/>
      <c r="R169" s="1"/>
      <c r="S169" s="1"/>
      <c r="T169" s="1"/>
      <c r="U169" s="1"/>
      <c r="V169" s="1"/>
      <c r="W169" s="1"/>
      <c r="X169" s="1"/>
      <c r="Y169" s="1"/>
      <c r="Z169" s="26"/>
      <c r="AA169" s="1"/>
      <c r="AB169" s="1"/>
      <c r="AC169" s="1"/>
      <c r="AD169" s="1"/>
      <c r="AE169" s="1"/>
      <c r="AF169" s="2" t="s">
        <v>0</v>
      </c>
      <c r="AG169" s="339" t="s">
        <v>0</v>
      </c>
      <c r="AH169" s="13" t="s">
        <v>0</v>
      </c>
      <c r="AI169" s="13" t="s">
        <v>0</v>
      </c>
      <c r="AJ169" s="13" t="s">
        <v>0</v>
      </c>
      <c r="AK169" s="34"/>
      <c r="AL169" s="13" t="s">
        <v>0</v>
      </c>
      <c r="AM169" s="115" t="s">
        <v>0</v>
      </c>
      <c r="AN169" s="309" t="s">
        <v>0</v>
      </c>
      <c r="AO169" s="13" t="s">
        <v>0</v>
      </c>
      <c r="AP169" s="13" t="s">
        <v>0</v>
      </c>
      <c r="AQ169" s="13" t="s">
        <v>0</v>
      </c>
    </row>
    <row r="170" spans="1:43" ht="15.75" customHeight="1" x14ac:dyDescent="0.3">
      <c r="A170" s="40" t="s">
        <v>258</v>
      </c>
      <c r="B170" s="1912" t="s">
        <v>259</v>
      </c>
      <c r="C170" s="1919"/>
      <c r="D170" s="21">
        <f>SUM(D171:D177)</f>
        <v>719495680</v>
      </c>
      <c r="E170" s="71">
        <f>SUM(E176)</f>
        <v>719495680</v>
      </c>
      <c r="F170" s="21">
        <f t="shared" ref="F170:F177" si="144">SUM(G170:Y170)</f>
        <v>0</v>
      </c>
      <c r="G170" s="23">
        <f t="shared" ref="G170:Z170" si="145">SUM(G171:G177)</f>
        <v>0</v>
      </c>
      <c r="H170" s="23">
        <f t="shared" si="145"/>
        <v>0</v>
      </c>
      <c r="I170" s="23">
        <f t="shared" si="145"/>
        <v>0</v>
      </c>
      <c r="J170" s="23">
        <f t="shared" si="145"/>
        <v>0</v>
      </c>
      <c r="K170" s="23">
        <f t="shared" si="145"/>
        <v>0</v>
      </c>
      <c r="L170" s="23">
        <f t="shared" si="145"/>
        <v>0</v>
      </c>
      <c r="M170" s="23">
        <f t="shared" si="145"/>
        <v>0</v>
      </c>
      <c r="N170" s="23">
        <f t="shared" si="145"/>
        <v>0</v>
      </c>
      <c r="O170" s="23">
        <f t="shared" si="145"/>
        <v>0</v>
      </c>
      <c r="P170" s="23">
        <f t="shared" si="145"/>
        <v>0</v>
      </c>
      <c r="Q170" s="23">
        <f t="shared" si="145"/>
        <v>0</v>
      </c>
      <c r="R170" s="23">
        <f t="shared" si="145"/>
        <v>0</v>
      </c>
      <c r="S170" s="23">
        <f t="shared" si="145"/>
        <v>0</v>
      </c>
      <c r="T170" s="23">
        <f>SUM(T171:T177)</f>
        <v>0</v>
      </c>
      <c r="U170" s="23">
        <f t="shared" si="145"/>
        <v>0</v>
      </c>
      <c r="V170" s="23">
        <f>SUM(V171:V177)</f>
        <v>0</v>
      </c>
      <c r="W170" s="23">
        <f>SUM(W171:W177)</f>
        <v>0</v>
      </c>
      <c r="X170" s="23">
        <f>SUM(X171:X177)</f>
        <v>0</v>
      </c>
      <c r="Y170" s="23">
        <f t="shared" si="145"/>
        <v>0</v>
      </c>
      <c r="Z170" s="23">
        <f t="shared" si="145"/>
        <v>0</v>
      </c>
      <c r="AA170" s="23">
        <f>SUM(AA171:AA177)</f>
        <v>0</v>
      </c>
      <c r="AB170" s="23">
        <f>SUM(AB171:AB177)</f>
        <v>0</v>
      </c>
      <c r="AC170" s="23">
        <f>SUM(AC171:AC177)</f>
        <v>0</v>
      </c>
      <c r="AD170" s="23">
        <f>SUM(AD171:AD177)</f>
        <v>0</v>
      </c>
      <c r="AE170" s="23">
        <f>SUM(AE171:AE177)</f>
        <v>0</v>
      </c>
      <c r="AF170" s="2">
        <f>SUM(AF176)</f>
        <v>0</v>
      </c>
      <c r="AG170" s="345">
        <f t="shared" ref="AG170:AP170" si="146">SUM(AG171:AG177)</f>
        <v>0</v>
      </c>
      <c r="AH170" s="33">
        <f t="shared" si="146"/>
        <v>0</v>
      </c>
      <c r="AI170" s="33">
        <f t="shared" si="146"/>
        <v>0</v>
      </c>
      <c r="AJ170" s="33">
        <f t="shared" si="146"/>
        <v>0</v>
      </c>
      <c r="AK170" s="34">
        <f t="shared" si="146"/>
        <v>719495680</v>
      </c>
      <c r="AL170" s="35">
        <f>SUM(AL176)</f>
        <v>719495680</v>
      </c>
      <c r="AM170" s="34">
        <f>SUM(AM176)</f>
        <v>0</v>
      </c>
      <c r="AN170" s="305">
        <f>SUM(AN171:AN177)</f>
        <v>0</v>
      </c>
      <c r="AO170" s="35">
        <f t="shared" si="146"/>
        <v>0</v>
      </c>
      <c r="AP170" s="35">
        <f t="shared" si="146"/>
        <v>0</v>
      </c>
      <c r="AQ170" s="35">
        <f>SUM(AQ176)</f>
        <v>0</v>
      </c>
    </row>
    <row r="171" spans="1:43" ht="15.75" hidden="1" customHeight="1" x14ac:dyDescent="0.3">
      <c r="A171" s="46" t="s">
        <v>260</v>
      </c>
      <c r="B171" s="1903" t="s">
        <v>261</v>
      </c>
      <c r="C171" s="1904"/>
      <c r="D171" s="20">
        <f t="shared" ref="D171:D177" si="147">+F171+Z171+AF171+AK171</f>
        <v>0</v>
      </c>
      <c r="E171" s="98">
        <f t="shared" ref="E171:E180" si="148">SUM(F171+Z171+AF171+AK171)</f>
        <v>0</v>
      </c>
      <c r="F171" s="21">
        <f t="shared" si="144"/>
        <v>0</v>
      </c>
      <c r="G171" s="341"/>
      <c r="H171" s="341"/>
      <c r="I171" s="341"/>
      <c r="J171" s="341"/>
      <c r="K171" s="341"/>
      <c r="L171" s="1"/>
      <c r="M171" s="341"/>
      <c r="N171" s="341"/>
      <c r="O171" s="341"/>
      <c r="P171" s="341"/>
      <c r="Q171" s="1"/>
      <c r="R171" s="1"/>
      <c r="S171" s="1"/>
      <c r="T171" s="1"/>
      <c r="U171" s="1">
        <v>0</v>
      </c>
      <c r="V171" s="1">
        <v>0</v>
      </c>
      <c r="W171" s="1">
        <v>0</v>
      </c>
      <c r="X171" s="1">
        <v>0</v>
      </c>
      <c r="Y171" s="1"/>
      <c r="Z171" s="26"/>
      <c r="AA171" s="1"/>
      <c r="AB171" s="1"/>
      <c r="AC171" s="1"/>
      <c r="AD171" s="1"/>
      <c r="AE171" s="1"/>
      <c r="AF171" s="2">
        <f t="shared" ref="AF171:AF177" si="149">SUM(AG171:AI171)</f>
        <v>0</v>
      </c>
      <c r="AG171" s="339"/>
      <c r="AH171" s="13"/>
      <c r="AI171" s="35">
        <v>0</v>
      </c>
      <c r="AJ171" s="35">
        <v>0</v>
      </c>
      <c r="AK171" s="34">
        <v>0</v>
      </c>
      <c r="AL171" s="35">
        <v>0</v>
      </c>
      <c r="AM171" s="34">
        <v>0</v>
      </c>
      <c r="AN171" s="305">
        <v>0</v>
      </c>
      <c r="AO171" s="35">
        <v>0</v>
      </c>
      <c r="AP171" s="35">
        <v>0</v>
      </c>
      <c r="AQ171" s="35">
        <v>0</v>
      </c>
    </row>
    <row r="172" spans="1:43" ht="15.75" hidden="1" customHeight="1" x14ac:dyDescent="0.3">
      <c r="A172" s="46" t="s">
        <v>262</v>
      </c>
      <c r="B172" s="1903" t="s">
        <v>263</v>
      </c>
      <c r="C172" s="1904"/>
      <c r="D172" s="20">
        <f t="shared" si="147"/>
        <v>0</v>
      </c>
      <c r="E172" s="98">
        <f t="shared" si="148"/>
        <v>0</v>
      </c>
      <c r="F172" s="21">
        <f t="shared" si="144"/>
        <v>0</v>
      </c>
      <c r="G172" s="341"/>
      <c r="H172" s="341"/>
      <c r="I172" s="341"/>
      <c r="J172" s="341"/>
      <c r="K172" s="341"/>
      <c r="L172" s="1"/>
      <c r="M172" s="341"/>
      <c r="N172" s="341"/>
      <c r="O172" s="341"/>
      <c r="P172" s="341"/>
      <c r="Q172" s="1"/>
      <c r="R172" s="1"/>
      <c r="S172" s="1"/>
      <c r="T172" s="1"/>
      <c r="U172" s="1"/>
      <c r="V172" s="1"/>
      <c r="W172" s="1"/>
      <c r="X172" s="1"/>
      <c r="Y172" s="1"/>
      <c r="Z172" s="26"/>
      <c r="AA172" s="1"/>
      <c r="AB172" s="1"/>
      <c r="AC172" s="1"/>
      <c r="AD172" s="1"/>
      <c r="AE172" s="1"/>
      <c r="AF172" s="2">
        <f t="shared" si="149"/>
        <v>0</v>
      </c>
      <c r="AG172" s="339">
        <v>0</v>
      </c>
      <c r="AH172" s="1">
        <v>0</v>
      </c>
      <c r="AI172" s="35">
        <v>0</v>
      </c>
      <c r="AJ172" s="35">
        <v>0</v>
      </c>
      <c r="AK172" s="34">
        <v>0</v>
      </c>
      <c r="AL172" s="35">
        <v>0</v>
      </c>
      <c r="AM172" s="34">
        <v>0</v>
      </c>
      <c r="AN172" s="305">
        <v>0</v>
      </c>
      <c r="AO172" s="35">
        <v>0</v>
      </c>
      <c r="AP172" s="35">
        <v>0</v>
      </c>
      <c r="AQ172" s="35">
        <v>0</v>
      </c>
    </row>
    <row r="173" spans="1:43" ht="15.75" hidden="1" customHeight="1" x14ac:dyDescent="0.3">
      <c r="A173" s="46" t="s">
        <v>264</v>
      </c>
      <c r="B173" s="1903" t="s">
        <v>265</v>
      </c>
      <c r="C173" s="1904"/>
      <c r="D173" s="20">
        <f t="shared" si="147"/>
        <v>0</v>
      </c>
      <c r="E173" s="98">
        <f t="shared" si="148"/>
        <v>0</v>
      </c>
      <c r="F173" s="21">
        <f t="shared" si="144"/>
        <v>0</v>
      </c>
      <c r="G173" s="341"/>
      <c r="H173" s="341"/>
      <c r="I173" s="341"/>
      <c r="J173" s="341"/>
      <c r="K173" s="341"/>
      <c r="L173" s="1"/>
      <c r="M173" s="341"/>
      <c r="N173" s="341"/>
      <c r="O173" s="341"/>
      <c r="P173" s="341"/>
      <c r="Q173" s="1"/>
      <c r="R173" s="1"/>
      <c r="S173" s="1"/>
      <c r="T173" s="1"/>
      <c r="U173" s="1"/>
      <c r="V173" s="1"/>
      <c r="W173" s="1"/>
      <c r="X173" s="1"/>
      <c r="Y173" s="1"/>
      <c r="Z173" s="26"/>
      <c r="AA173" s="1"/>
      <c r="AB173" s="1"/>
      <c r="AC173" s="1"/>
      <c r="AD173" s="1"/>
      <c r="AE173" s="1"/>
      <c r="AF173" s="2">
        <f t="shared" si="149"/>
        <v>0</v>
      </c>
      <c r="AG173" s="339"/>
      <c r="AH173" s="13"/>
      <c r="AI173" s="35">
        <v>0</v>
      </c>
      <c r="AJ173" s="35">
        <v>0</v>
      </c>
      <c r="AK173" s="34">
        <v>0</v>
      </c>
      <c r="AL173" s="35">
        <v>0</v>
      </c>
      <c r="AM173" s="34">
        <v>0</v>
      </c>
      <c r="AN173" s="305">
        <v>0</v>
      </c>
      <c r="AO173" s="35">
        <v>0</v>
      </c>
      <c r="AP173" s="35">
        <v>0</v>
      </c>
      <c r="AQ173" s="35">
        <v>0</v>
      </c>
    </row>
    <row r="174" spans="1:43" ht="15.75" hidden="1" customHeight="1" x14ac:dyDescent="0.3">
      <c r="A174" s="46" t="s">
        <v>266</v>
      </c>
      <c r="B174" s="1903" t="s">
        <v>267</v>
      </c>
      <c r="C174" s="1904"/>
      <c r="D174" s="20">
        <f t="shared" si="147"/>
        <v>0</v>
      </c>
      <c r="E174" s="98">
        <f t="shared" si="148"/>
        <v>0</v>
      </c>
      <c r="F174" s="21">
        <f t="shared" si="144"/>
        <v>0</v>
      </c>
      <c r="G174" s="341"/>
      <c r="H174" s="341"/>
      <c r="I174" s="341"/>
      <c r="J174" s="341"/>
      <c r="K174" s="341"/>
      <c r="L174" s="1"/>
      <c r="M174" s="341"/>
      <c r="N174" s="341"/>
      <c r="O174" s="341"/>
      <c r="P174" s="341"/>
      <c r="Q174" s="1"/>
      <c r="R174" s="1"/>
      <c r="S174" s="1"/>
      <c r="T174" s="1"/>
      <c r="U174" s="1"/>
      <c r="V174" s="1"/>
      <c r="W174" s="1"/>
      <c r="X174" s="1"/>
      <c r="Y174" s="1"/>
      <c r="Z174" s="26"/>
      <c r="AA174" s="1"/>
      <c r="AB174" s="1"/>
      <c r="AC174" s="1"/>
      <c r="AD174" s="1"/>
      <c r="AE174" s="1"/>
      <c r="AF174" s="2">
        <f t="shared" si="149"/>
        <v>0</v>
      </c>
      <c r="AG174" s="339"/>
      <c r="AH174" s="13"/>
      <c r="AI174" s="35">
        <v>0</v>
      </c>
      <c r="AJ174" s="35">
        <v>0</v>
      </c>
      <c r="AK174" s="34">
        <v>0</v>
      </c>
      <c r="AL174" s="35">
        <v>0</v>
      </c>
      <c r="AM174" s="34">
        <v>0</v>
      </c>
      <c r="AN174" s="305">
        <v>0</v>
      </c>
      <c r="AO174" s="35">
        <v>0</v>
      </c>
      <c r="AP174" s="35">
        <v>0</v>
      </c>
      <c r="AQ174" s="35">
        <v>0</v>
      </c>
    </row>
    <row r="175" spans="1:43" ht="15.75" hidden="1" customHeight="1" x14ac:dyDescent="0.3">
      <c r="A175" s="46" t="s">
        <v>268</v>
      </c>
      <c r="B175" s="1903" t="s">
        <v>269</v>
      </c>
      <c r="C175" s="1904"/>
      <c r="D175" s="20">
        <f t="shared" si="147"/>
        <v>0</v>
      </c>
      <c r="E175" s="98">
        <f t="shared" si="148"/>
        <v>0</v>
      </c>
      <c r="F175" s="21">
        <f t="shared" si="144"/>
        <v>0</v>
      </c>
      <c r="G175" s="341"/>
      <c r="H175" s="341"/>
      <c r="I175" s="341"/>
      <c r="J175" s="341"/>
      <c r="K175" s="341"/>
      <c r="L175" s="1"/>
      <c r="M175" s="341"/>
      <c r="N175" s="341"/>
      <c r="O175" s="341"/>
      <c r="P175" s="341"/>
      <c r="Q175" s="1"/>
      <c r="R175" s="1"/>
      <c r="S175" s="1"/>
      <c r="T175" s="1"/>
      <c r="U175" s="1">
        <v>0</v>
      </c>
      <c r="V175" s="1">
        <v>0</v>
      </c>
      <c r="W175" s="1">
        <v>0</v>
      </c>
      <c r="X175" s="1">
        <v>0</v>
      </c>
      <c r="Y175" s="1"/>
      <c r="Z175" s="26"/>
      <c r="AA175" s="1"/>
      <c r="AB175" s="1"/>
      <c r="AC175" s="1"/>
      <c r="AD175" s="1"/>
      <c r="AE175" s="1"/>
      <c r="AF175" s="2">
        <f t="shared" si="149"/>
        <v>0</v>
      </c>
      <c r="AG175" s="339">
        <v>0</v>
      </c>
      <c r="AH175" s="1">
        <v>0</v>
      </c>
      <c r="AI175" s="35">
        <v>0</v>
      </c>
      <c r="AJ175" s="35">
        <v>0</v>
      </c>
      <c r="AK175" s="34">
        <v>0</v>
      </c>
      <c r="AL175" s="35">
        <v>0</v>
      </c>
      <c r="AM175" s="34">
        <v>0</v>
      </c>
      <c r="AN175" s="305">
        <v>0</v>
      </c>
      <c r="AO175" s="35">
        <v>0</v>
      </c>
      <c r="AP175" s="35">
        <v>0</v>
      </c>
      <c r="AQ175" s="35">
        <v>0</v>
      </c>
    </row>
    <row r="176" spans="1:43" ht="15.75" customHeight="1" x14ac:dyDescent="0.3">
      <c r="A176" s="46" t="s">
        <v>270</v>
      </c>
      <c r="B176" s="1903" t="s">
        <v>271</v>
      </c>
      <c r="C176" s="1904"/>
      <c r="D176" s="20">
        <f t="shared" si="147"/>
        <v>719495680</v>
      </c>
      <c r="E176" s="98">
        <f t="shared" ref="E176" si="150">SUM(G176+H176+I176+J176+K176+L176+M176+N176+O176+P176+Q176+R176+S176+T176+U176+V176+W176+X176+Y176+AA176+AB176+AC176+AD176+AE176+AG176+AH176+AI176+AJ176+AL176+AN176+AO176+AP176+AQ176)</f>
        <v>719495680</v>
      </c>
      <c r="F176" s="21">
        <f t="shared" si="144"/>
        <v>0</v>
      </c>
      <c r="G176" s="341"/>
      <c r="H176" s="341"/>
      <c r="I176" s="341"/>
      <c r="J176" s="341"/>
      <c r="K176" s="341"/>
      <c r="L176" s="1"/>
      <c r="M176" s="341"/>
      <c r="N176" s="341"/>
      <c r="O176" s="341"/>
      <c r="P176" s="341"/>
      <c r="Q176" s="1"/>
      <c r="R176" s="1"/>
      <c r="S176" s="1"/>
      <c r="T176" s="1"/>
      <c r="U176" s="1"/>
      <c r="V176" s="1"/>
      <c r="W176" s="1"/>
      <c r="X176" s="1"/>
      <c r="Y176" s="1"/>
      <c r="Z176" s="10">
        <f>SUM(AA176:AE176)</f>
        <v>0</v>
      </c>
      <c r="AA176" s="1"/>
      <c r="AB176" s="1"/>
      <c r="AC176" s="1"/>
      <c r="AD176" s="1"/>
      <c r="AE176" s="1"/>
      <c r="AF176" s="2">
        <f>SUM(AG176:AJ176)</f>
        <v>0</v>
      </c>
      <c r="AG176" s="339"/>
      <c r="AH176" s="13">
        <v>0</v>
      </c>
      <c r="AI176" s="13">
        <v>0</v>
      </c>
      <c r="AJ176" s="13">
        <v>0</v>
      </c>
      <c r="AK176" s="34">
        <f>SUM(AL176+AM176)</f>
        <v>719495680</v>
      </c>
      <c r="AL176" s="13">
        <v>719495680</v>
      </c>
      <c r="AM176" s="93">
        <f>SUM(AN176:AQ176)</f>
        <v>0</v>
      </c>
      <c r="AN176" s="309">
        <v>0</v>
      </c>
      <c r="AO176" s="13">
        <v>0</v>
      </c>
      <c r="AP176" s="13">
        <v>0</v>
      </c>
      <c r="AQ176" s="13">
        <v>0</v>
      </c>
    </row>
    <row r="177" spans="1:43" ht="16.5" hidden="1" customHeight="1" x14ac:dyDescent="0.3">
      <c r="A177" s="46" t="s">
        <v>272</v>
      </c>
      <c r="B177" s="1903" t="s">
        <v>273</v>
      </c>
      <c r="C177" s="1904"/>
      <c r="D177" s="20">
        <f t="shared" si="147"/>
        <v>0</v>
      </c>
      <c r="E177" s="98">
        <f t="shared" si="148"/>
        <v>0</v>
      </c>
      <c r="F177" s="21">
        <f t="shared" si="144"/>
        <v>0</v>
      </c>
      <c r="G177" s="341"/>
      <c r="H177" s="341"/>
      <c r="I177" s="341"/>
      <c r="J177" s="341"/>
      <c r="K177" s="341"/>
      <c r="L177" s="1"/>
      <c r="M177" s="341"/>
      <c r="N177" s="341"/>
      <c r="O177" s="341"/>
      <c r="P177" s="341"/>
      <c r="Q177" s="1"/>
      <c r="R177" s="1"/>
      <c r="S177" s="1"/>
      <c r="T177" s="1"/>
      <c r="U177" s="1"/>
      <c r="V177" s="1"/>
      <c r="W177" s="1"/>
      <c r="X177" s="1"/>
      <c r="Y177" s="1"/>
      <c r="Z177" s="26"/>
      <c r="AA177" s="1"/>
      <c r="AB177" s="1"/>
      <c r="AC177" s="1"/>
      <c r="AD177" s="1"/>
      <c r="AE177" s="1"/>
      <c r="AF177" s="2">
        <f t="shared" si="149"/>
        <v>0</v>
      </c>
      <c r="AG177" s="339">
        <v>0</v>
      </c>
      <c r="AH177" s="1">
        <v>0</v>
      </c>
      <c r="AI177" s="1">
        <f>SUM(AI178:AI182)</f>
        <v>0</v>
      </c>
      <c r="AJ177" s="1">
        <f>SUM(AJ178:AJ182)</f>
        <v>0</v>
      </c>
      <c r="AK177" s="34">
        <v>0</v>
      </c>
      <c r="AL177" s="1">
        <f t="shared" ref="AL177:AQ177" si="151">SUM(AL178:AL182)</f>
        <v>26850000000</v>
      </c>
      <c r="AM177" s="70">
        <f t="shared" si="151"/>
        <v>3902000000</v>
      </c>
      <c r="AN177" s="304">
        <f t="shared" si="151"/>
        <v>0</v>
      </c>
      <c r="AO177" s="1">
        <f t="shared" si="151"/>
        <v>0</v>
      </c>
      <c r="AP177" s="1">
        <f t="shared" si="151"/>
        <v>0</v>
      </c>
      <c r="AQ177" s="1">
        <f t="shared" si="151"/>
        <v>3902000000</v>
      </c>
    </row>
    <row r="178" spans="1:43" ht="16.5" hidden="1" customHeight="1" x14ac:dyDescent="0.3">
      <c r="A178" s="46"/>
      <c r="B178" s="381"/>
      <c r="C178" s="99"/>
      <c r="D178" s="20"/>
      <c r="E178" s="98" t="e">
        <f t="shared" si="148"/>
        <v>#VALUE!</v>
      </c>
      <c r="F178" s="21"/>
      <c r="G178" s="341"/>
      <c r="H178" s="341"/>
      <c r="I178" s="341"/>
      <c r="J178" s="341"/>
      <c r="K178" s="341"/>
      <c r="L178" s="1"/>
      <c r="M178" s="341"/>
      <c r="N178" s="341"/>
      <c r="O178" s="341"/>
      <c r="P178" s="341"/>
      <c r="Q178" s="1"/>
      <c r="R178" s="1"/>
      <c r="S178" s="1"/>
      <c r="T178" s="1"/>
      <c r="U178" s="1"/>
      <c r="V178" s="1"/>
      <c r="W178" s="1"/>
      <c r="X178" s="1"/>
      <c r="Y178" s="1"/>
      <c r="Z178" s="26"/>
      <c r="AA178" s="1"/>
      <c r="AB178" s="1"/>
      <c r="AC178" s="1"/>
      <c r="AD178" s="1"/>
      <c r="AE178" s="1"/>
      <c r="AF178" s="2" t="s">
        <v>0</v>
      </c>
      <c r="AG178" s="339"/>
      <c r="AH178" s="13" t="s">
        <v>0</v>
      </c>
      <c r="AI178" s="13"/>
      <c r="AJ178" s="13"/>
      <c r="AK178" s="34"/>
      <c r="AL178" s="13"/>
      <c r="AM178" s="115"/>
      <c r="AN178" s="309"/>
      <c r="AO178" s="13"/>
      <c r="AP178" s="13"/>
      <c r="AQ178" s="13"/>
    </row>
    <row r="179" spans="1:43" ht="16.5" hidden="1" customHeight="1" x14ac:dyDescent="0.3">
      <c r="A179" s="40" t="s">
        <v>274</v>
      </c>
      <c r="B179" s="1912" t="s">
        <v>275</v>
      </c>
      <c r="C179" s="1918"/>
      <c r="D179" s="20">
        <f>SUM(D180)</f>
        <v>0</v>
      </c>
      <c r="E179" s="98">
        <f t="shared" si="148"/>
        <v>0</v>
      </c>
      <c r="F179" s="21">
        <f>SUM(G179:Y179)</f>
        <v>0</v>
      </c>
      <c r="G179" s="341"/>
      <c r="H179" s="341"/>
      <c r="I179" s="341"/>
      <c r="J179" s="341"/>
      <c r="K179" s="341"/>
      <c r="L179" s="1"/>
      <c r="M179" s="341"/>
      <c r="N179" s="341"/>
      <c r="O179" s="341"/>
      <c r="P179" s="341"/>
      <c r="Q179" s="1"/>
      <c r="R179" s="1"/>
      <c r="S179" s="1"/>
      <c r="T179" s="1"/>
      <c r="U179" s="26">
        <f>+U180</f>
        <v>0</v>
      </c>
      <c r="V179" s="26">
        <f>+V180</f>
        <v>0</v>
      </c>
      <c r="W179" s="26">
        <f>+W180</f>
        <v>0</v>
      </c>
      <c r="X179" s="26">
        <f>+X180</f>
        <v>0</v>
      </c>
      <c r="Y179" s="1"/>
      <c r="Z179" s="26"/>
      <c r="AA179" s="1"/>
      <c r="AB179" s="1"/>
      <c r="AC179" s="1"/>
      <c r="AD179" s="1"/>
      <c r="AE179" s="1"/>
      <c r="AF179" s="2">
        <f>SUM(AG179:AI179)</f>
        <v>0</v>
      </c>
      <c r="AG179" s="345">
        <f t="shared" ref="AG179:AQ179" si="152">SUM(AG180)</f>
        <v>0</v>
      </c>
      <c r="AH179" s="33">
        <f t="shared" si="152"/>
        <v>0</v>
      </c>
      <c r="AI179" s="33">
        <f t="shared" si="152"/>
        <v>0</v>
      </c>
      <c r="AJ179" s="33">
        <f t="shared" si="152"/>
        <v>0</v>
      </c>
      <c r="AK179" s="34">
        <f t="shared" si="152"/>
        <v>0</v>
      </c>
      <c r="AL179" s="35">
        <f t="shared" si="152"/>
        <v>0</v>
      </c>
      <c r="AM179" s="34">
        <f t="shared" si="152"/>
        <v>0</v>
      </c>
      <c r="AN179" s="305">
        <f t="shared" si="152"/>
        <v>0</v>
      </c>
      <c r="AO179" s="35">
        <f t="shared" si="152"/>
        <v>0</v>
      </c>
      <c r="AP179" s="35">
        <f t="shared" si="152"/>
        <v>0</v>
      </c>
      <c r="AQ179" s="35">
        <f t="shared" si="152"/>
        <v>0</v>
      </c>
    </row>
    <row r="180" spans="1:43" ht="16.5" hidden="1" customHeight="1" x14ac:dyDescent="0.3">
      <c r="A180" s="46" t="s">
        <v>276</v>
      </c>
      <c r="B180" s="1903" t="s">
        <v>379</v>
      </c>
      <c r="C180" s="1921"/>
      <c r="D180" s="20">
        <f>+F180+Z180+AF180+AK180</f>
        <v>0</v>
      </c>
      <c r="E180" s="98">
        <f t="shared" si="148"/>
        <v>0</v>
      </c>
      <c r="F180" s="21">
        <f>SUM(G180:Y180)</f>
        <v>0</v>
      </c>
      <c r="G180" s="341"/>
      <c r="H180" s="341"/>
      <c r="I180" s="341"/>
      <c r="J180" s="341"/>
      <c r="K180" s="341"/>
      <c r="L180" s="1"/>
      <c r="M180" s="341"/>
      <c r="N180" s="341"/>
      <c r="O180" s="341"/>
      <c r="P180" s="341"/>
      <c r="Q180" s="1"/>
      <c r="R180" s="1"/>
      <c r="S180" s="1"/>
      <c r="T180" s="1"/>
      <c r="U180" s="1">
        <v>0</v>
      </c>
      <c r="V180" s="1">
        <v>0</v>
      </c>
      <c r="W180" s="1">
        <v>0</v>
      </c>
      <c r="X180" s="1">
        <v>0</v>
      </c>
      <c r="Y180" s="1"/>
      <c r="Z180" s="26"/>
      <c r="AA180" s="1"/>
      <c r="AB180" s="1"/>
      <c r="AC180" s="1"/>
      <c r="AD180" s="1"/>
      <c r="AE180" s="1"/>
      <c r="AF180" s="2">
        <f>SUM(AG180:AI180)</f>
        <v>0</v>
      </c>
      <c r="AG180" s="339">
        <v>0</v>
      </c>
      <c r="AH180" s="13">
        <v>0</v>
      </c>
      <c r="AI180" s="13">
        <v>0</v>
      </c>
      <c r="AJ180" s="13">
        <v>0</v>
      </c>
      <c r="AK180" s="34"/>
      <c r="AL180" s="13">
        <v>0</v>
      </c>
      <c r="AM180" s="115">
        <v>0</v>
      </c>
      <c r="AN180" s="309">
        <v>0</v>
      </c>
      <c r="AO180" s="13">
        <v>0</v>
      </c>
      <c r="AP180" s="13">
        <v>0</v>
      </c>
      <c r="AQ180" s="13">
        <v>0</v>
      </c>
    </row>
    <row r="181" spans="1:43" ht="15.75" customHeight="1" x14ac:dyDescent="0.3">
      <c r="A181" s="46"/>
      <c r="B181" s="381"/>
      <c r="C181" s="99"/>
      <c r="D181" s="20"/>
      <c r="E181" s="98"/>
      <c r="F181" s="21"/>
      <c r="G181" s="341"/>
      <c r="H181" s="341"/>
      <c r="I181" s="341"/>
      <c r="J181" s="341"/>
      <c r="K181" s="341"/>
      <c r="L181" s="1"/>
      <c r="M181" s="341"/>
      <c r="N181" s="341"/>
      <c r="O181" s="341"/>
      <c r="P181" s="341"/>
      <c r="Q181" s="1"/>
      <c r="R181" s="1"/>
      <c r="S181" s="1"/>
      <c r="T181" s="1"/>
      <c r="U181" s="1"/>
      <c r="V181" s="1"/>
      <c r="W181" s="1"/>
      <c r="X181" s="1"/>
      <c r="Y181" s="1"/>
      <c r="Z181" s="26"/>
      <c r="AA181" s="1"/>
      <c r="AB181" s="1"/>
      <c r="AC181" s="1"/>
      <c r="AD181" s="1"/>
      <c r="AE181" s="1"/>
      <c r="AF181" s="2" t="s">
        <v>0</v>
      </c>
      <c r="AG181" s="339"/>
      <c r="AH181" s="13"/>
      <c r="AI181" s="13"/>
      <c r="AJ181" s="13"/>
      <c r="AK181" s="34"/>
      <c r="AL181" s="13"/>
      <c r="AM181" s="115"/>
      <c r="AN181" s="309">
        <v>0</v>
      </c>
      <c r="AO181" s="13"/>
      <c r="AP181" s="13"/>
      <c r="AQ181" s="13"/>
    </row>
    <row r="182" spans="1:43" ht="15.75" customHeight="1" x14ac:dyDescent="0.3">
      <c r="A182" s="69">
        <v>4</v>
      </c>
      <c r="B182" s="1909" t="s">
        <v>277</v>
      </c>
      <c r="C182" s="1904"/>
      <c r="D182" s="21">
        <f>+D184</f>
        <v>30752000000</v>
      </c>
      <c r="E182" s="71">
        <f>SUM(E184)</f>
        <v>30752000000</v>
      </c>
      <c r="F182" s="21">
        <f>+F184</f>
        <v>0</v>
      </c>
      <c r="G182" s="23">
        <f t="shared" ref="G182:Z182" si="153">G184</f>
        <v>0</v>
      </c>
      <c r="H182" s="23">
        <f t="shared" si="153"/>
        <v>0</v>
      </c>
      <c r="I182" s="23">
        <f t="shared" si="153"/>
        <v>0</v>
      </c>
      <c r="J182" s="23">
        <f t="shared" si="153"/>
        <v>0</v>
      </c>
      <c r="K182" s="23">
        <f t="shared" si="153"/>
        <v>0</v>
      </c>
      <c r="L182" s="23">
        <f t="shared" si="153"/>
        <v>0</v>
      </c>
      <c r="M182" s="23">
        <f t="shared" si="153"/>
        <v>0</v>
      </c>
      <c r="N182" s="23">
        <f t="shared" si="153"/>
        <v>0</v>
      </c>
      <c r="O182" s="23">
        <f t="shared" si="153"/>
        <v>0</v>
      </c>
      <c r="P182" s="23">
        <f t="shared" si="153"/>
        <v>0</v>
      </c>
      <c r="Q182" s="23">
        <f t="shared" si="153"/>
        <v>0</v>
      </c>
      <c r="R182" s="23">
        <f t="shared" si="153"/>
        <v>0</v>
      </c>
      <c r="S182" s="23">
        <f t="shared" si="153"/>
        <v>0</v>
      </c>
      <c r="T182" s="23">
        <f>T184</f>
        <v>0</v>
      </c>
      <c r="U182" s="23">
        <f t="shared" si="153"/>
        <v>0</v>
      </c>
      <c r="V182" s="23">
        <f>V184</f>
        <v>0</v>
      </c>
      <c r="W182" s="23">
        <f>W184</f>
        <v>0</v>
      </c>
      <c r="X182" s="23">
        <f>X184</f>
        <v>0</v>
      </c>
      <c r="Y182" s="23">
        <f t="shared" si="153"/>
        <v>0</v>
      </c>
      <c r="Z182" s="23">
        <f t="shared" si="153"/>
        <v>0</v>
      </c>
      <c r="AA182" s="23">
        <f>AA184</f>
        <v>0</v>
      </c>
      <c r="AB182" s="23">
        <f>AB184</f>
        <v>0</v>
      </c>
      <c r="AC182" s="23">
        <f>AC184</f>
        <v>0</v>
      </c>
      <c r="AD182" s="23">
        <f>AD184</f>
        <v>0</v>
      </c>
      <c r="AE182" s="23">
        <f>AE184</f>
        <v>0</v>
      </c>
      <c r="AF182" s="2">
        <f>SUM(AF184)</f>
        <v>0</v>
      </c>
      <c r="AG182" s="343">
        <f>+AG184</f>
        <v>0</v>
      </c>
      <c r="AH182" s="14">
        <f>+AH184</f>
        <v>0</v>
      </c>
      <c r="AI182" s="14">
        <f>+AI184</f>
        <v>0</v>
      </c>
      <c r="AJ182" s="14">
        <f>+AJ184</f>
        <v>0</v>
      </c>
      <c r="AK182" s="34">
        <f>AK184</f>
        <v>30752000000</v>
      </c>
      <c r="AL182" s="14">
        <f t="shared" ref="AL182:AQ182" si="154">+AL184</f>
        <v>26850000000</v>
      </c>
      <c r="AM182" s="115">
        <f t="shared" si="154"/>
        <v>3902000000</v>
      </c>
      <c r="AN182" s="309">
        <f t="shared" si="154"/>
        <v>0</v>
      </c>
      <c r="AO182" s="13">
        <f t="shared" si="154"/>
        <v>0</v>
      </c>
      <c r="AP182" s="13">
        <f t="shared" si="154"/>
        <v>0</v>
      </c>
      <c r="AQ182" s="13">
        <f t="shared" si="154"/>
        <v>3902000000</v>
      </c>
    </row>
    <row r="183" spans="1:43" ht="15.75" customHeight="1" x14ac:dyDescent="0.3">
      <c r="A183" s="69"/>
      <c r="B183" s="43"/>
      <c r="C183" s="99"/>
      <c r="D183" s="21"/>
      <c r="E183" s="98"/>
      <c r="F183" s="21"/>
      <c r="G183" s="23"/>
      <c r="H183" s="23"/>
      <c r="I183" s="23"/>
      <c r="J183" s="23"/>
      <c r="K183" s="23"/>
      <c r="L183" s="26"/>
      <c r="M183" s="23"/>
      <c r="N183" s="23"/>
      <c r="O183" s="23"/>
      <c r="P183" s="23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">
        <f>SUM(AG183:AI183)</f>
        <v>0</v>
      </c>
      <c r="AG183" s="339"/>
      <c r="AH183" s="13"/>
      <c r="AI183" s="13"/>
      <c r="AJ183" s="13"/>
      <c r="AK183" s="34"/>
      <c r="AL183" s="13"/>
      <c r="AM183" s="115"/>
      <c r="AN183" s="309"/>
      <c r="AO183" s="13"/>
      <c r="AP183" s="13"/>
      <c r="AQ183" s="13"/>
    </row>
    <row r="184" spans="1:43" ht="15.75" customHeight="1" x14ac:dyDescent="0.3">
      <c r="A184" s="40" t="s">
        <v>278</v>
      </c>
      <c r="B184" s="1912" t="s">
        <v>279</v>
      </c>
      <c r="C184" s="1919"/>
      <c r="D184" s="26">
        <f>+D185</f>
        <v>30752000000</v>
      </c>
      <c r="E184" s="71">
        <f>SUM(E185)</f>
        <v>30752000000</v>
      </c>
      <c r="F184" s="21">
        <f t="shared" ref="F184:F189" si="155">SUM(G184:Y184)</f>
        <v>0</v>
      </c>
      <c r="G184" s="26">
        <f t="shared" ref="G184:Z184" si="156">+G185+G189</f>
        <v>0</v>
      </c>
      <c r="H184" s="26">
        <f t="shared" si="156"/>
        <v>0</v>
      </c>
      <c r="I184" s="26">
        <f t="shared" si="156"/>
        <v>0</v>
      </c>
      <c r="J184" s="26">
        <f t="shared" si="156"/>
        <v>0</v>
      </c>
      <c r="K184" s="26">
        <f t="shared" si="156"/>
        <v>0</v>
      </c>
      <c r="L184" s="26">
        <f t="shared" si="156"/>
        <v>0</v>
      </c>
      <c r="M184" s="26">
        <f t="shared" si="156"/>
        <v>0</v>
      </c>
      <c r="N184" s="26">
        <f t="shared" si="156"/>
        <v>0</v>
      </c>
      <c r="O184" s="26">
        <f t="shared" si="156"/>
        <v>0</v>
      </c>
      <c r="P184" s="26">
        <f t="shared" si="156"/>
        <v>0</v>
      </c>
      <c r="Q184" s="26">
        <f t="shared" si="156"/>
        <v>0</v>
      </c>
      <c r="R184" s="26">
        <f t="shared" si="156"/>
        <v>0</v>
      </c>
      <c r="S184" s="26">
        <f t="shared" si="156"/>
        <v>0</v>
      </c>
      <c r="T184" s="26">
        <f>+T185+T189</f>
        <v>0</v>
      </c>
      <c r="U184" s="26">
        <f t="shared" si="156"/>
        <v>0</v>
      </c>
      <c r="V184" s="26">
        <f>+V185+V189</f>
        <v>0</v>
      </c>
      <c r="W184" s="26">
        <f>+W185+W189</f>
        <v>0</v>
      </c>
      <c r="X184" s="26">
        <f>+X185+X189</f>
        <v>0</v>
      </c>
      <c r="Y184" s="26">
        <f t="shared" si="156"/>
        <v>0</v>
      </c>
      <c r="Z184" s="26">
        <f t="shared" si="156"/>
        <v>0</v>
      </c>
      <c r="AA184" s="26">
        <f>+AA185+AA189</f>
        <v>0</v>
      </c>
      <c r="AB184" s="26">
        <f>+AB185+AB189</f>
        <v>0</v>
      </c>
      <c r="AC184" s="26">
        <f>+AC185+AC189</f>
        <v>0</v>
      </c>
      <c r="AD184" s="26">
        <f>+AD185+AD189</f>
        <v>0</v>
      </c>
      <c r="AE184" s="26">
        <f>+AE185+AE189</f>
        <v>0</v>
      </c>
      <c r="AF184" s="2">
        <f>SUM(AF185)</f>
        <v>0</v>
      </c>
      <c r="AG184" s="343">
        <f>+AG185</f>
        <v>0</v>
      </c>
      <c r="AH184" s="14">
        <f>+AH185</f>
        <v>0</v>
      </c>
      <c r="AI184" s="14">
        <f>+AI185</f>
        <v>0</v>
      </c>
      <c r="AJ184" s="14">
        <f>+AJ185</f>
        <v>0</v>
      </c>
      <c r="AK184" s="70">
        <f>SUM(AK185)</f>
        <v>30752000000</v>
      </c>
      <c r="AL184" s="14">
        <f>SUM(AL186)</f>
        <v>26850000000</v>
      </c>
      <c r="AM184" s="115">
        <f>SUM(AM185)</f>
        <v>3902000000</v>
      </c>
      <c r="AN184" s="309">
        <f>+AN185</f>
        <v>0</v>
      </c>
      <c r="AO184" s="13">
        <f>+AO185</f>
        <v>0</v>
      </c>
      <c r="AP184" s="13">
        <f>+AP185</f>
        <v>0</v>
      </c>
      <c r="AQ184" s="13">
        <f>+AQ185</f>
        <v>3902000000</v>
      </c>
    </row>
    <row r="185" spans="1:43" ht="15.75" customHeight="1" x14ac:dyDescent="0.3">
      <c r="A185" s="46" t="s">
        <v>280</v>
      </c>
      <c r="B185" s="1903" t="s">
        <v>281</v>
      </c>
      <c r="C185" s="1904"/>
      <c r="D185" s="20">
        <f>SUM(D186+D189+D191+D192)</f>
        <v>30752000000</v>
      </c>
      <c r="E185" s="98">
        <f>SUM(E186+E191+E192)</f>
        <v>30752000000</v>
      </c>
      <c r="F185" s="21">
        <f t="shared" si="155"/>
        <v>0</v>
      </c>
      <c r="G185" s="341"/>
      <c r="H185" s="341"/>
      <c r="I185" s="341"/>
      <c r="J185" s="341"/>
      <c r="K185" s="341"/>
      <c r="L185" s="1"/>
      <c r="M185" s="341"/>
      <c r="N185" s="341"/>
      <c r="O185" s="341"/>
      <c r="P185" s="341"/>
      <c r="Q185" s="1"/>
      <c r="R185" s="1"/>
      <c r="S185" s="1"/>
      <c r="T185" s="1"/>
      <c r="U185" s="1"/>
      <c r="V185" s="1"/>
      <c r="W185" s="1"/>
      <c r="X185" s="1"/>
      <c r="Y185" s="1"/>
      <c r="Z185" s="26"/>
      <c r="AA185" s="1"/>
      <c r="AB185" s="1"/>
      <c r="AC185" s="1"/>
      <c r="AD185" s="1"/>
      <c r="AE185" s="1"/>
      <c r="AF185" s="2">
        <f>SUM(AF186:AF190)</f>
        <v>0</v>
      </c>
      <c r="AG185" s="343">
        <f>SUM(AG186:AG189)</f>
        <v>0</v>
      </c>
      <c r="AH185" s="26">
        <f>SUM(AH186:AH190)</f>
        <v>0</v>
      </c>
      <c r="AI185" s="1">
        <v>0</v>
      </c>
      <c r="AJ185" s="1">
        <v>0</v>
      </c>
      <c r="AK185" s="34">
        <f>SUM(AK192+AK191+AK189+AK186)</f>
        <v>30752000000</v>
      </c>
      <c r="AL185" s="1">
        <v>0</v>
      </c>
      <c r="AM185" s="70">
        <f>SUM(AM186:AM192)</f>
        <v>3902000000</v>
      </c>
      <c r="AN185" s="304">
        <v>0</v>
      </c>
      <c r="AO185" s="1">
        <v>0</v>
      </c>
      <c r="AP185" s="1">
        <v>0</v>
      </c>
      <c r="AQ185" s="1">
        <f>SUM(AQ186:AQ192)</f>
        <v>3902000000</v>
      </c>
    </row>
    <row r="186" spans="1:43" ht="15.75" customHeight="1" x14ac:dyDescent="0.3">
      <c r="A186" s="46" t="s">
        <v>480</v>
      </c>
      <c r="B186" s="27" t="s">
        <v>408</v>
      </c>
      <c r="C186" s="99"/>
      <c r="D186" s="20">
        <f t="shared" ref="D186:D192" si="157">+F186+Z186+AF186+AK186</f>
        <v>26850000000</v>
      </c>
      <c r="E186" s="98">
        <f t="shared" ref="E186:E192" si="158">SUM(G186+H186+I186+J186+K186+L186+M186+N186+O186+P186+Q186+R186+S186+T186+U186+V186+W186+X186+Y186+AA186+AB186+AC186+AD186+AE186+AG186+AH186+AI186+AJ186+AL186+AN186+AO186+AP186+AQ186)</f>
        <v>26850000000</v>
      </c>
      <c r="F186" s="21">
        <f t="shared" si="155"/>
        <v>0</v>
      </c>
      <c r="G186" s="341"/>
      <c r="H186" s="341"/>
      <c r="I186" s="341"/>
      <c r="J186" s="341"/>
      <c r="K186" s="341"/>
      <c r="L186" s="1"/>
      <c r="M186" s="341"/>
      <c r="N186" s="341"/>
      <c r="O186" s="341"/>
      <c r="P186" s="341"/>
      <c r="Q186" s="1"/>
      <c r="R186" s="1"/>
      <c r="S186" s="1"/>
      <c r="T186" s="1"/>
      <c r="U186" s="1"/>
      <c r="V186" s="1"/>
      <c r="W186" s="1"/>
      <c r="X186" s="1"/>
      <c r="Y186" s="1"/>
      <c r="Z186" s="10">
        <f>SUM(AA186:AE186)</f>
        <v>0</v>
      </c>
      <c r="AA186" s="1"/>
      <c r="AB186" s="1"/>
      <c r="AC186" s="1"/>
      <c r="AD186" s="1"/>
      <c r="AE186" s="1"/>
      <c r="AF186" s="2">
        <f>SUM(AG186:AJ186)</f>
        <v>0</v>
      </c>
      <c r="AG186" s="357"/>
      <c r="AH186" s="358"/>
      <c r="AI186" s="1"/>
      <c r="AJ186" s="1"/>
      <c r="AK186" s="34">
        <f t="shared" ref="AK186:AK192" si="159">SUM(AL186+AM186)</f>
        <v>26850000000</v>
      </c>
      <c r="AL186" s="1">
        <f>26850000000</f>
        <v>26850000000</v>
      </c>
      <c r="AM186" s="93">
        <f t="shared" ref="AM186:AM192" si="160">SUM(AN186:AQ186)</f>
        <v>0</v>
      </c>
      <c r="AN186" s="304"/>
      <c r="AO186" s="1"/>
      <c r="AP186" s="1"/>
      <c r="AQ186" s="1"/>
    </row>
    <row r="187" spans="1:43" ht="15.75" hidden="1" customHeight="1" x14ac:dyDescent="0.3">
      <c r="A187" s="46" t="s">
        <v>481</v>
      </c>
      <c r="B187" s="27" t="s">
        <v>282</v>
      </c>
      <c r="C187" s="99"/>
      <c r="D187" s="20">
        <f t="shared" si="157"/>
        <v>23243256264</v>
      </c>
      <c r="E187" s="98">
        <f t="shared" si="158"/>
        <v>23243256264</v>
      </c>
      <c r="F187" s="21">
        <f t="shared" si="155"/>
        <v>0</v>
      </c>
      <c r="G187" s="341"/>
      <c r="H187" s="341"/>
      <c r="I187" s="341"/>
      <c r="J187" s="341"/>
      <c r="K187" s="341"/>
      <c r="L187" s="1"/>
      <c r="M187" s="341"/>
      <c r="N187" s="341"/>
      <c r="O187" s="341"/>
      <c r="P187" s="341"/>
      <c r="Q187" s="1"/>
      <c r="R187" s="1"/>
      <c r="S187" s="1"/>
      <c r="T187" s="1"/>
      <c r="U187" s="1"/>
      <c r="V187" s="1"/>
      <c r="W187" s="1"/>
      <c r="X187" s="1"/>
      <c r="Y187" s="1"/>
      <c r="Z187" s="10">
        <f>SUM(AA187:AE187)</f>
        <v>0</v>
      </c>
      <c r="AA187" s="1"/>
      <c r="AB187" s="1"/>
      <c r="AC187" s="1"/>
      <c r="AD187" s="1"/>
      <c r="AE187" s="1"/>
      <c r="AF187" s="2">
        <f>SUM(AG187:AJ187)</f>
        <v>0</v>
      </c>
      <c r="AG187" s="357"/>
      <c r="AH187" s="1"/>
      <c r="AI187" s="1"/>
      <c r="AJ187" s="1"/>
      <c r="AK187" s="34">
        <f t="shared" si="159"/>
        <v>23243256264</v>
      </c>
      <c r="AL187" s="1">
        <v>23243256264</v>
      </c>
      <c r="AM187" s="93">
        <f t="shared" si="160"/>
        <v>0</v>
      </c>
      <c r="AN187" s="304"/>
      <c r="AO187" s="1"/>
      <c r="AP187" s="1"/>
      <c r="AQ187" s="1"/>
    </row>
    <row r="188" spans="1:43" ht="15.75" hidden="1" customHeight="1" x14ac:dyDescent="0.3">
      <c r="A188" s="46" t="s">
        <v>482</v>
      </c>
      <c r="B188" s="27" t="s">
        <v>483</v>
      </c>
      <c r="C188" s="99"/>
      <c r="D188" s="20">
        <f t="shared" si="157"/>
        <v>23243256264</v>
      </c>
      <c r="E188" s="98">
        <f t="shared" si="158"/>
        <v>23243256264</v>
      </c>
      <c r="F188" s="21">
        <f t="shared" si="155"/>
        <v>0</v>
      </c>
      <c r="G188" s="341"/>
      <c r="H188" s="341"/>
      <c r="I188" s="341"/>
      <c r="J188" s="341"/>
      <c r="K188" s="341"/>
      <c r="L188" s="1"/>
      <c r="M188" s="341"/>
      <c r="N188" s="341"/>
      <c r="O188" s="341"/>
      <c r="P188" s="341"/>
      <c r="Q188" s="1"/>
      <c r="R188" s="1"/>
      <c r="S188" s="1"/>
      <c r="T188" s="1"/>
      <c r="U188" s="1"/>
      <c r="V188" s="1"/>
      <c r="W188" s="1"/>
      <c r="X188" s="1"/>
      <c r="Y188" s="1"/>
      <c r="Z188" s="10">
        <f>SUM(AA188:AE188)</f>
        <v>0</v>
      </c>
      <c r="AA188" s="1"/>
      <c r="AB188" s="1"/>
      <c r="AC188" s="1"/>
      <c r="AD188" s="1"/>
      <c r="AE188" s="1"/>
      <c r="AF188" s="2">
        <f>SUM(AG188:AJ188)</f>
        <v>0</v>
      </c>
      <c r="AG188" s="357"/>
      <c r="AH188" s="358"/>
      <c r="AI188" s="1"/>
      <c r="AJ188" s="1"/>
      <c r="AK188" s="34">
        <f t="shared" si="159"/>
        <v>23243256264</v>
      </c>
      <c r="AL188" s="1">
        <v>23243256264</v>
      </c>
      <c r="AM188" s="93">
        <f t="shared" si="160"/>
        <v>0</v>
      </c>
      <c r="AN188" s="304"/>
      <c r="AO188" s="1"/>
      <c r="AP188" s="1"/>
      <c r="AQ188" s="1"/>
    </row>
    <row r="189" spans="1:43" ht="15.75" hidden="1" customHeight="1" x14ac:dyDescent="0.3">
      <c r="A189" s="46" t="s">
        <v>484</v>
      </c>
      <c r="B189" s="27" t="s">
        <v>752</v>
      </c>
      <c r="C189" s="99"/>
      <c r="D189" s="20">
        <f t="shared" si="157"/>
        <v>0</v>
      </c>
      <c r="E189" s="98">
        <f t="shared" si="158"/>
        <v>0</v>
      </c>
      <c r="F189" s="21">
        <f t="shared" si="155"/>
        <v>0</v>
      </c>
      <c r="G189" s="341"/>
      <c r="H189" s="341"/>
      <c r="I189" s="341"/>
      <c r="J189" s="341"/>
      <c r="K189" s="341"/>
      <c r="L189" s="1"/>
      <c r="M189" s="341"/>
      <c r="N189" s="341"/>
      <c r="O189" s="341"/>
      <c r="P189" s="341"/>
      <c r="Q189" s="1"/>
      <c r="R189" s="1"/>
      <c r="S189" s="1"/>
      <c r="T189" s="1"/>
      <c r="U189" s="1"/>
      <c r="V189" s="1"/>
      <c r="W189" s="1"/>
      <c r="X189" s="1"/>
      <c r="Y189" s="1"/>
      <c r="Z189" s="10">
        <f>SUM(AA189:AE189)</f>
        <v>0</v>
      </c>
      <c r="AA189" s="1"/>
      <c r="AB189" s="1"/>
      <c r="AC189" s="1"/>
      <c r="AD189" s="1"/>
      <c r="AE189" s="1"/>
      <c r="AF189" s="2">
        <f>SUM(AG189:AJ189)</f>
        <v>0</v>
      </c>
      <c r="AG189" s="339"/>
      <c r="AH189" s="17"/>
      <c r="AI189" s="13"/>
      <c r="AJ189" s="13"/>
      <c r="AK189" s="34">
        <f t="shared" si="159"/>
        <v>0</v>
      </c>
      <c r="AL189" s="1"/>
      <c r="AM189" s="93">
        <f t="shared" si="160"/>
        <v>0</v>
      </c>
      <c r="AN189" s="309"/>
      <c r="AO189" s="13"/>
      <c r="AP189" s="13"/>
      <c r="AQ189" s="13"/>
    </row>
    <row r="190" spans="1:43" ht="15.75" hidden="1" customHeight="1" x14ac:dyDescent="0.3">
      <c r="A190" s="46" t="s">
        <v>538</v>
      </c>
      <c r="B190" s="381" t="s">
        <v>638</v>
      </c>
      <c r="C190" s="99"/>
      <c r="D190" s="20">
        <f t="shared" si="157"/>
        <v>0</v>
      </c>
      <c r="E190" s="98">
        <f t="shared" si="158"/>
        <v>0</v>
      </c>
      <c r="F190" s="21"/>
      <c r="G190" s="341"/>
      <c r="H190" s="341"/>
      <c r="I190" s="341"/>
      <c r="J190" s="341"/>
      <c r="K190" s="341"/>
      <c r="L190" s="1"/>
      <c r="M190" s="341"/>
      <c r="N190" s="341"/>
      <c r="O190" s="341"/>
      <c r="P190" s="341"/>
      <c r="Q190" s="1"/>
      <c r="R190" s="1"/>
      <c r="S190" s="1"/>
      <c r="T190" s="1"/>
      <c r="U190" s="1"/>
      <c r="V190" s="1"/>
      <c r="W190" s="1"/>
      <c r="X190" s="1"/>
      <c r="Y190" s="1"/>
      <c r="Z190" s="10">
        <f>SUM(AA190:AE190)</f>
        <v>0</v>
      </c>
      <c r="AA190" s="1"/>
      <c r="AB190" s="1"/>
      <c r="AC190" s="1"/>
      <c r="AD190" s="1"/>
      <c r="AE190" s="1"/>
      <c r="AF190" s="2">
        <f>SUM(AG190:AJ190)</f>
        <v>0</v>
      </c>
      <c r="AG190" s="339"/>
      <c r="AH190" s="17"/>
      <c r="AI190" s="13"/>
      <c r="AJ190" s="13"/>
      <c r="AK190" s="34">
        <f t="shared" si="159"/>
        <v>0</v>
      </c>
      <c r="AL190" s="1"/>
      <c r="AM190" s="93">
        <f t="shared" si="160"/>
        <v>0</v>
      </c>
      <c r="AN190" s="309"/>
      <c r="AO190" s="13"/>
      <c r="AP190" s="13"/>
      <c r="AQ190" s="13"/>
    </row>
    <row r="191" spans="1:43" ht="15.75" customHeight="1" x14ac:dyDescent="0.3">
      <c r="A191" s="46" t="s">
        <v>538</v>
      </c>
      <c r="B191" s="27" t="s">
        <v>797</v>
      </c>
      <c r="C191" s="99"/>
      <c r="D191" s="20">
        <f t="shared" si="157"/>
        <v>1502000000</v>
      </c>
      <c r="E191" s="294">
        <f>G191+H191+I191+J191+K191+L191+M191+N191+O191+P191+Q191+R191+S191+T191+U191+V191+W191+X191+Y191+AA191+AB191+AC191+AD191+AE191+AG191+AH191+AI191+AJ191+AL191+AN191+AO191+AP191+AQ191</f>
        <v>1502000000</v>
      </c>
      <c r="F191" s="21">
        <v>0</v>
      </c>
      <c r="G191" s="341">
        <v>0</v>
      </c>
      <c r="H191" s="341">
        <v>0</v>
      </c>
      <c r="I191" s="341">
        <v>0</v>
      </c>
      <c r="J191" s="341">
        <v>0</v>
      </c>
      <c r="K191" s="341">
        <v>0</v>
      </c>
      <c r="L191" s="1">
        <v>0</v>
      </c>
      <c r="M191" s="341">
        <v>0</v>
      </c>
      <c r="N191" s="341">
        <v>0</v>
      </c>
      <c r="O191" s="341">
        <v>0</v>
      </c>
      <c r="P191" s="34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26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2">
        <v>0</v>
      </c>
      <c r="AG191" s="343">
        <v>0</v>
      </c>
      <c r="AH191" s="12">
        <v>0</v>
      </c>
      <c r="AI191" s="9">
        <v>0</v>
      </c>
      <c r="AJ191" s="9">
        <v>0</v>
      </c>
      <c r="AK191" s="34">
        <f t="shared" si="159"/>
        <v>1502000000</v>
      </c>
      <c r="AL191" s="1">
        <v>0</v>
      </c>
      <c r="AM191" s="93">
        <f t="shared" si="160"/>
        <v>1502000000</v>
      </c>
      <c r="AN191" s="317">
        <v>0</v>
      </c>
      <c r="AO191" s="12">
        <v>0</v>
      </c>
      <c r="AP191" s="12">
        <v>0</v>
      </c>
      <c r="AQ191" s="12">
        <v>1502000000</v>
      </c>
    </row>
    <row r="192" spans="1:43" ht="15.75" customHeight="1" x14ac:dyDescent="0.3">
      <c r="A192" s="46" t="s">
        <v>753</v>
      </c>
      <c r="B192" s="27" t="s">
        <v>754</v>
      </c>
      <c r="C192" s="99"/>
      <c r="D192" s="20">
        <f t="shared" si="157"/>
        <v>2400000000</v>
      </c>
      <c r="E192" s="98">
        <f t="shared" si="158"/>
        <v>2400000000</v>
      </c>
      <c r="F192" s="21"/>
      <c r="G192" s="341"/>
      <c r="H192" s="341"/>
      <c r="I192" s="341"/>
      <c r="J192" s="341"/>
      <c r="K192" s="341"/>
      <c r="L192" s="1"/>
      <c r="M192" s="341"/>
      <c r="N192" s="341"/>
      <c r="O192" s="341"/>
      <c r="P192" s="341"/>
      <c r="Q192" s="1"/>
      <c r="R192" s="1"/>
      <c r="S192" s="1"/>
      <c r="T192" s="1"/>
      <c r="U192" s="1"/>
      <c r="V192" s="1"/>
      <c r="W192" s="1"/>
      <c r="X192" s="1"/>
      <c r="Y192" s="1"/>
      <c r="Z192" s="26"/>
      <c r="AA192" s="1"/>
      <c r="AB192" s="1"/>
      <c r="AC192" s="1"/>
      <c r="AD192" s="1"/>
      <c r="AE192" s="1"/>
      <c r="AF192" s="2"/>
      <c r="AG192" s="343"/>
      <c r="AH192" s="12"/>
      <c r="AI192" s="9"/>
      <c r="AJ192" s="9"/>
      <c r="AK192" s="34">
        <f t="shared" si="159"/>
        <v>2400000000</v>
      </c>
      <c r="AL192" s="1"/>
      <c r="AM192" s="93">
        <f t="shared" si="160"/>
        <v>2400000000</v>
      </c>
      <c r="AN192" s="317"/>
      <c r="AO192" s="12"/>
      <c r="AP192" s="12"/>
      <c r="AQ192" s="12">
        <f>2000000000+400000000</f>
        <v>2400000000</v>
      </c>
    </row>
    <row r="193" spans="1:43" ht="15.75" customHeight="1" x14ac:dyDescent="0.3">
      <c r="A193" s="46"/>
      <c r="B193" s="381"/>
      <c r="C193" s="99"/>
      <c r="D193" s="20"/>
      <c r="E193" s="98"/>
      <c r="F193" s="21"/>
      <c r="G193" s="341"/>
      <c r="H193" s="341"/>
      <c r="I193" s="341"/>
      <c r="J193" s="341"/>
      <c r="K193" s="341"/>
      <c r="L193" s="1"/>
      <c r="M193" s="341"/>
      <c r="N193" s="341"/>
      <c r="O193" s="341"/>
      <c r="P193" s="341"/>
      <c r="Q193" s="1"/>
      <c r="R193" s="1"/>
      <c r="S193" s="1"/>
      <c r="T193" s="1"/>
      <c r="U193" s="1"/>
      <c r="V193" s="1"/>
      <c r="W193" s="1"/>
      <c r="X193" s="1"/>
      <c r="Y193" s="1"/>
      <c r="Z193" s="26"/>
      <c r="AA193" s="1"/>
      <c r="AB193" s="1"/>
      <c r="AC193" s="1"/>
      <c r="AD193" s="1"/>
      <c r="AE193" s="1"/>
      <c r="AF193" s="2"/>
      <c r="AG193" s="343"/>
      <c r="AH193" s="9"/>
      <c r="AI193" s="9"/>
      <c r="AJ193" s="9"/>
      <c r="AK193" s="34"/>
      <c r="AL193" s="12"/>
      <c r="AM193" s="118"/>
      <c r="AN193" s="317"/>
      <c r="AO193" s="12"/>
      <c r="AP193" s="12"/>
      <c r="AQ193" s="12"/>
    </row>
    <row r="194" spans="1:43" ht="15.75" customHeight="1" x14ac:dyDescent="0.3">
      <c r="A194" s="69">
        <v>5</v>
      </c>
      <c r="B194" s="1909" t="s">
        <v>283</v>
      </c>
      <c r="C194" s="1904"/>
      <c r="D194" s="25">
        <f>+D196+D206+D234+D240</f>
        <v>3529960000</v>
      </c>
      <c r="E194" s="71">
        <f>SUM(E196+E206+E234+E240)</f>
        <v>3529960000</v>
      </c>
      <c r="F194" s="25">
        <f t="shared" ref="F194:AQ194" si="161">F196+F206+F234+F240</f>
        <v>563785000</v>
      </c>
      <c r="G194" s="25">
        <f t="shared" si="161"/>
        <v>105000</v>
      </c>
      <c r="H194" s="25">
        <f t="shared" si="161"/>
        <v>1520000</v>
      </c>
      <c r="I194" s="25">
        <f t="shared" si="161"/>
        <v>1400000</v>
      </c>
      <c r="J194" s="25">
        <f t="shared" si="161"/>
        <v>0</v>
      </c>
      <c r="K194" s="25">
        <f t="shared" si="161"/>
        <v>56800000</v>
      </c>
      <c r="L194" s="25">
        <f t="shared" si="161"/>
        <v>367000000</v>
      </c>
      <c r="M194" s="25">
        <f t="shared" si="161"/>
        <v>300000</v>
      </c>
      <c r="N194" s="25">
        <f t="shared" si="161"/>
        <v>1500000</v>
      </c>
      <c r="O194" s="25">
        <f t="shared" si="161"/>
        <v>3880000</v>
      </c>
      <c r="P194" s="25">
        <f t="shared" si="161"/>
        <v>0</v>
      </c>
      <c r="Q194" s="25">
        <f t="shared" si="161"/>
        <v>2590000</v>
      </c>
      <c r="R194" s="25">
        <f t="shared" si="161"/>
        <v>15000000</v>
      </c>
      <c r="S194" s="25">
        <f t="shared" si="161"/>
        <v>5090000</v>
      </c>
      <c r="T194" s="25">
        <f t="shared" si="161"/>
        <v>600000</v>
      </c>
      <c r="U194" s="25">
        <f t="shared" si="161"/>
        <v>0</v>
      </c>
      <c r="V194" s="25">
        <f t="shared" si="161"/>
        <v>150000</v>
      </c>
      <c r="W194" s="25">
        <f t="shared" si="161"/>
        <v>100000000</v>
      </c>
      <c r="X194" s="25">
        <f t="shared" si="161"/>
        <v>3850000</v>
      </c>
      <c r="Y194" s="25">
        <f t="shared" si="161"/>
        <v>4000000</v>
      </c>
      <c r="Z194" s="25">
        <f t="shared" si="161"/>
        <v>153000000</v>
      </c>
      <c r="AA194" s="25">
        <f t="shared" si="161"/>
        <v>38000000</v>
      </c>
      <c r="AB194" s="25">
        <f t="shared" si="161"/>
        <v>500000</v>
      </c>
      <c r="AC194" s="25">
        <f t="shared" si="161"/>
        <v>19000000</v>
      </c>
      <c r="AD194" s="25">
        <f t="shared" si="161"/>
        <v>78000000</v>
      </c>
      <c r="AE194" s="25">
        <f t="shared" si="161"/>
        <v>17500000</v>
      </c>
      <c r="AF194" s="25">
        <f t="shared" si="161"/>
        <v>2803075000</v>
      </c>
      <c r="AG194" s="25">
        <f t="shared" si="161"/>
        <v>1500000</v>
      </c>
      <c r="AH194" s="25">
        <f t="shared" si="161"/>
        <v>1000500000</v>
      </c>
      <c r="AI194" s="25">
        <f t="shared" si="161"/>
        <v>0</v>
      </c>
      <c r="AJ194" s="25">
        <f t="shared" si="161"/>
        <v>1801075000</v>
      </c>
      <c r="AK194" s="25">
        <f t="shared" si="161"/>
        <v>10100000</v>
      </c>
      <c r="AL194" s="25">
        <f t="shared" si="161"/>
        <v>7600000</v>
      </c>
      <c r="AM194" s="441">
        <f t="shared" si="161"/>
        <v>2500000</v>
      </c>
      <c r="AN194" s="345">
        <f t="shared" si="161"/>
        <v>300000</v>
      </c>
      <c r="AO194" s="25">
        <f t="shared" si="161"/>
        <v>700000</v>
      </c>
      <c r="AP194" s="25">
        <f t="shared" si="161"/>
        <v>500000</v>
      </c>
      <c r="AQ194" s="25">
        <f t="shared" si="161"/>
        <v>1000000</v>
      </c>
    </row>
    <row r="195" spans="1:43" ht="15.75" customHeight="1" x14ac:dyDescent="0.3">
      <c r="A195" s="46"/>
      <c r="B195" s="381"/>
      <c r="C195" s="99"/>
      <c r="D195" s="20"/>
      <c r="E195" s="98"/>
      <c r="F195" s="21"/>
      <c r="G195" s="341"/>
      <c r="H195" s="341"/>
      <c r="I195" s="341"/>
      <c r="J195" s="341"/>
      <c r="K195" s="341"/>
      <c r="L195" s="1"/>
      <c r="M195" s="341"/>
      <c r="N195" s="341"/>
      <c r="O195" s="341"/>
      <c r="P195" s="341"/>
      <c r="Q195" s="1"/>
      <c r="R195" s="1"/>
      <c r="S195" s="1"/>
      <c r="T195" s="1"/>
      <c r="U195" s="1"/>
      <c r="V195" s="1"/>
      <c r="W195" s="1"/>
      <c r="X195" s="1"/>
      <c r="Y195" s="1"/>
      <c r="Z195" s="26"/>
      <c r="AA195" s="1"/>
      <c r="AB195" s="1"/>
      <c r="AC195" s="1"/>
      <c r="AD195" s="1"/>
      <c r="AE195" s="1"/>
      <c r="AF195" s="2">
        <f>SUM(AG195:AI195)</f>
        <v>0</v>
      </c>
      <c r="AG195" s="353"/>
      <c r="AH195" s="18"/>
      <c r="AI195" s="18"/>
      <c r="AJ195" s="18"/>
      <c r="AK195" s="34"/>
      <c r="AL195" s="15"/>
      <c r="AM195" s="94"/>
      <c r="AN195" s="319"/>
      <c r="AO195" s="15"/>
      <c r="AP195" s="15"/>
      <c r="AQ195" s="15"/>
    </row>
    <row r="196" spans="1:43" ht="15.75" customHeight="1" x14ac:dyDescent="0.3">
      <c r="A196" s="40" t="s">
        <v>284</v>
      </c>
      <c r="B196" s="1912" t="s">
        <v>285</v>
      </c>
      <c r="C196" s="1919"/>
      <c r="D196" s="21">
        <f>SUM(D197:D204)</f>
        <v>390660000</v>
      </c>
      <c r="E196" s="71">
        <f>SUM(E197:E204)</f>
        <v>390660000</v>
      </c>
      <c r="F196" s="21">
        <f t="shared" ref="F196:AQ196" si="162">SUM(F197:F204)</f>
        <v>236885000</v>
      </c>
      <c r="G196" s="21">
        <f t="shared" si="162"/>
        <v>105000</v>
      </c>
      <c r="H196" s="21">
        <f t="shared" si="162"/>
        <v>1520000</v>
      </c>
      <c r="I196" s="21">
        <f t="shared" si="162"/>
        <v>1100000</v>
      </c>
      <c r="J196" s="21">
        <f t="shared" si="162"/>
        <v>0</v>
      </c>
      <c r="K196" s="21">
        <f t="shared" si="162"/>
        <v>56800000</v>
      </c>
      <c r="L196" s="21">
        <f t="shared" si="162"/>
        <v>141000000</v>
      </c>
      <c r="M196" s="21">
        <f t="shared" si="162"/>
        <v>300000</v>
      </c>
      <c r="N196" s="21">
        <f t="shared" si="162"/>
        <v>1500000</v>
      </c>
      <c r="O196" s="21">
        <f t="shared" si="162"/>
        <v>3880000</v>
      </c>
      <c r="P196" s="21">
        <f t="shared" si="162"/>
        <v>0</v>
      </c>
      <c r="Q196" s="21">
        <f t="shared" si="162"/>
        <v>2590000</v>
      </c>
      <c r="R196" s="21">
        <f t="shared" si="162"/>
        <v>15000000</v>
      </c>
      <c r="S196" s="21">
        <f t="shared" si="162"/>
        <v>5090000</v>
      </c>
      <c r="T196" s="21">
        <f t="shared" si="162"/>
        <v>0</v>
      </c>
      <c r="U196" s="21">
        <f t="shared" si="162"/>
        <v>0</v>
      </c>
      <c r="V196" s="21">
        <f t="shared" si="162"/>
        <v>150000</v>
      </c>
      <c r="W196" s="21">
        <f t="shared" si="162"/>
        <v>0</v>
      </c>
      <c r="X196" s="21">
        <f t="shared" si="162"/>
        <v>3850000</v>
      </c>
      <c r="Y196" s="21">
        <f t="shared" si="162"/>
        <v>4000000</v>
      </c>
      <c r="Z196" s="21">
        <f t="shared" si="162"/>
        <v>133000000</v>
      </c>
      <c r="AA196" s="21">
        <f t="shared" si="162"/>
        <v>38000000</v>
      </c>
      <c r="AB196" s="21">
        <f t="shared" si="162"/>
        <v>500000</v>
      </c>
      <c r="AC196" s="21">
        <f t="shared" si="162"/>
        <v>19000000</v>
      </c>
      <c r="AD196" s="21">
        <f t="shared" si="162"/>
        <v>58000000</v>
      </c>
      <c r="AE196" s="21">
        <f t="shared" si="162"/>
        <v>17500000</v>
      </c>
      <c r="AF196" s="21">
        <f t="shared" si="162"/>
        <v>11975000</v>
      </c>
      <c r="AG196" s="21">
        <f t="shared" si="162"/>
        <v>1500000</v>
      </c>
      <c r="AH196" s="21">
        <f t="shared" si="162"/>
        <v>10000000</v>
      </c>
      <c r="AI196" s="21">
        <f t="shared" si="162"/>
        <v>0</v>
      </c>
      <c r="AJ196" s="21">
        <f t="shared" si="162"/>
        <v>475000</v>
      </c>
      <c r="AK196" s="21">
        <f t="shared" si="162"/>
        <v>8800000</v>
      </c>
      <c r="AL196" s="21">
        <f t="shared" si="162"/>
        <v>6300000</v>
      </c>
      <c r="AM196" s="442">
        <f t="shared" si="162"/>
        <v>2500000</v>
      </c>
      <c r="AN196" s="340">
        <f t="shared" si="162"/>
        <v>300000</v>
      </c>
      <c r="AO196" s="21">
        <f t="shared" si="162"/>
        <v>700000</v>
      </c>
      <c r="AP196" s="21">
        <f t="shared" si="162"/>
        <v>500000</v>
      </c>
      <c r="AQ196" s="21">
        <f t="shared" si="162"/>
        <v>1000000</v>
      </c>
    </row>
    <row r="197" spans="1:43" ht="15.75" customHeight="1" x14ac:dyDescent="0.3">
      <c r="A197" s="46" t="s">
        <v>286</v>
      </c>
      <c r="B197" s="1903" t="s">
        <v>287</v>
      </c>
      <c r="C197" s="1904"/>
      <c r="D197" s="20">
        <f t="shared" ref="D197:D204" si="163">+F197+Z197+AF197+AK197</f>
        <v>2500000</v>
      </c>
      <c r="E197" s="98">
        <f t="shared" ref="E197:E204" si="164">SUM(G197+H197+I197+J197+K197+L197+M197+N197+O197+P197+Q197+R197+S197+T197+U197+V197+W197+X197+Y197+AA197+AB197+AC197+AD197+AE197+AG197+AH197+AI197+AJ197+AL197+AN197+AO197+AP197+AQ197)</f>
        <v>2500000</v>
      </c>
      <c r="F197" s="21">
        <f t="shared" ref="F197:F204" si="165">SUM(G197:Y197)</f>
        <v>2000000</v>
      </c>
      <c r="G197" s="341"/>
      <c r="H197" s="341"/>
      <c r="I197" s="341"/>
      <c r="J197" s="341"/>
      <c r="K197" s="341"/>
      <c r="L197" s="1"/>
      <c r="M197" s="341"/>
      <c r="N197" s="341"/>
      <c r="O197" s="341"/>
      <c r="P197" s="341"/>
      <c r="Q197" s="1"/>
      <c r="R197" s="1">
        <v>2000000</v>
      </c>
      <c r="S197" s="1"/>
      <c r="T197" s="1"/>
      <c r="U197" s="1"/>
      <c r="V197" s="1"/>
      <c r="W197" s="1"/>
      <c r="X197" s="1"/>
      <c r="Y197" s="1"/>
      <c r="Z197" s="10">
        <f t="shared" ref="Z197:Z204" si="166">SUM(AA197:AE197)</f>
        <v>500000</v>
      </c>
      <c r="AA197" s="1"/>
      <c r="AB197" s="1"/>
      <c r="AC197" s="1"/>
      <c r="AD197" s="1"/>
      <c r="AE197" s="1">
        <v>500000</v>
      </c>
      <c r="AF197" s="2">
        <f t="shared" ref="AF197:AF204" si="167">SUM(AG197:AJ197)</f>
        <v>0</v>
      </c>
      <c r="AG197" s="352"/>
      <c r="AH197" s="15"/>
      <c r="AI197" s="1"/>
      <c r="AJ197" s="1"/>
      <c r="AK197" s="34">
        <f t="shared" ref="AK197:AK204" si="168">SUM(AL197+AM197)</f>
        <v>0</v>
      </c>
      <c r="AL197" s="1"/>
      <c r="AM197" s="93">
        <f t="shared" ref="AM197:AM204" si="169">SUM(AN197:AQ197)</f>
        <v>0</v>
      </c>
      <c r="AN197" s="304"/>
      <c r="AO197" s="1"/>
      <c r="AP197" s="1"/>
      <c r="AQ197" s="1"/>
    </row>
    <row r="198" spans="1:43" ht="15.75" hidden="1" customHeight="1" x14ac:dyDescent="0.3">
      <c r="A198" s="46" t="s">
        <v>288</v>
      </c>
      <c r="B198" s="1903" t="s">
        <v>289</v>
      </c>
      <c r="C198" s="1904"/>
      <c r="D198" s="20">
        <f t="shared" si="163"/>
        <v>0</v>
      </c>
      <c r="E198" s="98">
        <f t="shared" si="164"/>
        <v>0</v>
      </c>
      <c r="F198" s="21">
        <f t="shared" si="165"/>
        <v>0</v>
      </c>
      <c r="G198" s="341"/>
      <c r="H198" s="341"/>
      <c r="I198" s="341"/>
      <c r="J198" s="341"/>
      <c r="K198" s="341"/>
      <c r="L198" s="1"/>
      <c r="M198" s="341">
        <v>0</v>
      </c>
      <c r="N198" s="341"/>
      <c r="O198" s="341"/>
      <c r="P198" s="341"/>
      <c r="Q198" s="1"/>
      <c r="R198" s="1"/>
      <c r="S198" s="1"/>
      <c r="T198" s="1"/>
      <c r="U198" s="1"/>
      <c r="V198" s="1"/>
      <c r="W198" s="1"/>
      <c r="X198" s="1"/>
      <c r="Y198" s="1"/>
      <c r="Z198" s="10">
        <f t="shared" si="166"/>
        <v>0</v>
      </c>
      <c r="AA198" s="1"/>
      <c r="AB198" s="1"/>
      <c r="AC198" s="1"/>
      <c r="AD198" s="1"/>
      <c r="AE198" s="1"/>
      <c r="AF198" s="2">
        <f t="shared" si="167"/>
        <v>0</v>
      </c>
      <c r="AG198" s="352"/>
      <c r="AH198" s="15"/>
      <c r="AI198" s="35"/>
      <c r="AJ198" s="35"/>
      <c r="AK198" s="34">
        <f t="shared" si="168"/>
        <v>0</v>
      </c>
      <c r="AL198" s="35"/>
      <c r="AM198" s="93">
        <f t="shared" si="169"/>
        <v>0</v>
      </c>
      <c r="AN198" s="305"/>
      <c r="AO198" s="35"/>
      <c r="AP198" s="35"/>
      <c r="AQ198" s="35"/>
    </row>
    <row r="199" spans="1:43" ht="15.75" customHeight="1" x14ac:dyDescent="0.3">
      <c r="A199" s="46" t="s">
        <v>290</v>
      </c>
      <c r="B199" s="1903" t="s">
        <v>291</v>
      </c>
      <c r="C199" s="1904"/>
      <c r="D199" s="20">
        <f t="shared" si="163"/>
        <v>21855000</v>
      </c>
      <c r="E199" s="98">
        <f t="shared" si="164"/>
        <v>21855000</v>
      </c>
      <c r="F199" s="21">
        <f t="shared" si="165"/>
        <v>15005000</v>
      </c>
      <c r="G199" s="341">
        <v>105000</v>
      </c>
      <c r="H199" s="341">
        <v>20000</v>
      </c>
      <c r="I199" s="341">
        <v>400000</v>
      </c>
      <c r="J199" s="341"/>
      <c r="K199" s="341">
        <v>2500000</v>
      </c>
      <c r="L199" s="1">
        <v>1000000</v>
      </c>
      <c r="M199" s="341"/>
      <c r="N199" s="341"/>
      <c r="O199" s="341"/>
      <c r="P199" s="341"/>
      <c r="Q199" s="1">
        <v>90000</v>
      </c>
      <c r="R199" s="1">
        <v>10500000</v>
      </c>
      <c r="S199" s="1">
        <v>90000</v>
      </c>
      <c r="T199" s="1"/>
      <c r="U199" s="1"/>
      <c r="V199" s="1">
        <v>150000</v>
      </c>
      <c r="W199" s="1"/>
      <c r="X199" s="1">
        <v>150000</v>
      </c>
      <c r="Y199" s="1"/>
      <c r="Z199" s="10">
        <f t="shared" si="166"/>
        <v>4350000</v>
      </c>
      <c r="AA199" s="1"/>
      <c r="AB199" s="1">
        <v>150000</v>
      </c>
      <c r="AC199" s="1"/>
      <c r="AD199" s="1">
        <v>200000</v>
      </c>
      <c r="AE199" s="1">
        <v>4000000</v>
      </c>
      <c r="AF199" s="2">
        <f t="shared" si="167"/>
        <v>500000</v>
      </c>
      <c r="AG199" s="352">
        <v>500000</v>
      </c>
      <c r="AH199" s="15"/>
      <c r="AI199" s="35"/>
      <c r="AJ199" s="35"/>
      <c r="AK199" s="34">
        <f t="shared" si="168"/>
        <v>2000000</v>
      </c>
      <c r="AL199" s="35">
        <v>1500000</v>
      </c>
      <c r="AM199" s="93">
        <f t="shared" si="169"/>
        <v>500000</v>
      </c>
      <c r="AN199" s="305"/>
      <c r="AO199" s="35">
        <v>500000</v>
      </c>
      <c r="AP199" s="35"/>
      <c r="AQ199" s="35"/>
    </row>
    <row r="200" spans="1:43" ht="15.75" customHeight="1" x14ac:dyDescent="0.3">
      <c r="A200" s="46" t="s">
        <v>292</v>
      </c>
      <c r="B200" s="1903" t="s">
        <v>293</v>
      </c>
      <c r="C200" s="1904"/>
      <c r="D200" s="20">
        <f t="shared" si="163"/>
        <v>66525000</v>
      </c>
      <c r="E200" s="98">
        <f t="shared" si="164"/>
        <v>66525000</v>
      </c>
      <c r="F200" s="21">
        <f t="shared" si="165"/>
        <v>24310000</v>
      </c>
      <c r="G200" s="341"/>
      <c r="H200" s="341"/>
      <c r="I200" s="341">
        <v>400000</v>
      </c>
      <c r="J200" s="341"/>
      <c r="K200" s="341">
        <v>300000</v>
      </c>
      <c r="L200" s="1">
        <v>7000000</v>
      </c>
      <c r="M200" s="341">
        <v>300000</v>
      </c>
      <c r="N200" s="341">
        <v>1500000</v>
      </c>
      <c r="O200" s="341">
        <v>3110000</v>
      </c>
      <c r="P200" s="341"/>
      <c r="Q200" s="1">
        <v>1500000</v>
      </c>
      <c r="R200" s="1">
        <v>1500000</v>
      </c>
      <c r="S200" s="1">
        <v>4000000</v>
      </c>
      <c r="T200" s="1"/>
      <c r="U200" s="1"/>
      <c r="V200" s="1"/>
      <c r="W200" s="1"/>
      <c r="X200" s="1">
        <v>700000</v>
      </c>
      <c r="Y200" s="1">
        <v>4000000</v>
      </c>
      <c r="Z200" s="10">
        <f t="shared" si="166"/>
        <v>26350000</v>
      </c>
      <c r="AA200" s="1">
        <v>2000000</v>
      </c>
      <c r="AB200" s="1">
        <v>350000</v>
      </c>
      <c r="AC200" s="1">
        <v>6000000</v>
      </c>
      <c r="AD200" s="1">
        <v>16000000</v>
      </c>
      <c r="AE200" s="1">
        <v>2000000</v>
      </c>
      <c r="AF200" s="2">
        <f t="shared" si="167"/>
        <v>11065000</v>
      </c>
      <c r="AG200" s="352">
        <v>1000000</v>
      </c>
      <c r="AH200" s="15">
        <v>10000000</v>
      </c>
      <c r="AI200" s="35"/>
      <c r="AJ200" s="35">
        <v>65000</v>
      </c>
      <c r="AK200" s="34">
        <f t="shared" si="168"/>
        <v>4800000</v>
      </c>
      <c r="AL200" s="35">
        <v>3000000</v>
      </c>
      <c r="AM200" s="93">
        <f t="shared" si="169"/>
        <v>1800000</v>
      </c>
      <c r="AN200" s="305">
        <v>300000</v>
      </c>
      <c r="AO200" s="35"/>
      <c r="AP200" s="35">
        <v>500000</v>
      </c>
      <c r="AQ200" s="35">
        <v>1000000</v>
      </c>
    </row>
    <row r="201" spans="1:43" ht="15.75" customHeight="1" x14ac:dyDescent="0.3">
      <c r="A201" s="46" t="s">
        <v>294</v>
      </c>
      <c r="B201" s="1903" t="s">
        <v>295</v>
      </c>
      <c r="C201" s="1904"/>
      <c r="D201" s="20">
        <f t="shared" si="163"/>
        <v>179370000</v>
      </c>
      <c r="E201" s="98">
        <f t="shared" si="164"/>
        <v>179370000</v>
      </c>
      <c r="F201" s="21">
        <f t="shared" si="165"/>
        <v>137570000</v>
      </c>
      <c r="G201" s="341"/>
      <c r="H201" s="341">
        <v>1500000</v>
      </c>
      <c r="I201" s="341">
        <v>300000</v>
      </c>
      <c r="J201" s="341"/>
      <c r="K201" s="341"/>
      <c r="L201" s="1">
        <v>133000000</v>
      </c>
      <c r="M201" s="5"/>
      <c r="N201" s="341"/>
      <c r="O201" s="341">
        <v>770000</v>
      </c>
      <c r="P201" s="341"/>
      <c r="Q201" s="1">
        <v>1000000</v>
      </c>
      <c r="R201" s="1"/>
      <c r="S201" s="1">
        <v>1000000</v>
      </c>
      <c r="T201" s="1"/>
      <c r="U201" s="1"/>
      <c r="V201" s="1"/>
      <c r="W201" s="1"/>
      <c r="X201" s="1"/>
      <c r="Y201" s="1"/>
      <c r="Z201" s="10">
        <f t="shared" si="166"/>
        <v>40300000</v>
      </c>
      <c r="AA201" s="1">
        <v>9000000</v>
      </c>
      <c r="AB201" s="1"/>
      <c r="AC201" s="1">
        <v>10000000</v>
      </c>
      <c r="AD201" s="1">
        <v>11300000</v>
      </c>
      <c r="AE201" s="1">
        <v>10000000</v>
      </c>
      <c r="AF201" s="2">
        <f t="shared" si="167"/>
        <v>0</v>
      </c>
      <c r="AG201" s="339"/>
      <c r="AH201" s="17"/>
      <c r="AI201" s="35"/>
      <c r="AJ201" s="35"/>
      <c r="AK201" s="34">
        <f t="shared" si="168"/>
        <v>1500000</v>
      </c>
      <c r="AL201" s="35">
        <v>1500000</v>
      </c>
      <c r="AM201" s="93">
        <f t="shared" si="169"/>
        <v>0</v>
      </c>
      <c r="AN201" s="305"/>
      <c r="AO201" s="35"/>
      <c r="AP201" s="35"/>
      <c r="AQ201" s="35"/>
    </row>
    <row r="202" spans="1:43" ht="15.75" hidden="1" customHeight="1" x14ac:dyDescent="0.3">
      <c r="A202" s="217" t="s">
        <v>296</v>
      </c>
      <c r="B202" s="1903" t="s">
        <v>297</v>
      </c>
      <c r="C202" s="1904"/>
      <c r="D202" s="20">
        <f t="shared" si="163"/>
        <v>0</v>
      </c>
      <c r="E202" s="98">
        <f t="shared" si="164"/>
        <v>0</v>
      </c>
      <c r="F202" s="21">
        <f t="shared" si="165"/>
        <v>0</v>
      </c>
      <c r="G202" s="341"/>
      <c r="H202" s="341"/>
      <c r="I202" s="341"/>
      <c r="J202" s="341"/>
      <c r="K202" s="341"/>
      <c r="L202" s="1"/>
      <c r="M202" s="341"/>
      <c r="N202" s="341"/>
      <c r="O202" s="341"/>
      <c r="P202" s="341"/>
      <c r="Q202" s="1"/>
      <c r="R202" s="1"/>
      <c r="S202" s="1"/>
      <c r="T202" s="1"/>
      <c r="U202" s="1"/>
      <c r="V202" s="1"/>
      <c r="W202" s="1"/>
      <c r="X202" s="1"/>
      <c r="Y202" s="1"/>
      <c r="Z202" s="10">
        <f t="shared" si="166"/>
        <v>0</v>
      </c>
      <c r="AA202" s="1"/>
      <c r="AB202" s="1"/>
      <c r="AC202" s="1"/>
      <c r="AD202" s="1"/>
      <c r="AE202" s="1"/>
      <c r="AF202" s="2">
        <f t="shared" si="167"/>
        <v>0</v>
      </c>
      <c r="AG202" s="343"/>
      <c r="AH202" s="9"/>
      <c r="AI202" s="35"/>
      <c r="AJ202" s="35"/>
      <c r="AK202" s="34">
        <f t="shared" si="168"/>
        <v>0</v>
      </c>
      <c r="AL202" s="35"/>
      <c r="AM202" s="93">
        <f t="shared" si="169"/>
        <v>0</v>
      </c>
      <c r="AN202" s="305"/>
      <c r="AO202" s="35"/>
      <c r="AP202" s="35"/>
      <c r="AQ202" s="35"/>
    </row>
    <row r="203" spans="1:43" ht="15.75" customHeight="1" x14ac:dyDescent="0.3">
      <c r="A203" s="217" t="s">
        <v>746</v>
      </c>
      <c r="B203" s="381" t="s">
        <v>747</v>
      </c>
      <c r="C203" s="99"/>
      <c r="D203" s="20">
        <f t="shared" si="163"/>
        <v>200000</v>
      </c>
      <c r="E203" s="98">
        <f t="shared" si="164"/>
        <v>200000</v>
      </c>
      <c r="F203" s="21">
        <f t="shared" si="165"/>
        <v>0</v>
      </c>
      <c r="G203" s="341"/>
      <c r="H203" s="341"/>
      <c r="I203" s="341"/>
      <c r="J203" s="341"/>
      <c r="K203" s="341"/>
      <c r="L203" s="1"/>
      <c r="M203" s="341"/>
      <c r="N203" s="341"/>
      <c r="O203" s="341"/>
      <c r="P203" s="341"/>
      <c r="Q203" s="1"/>
      <c r="R203" s="1"/>
      <c r="S203" s="1"/>
      <c r="T203" s="1"/>
      <c r="U203" s="1"/>
      <c r="V203" s="1"/>
      <c r="W203" s="1"/>
      <c r="X203" s="1"/>
      <c r="Y203" s="1"/>
      <c r="Z203" s="10">
        <f t="shared" si="166"/>
        <v>0</v>
      </c>
      <c r="AA203" s="1"/>
      <c r="AB203" s="1"/>
      <c r="AC203" s="1"/>
      <c r="AD203" s="1"/>
      <c r="AE203" s="1"/>
      <c r="AF203" s="2">
        <f t="shared" si="167"/>
        <v>0</v>
      </c>
      <c r="AG203" s="343"/>
      <c r="AH203" s="9"/>
      <c r="AI203" s="35"/>
      <c r="AJ203" s="35"/>
      <c r="AK203" s="34">
        <f t="shared" si="168"/>
        <v>200000</v>
      </c>
      <c r="AL203" s="35"/>
      <c r="AM203" s="93">
        <f t="shared" si="169"/>
        <v>200000</v>
      </c>
      <c r="AN203" s="305"/>
      <c r="AO203" s="35">
        <v>200000</v>
      </c>
      <c r="AP203" s="35"/>
      <c r="AQ203" s="35"/>
    </row>
    <row r="204" spans="1:43" ht="15.75" customHeight="1" x14ac:dyDescent="0.3">
      <c r="A204" s="217" t="s">
        <v>298</v>
      </c>
      <c r="B204" s="1903" t="s">
        <v>299</v>
      </c>
      <c r="C204" s="1904"/>
      <c r="D204" s="20">
        <f t="shared" si="163"/>
        <v>120210000</v>
      </c>
      <c r="E204" s="98">
        <f t="shared" si="164"/>
        <v>120210000</v>
      </c>
      <c r="F204" s="21">
        <f t="shared" si="165"/>
        <v>58000000</v>
      </c>
      <c r="G204" s="341">
        <v>0</v>
      </c>
      <c r="H204" s="341"/>
      <c r="I204" s="341"/>
      <c r="J204" s="341"/>
      <c r="K204" s="341">
        <v>54000000</v>
      </c>
      <c r="L204" s="1"/>
      <c r="M204" s="341"/>
      <c r="N204" s="341">
        <v>0</v>
      </c>
      <c r="O204" s="341"/>
      <c r="P204" s="341"/>
      <c r="Q204" s="1"/>
      <c r="R204" s="1">
        <v>1000000</v>
      </c>
      <c r="S204" s="1"/>
      <c r="T204" s="1"/>
      <c r="U204" s="1"/>
      <c r="V204" s="1"/>
      <c r="W204" s="1"/>
      <c r="X204" s="355">
        <v>3000000</v>
      </c>
      <c r="Y204" s="1"/>
      <c r="Z204" s="10">
        <f t="shared" si="166"/>
        <v>61500000</v>
      </c>
      <c r="AA204" s="1">
        <v>27000000</v>
      </c>
      <c r="AB204" s="1"/>
      <c r="AC204" s="1">
        <v>3000000</v>
      </c>
      <c r="AD204" s="1">
        <v>30500000</v>
      </c>
      <c r="AE204" s="1">
        <v>1000000</v>
      </c>
      <c r="AF204" s="2">
        <f t="shared" si="167"/>
        <v>410000</v>
      </c>
      <c r="AG204" s="339"/>
      <c r="AH204" s="13"/>
      <c r="AI204" s="35"/>
      <c r="AJ204" s="35">
        <v>410000</v>
      </c>
      <c r="AK204" s="34">
        <f t="shared" si="168"/>
        <v>300000</v>
      </c>
      <c r="AL204" s="35">
        <v>300000</v>
      </c>
      <c r="AM204" s="93">
        <f t="shared" si="169"/>
        <v>0</v>
      </c>
      <c r="AN204" s="305"/>
      <c r="AO204" s="35"/>
      <c r="AP204" s="35"/>
      <c r="AQ204" s="35"/>
    </row>
    <row r="205" spans="1:43" ht="15.75" customHeight="1" x14ac:dyDescent="0.3">
      <c r="A205" s="46"/>
      <c r="B205" s="381"/>
      <c r="C205" s="99"/>
      <c r="D205" s="20"/>
      <c r="E205" s="98"/>
      <c r="F205" s="21"/>
      <c r="G205" s="341"/>
      <c r="H205" s="341"/>
      <c r="I205" s="341"/>
      <c r="J205" s="341"/>
      <c r="K205" s="341"/>
      <c r="L205" s="1">
        <v>0</v>
      </c>
      <c r="M205" s="341"/>
      <c r="N205" s="341"/>
      <c r="O205" s="341"/>
      <c r="P205" s="341"/>
      <c r="Q205" s="1"/>
      <c r="R205" s="1"/>
      <c r="S205" s="1"/>
      <c r="T205" s="1"/>
      <c r="U205" s="1"/>
      <c r="V205" s="1"/>
      <c r="W205" s="1"/>
      <c r="X205" s="1"/>
      <c r="Y205" s="1"/>
      <c r="Z205" s="10"/>
      <c r="AA205" s="1"/>
      <c r="AB205" s="1"/>
      <c r="AC205" s="1"/>
      <c r="AD205" s="1"/>
      <c r="AE205" s="1"/>
      <c r="AF205" s="2" t="s">
        <v>0</v>
      </c>
      <c r="AG205" s="344"/>
      <c r="AH205" s="7" t="s">
        <v>0</v>
      </c>
      <c r="AI205" s="7"/>
      <c r="AJ205" s="7"/>
      <c r="AK205" s="34"/>
      <c r="AL205" s="7"/>
      <c r="AM205" s="119"/>
      <c r="AN205" s="318"/>
      <c r="AO205" s="7"/>
      <c r="AP205" s="7"/>
      <c r="AQ205" s="7"/>
    </row>
    <row r="206" spans="1:43" ht="15.75" customHeight="1" x14ac:dyDescent="0.3">
      <c r="A206" s="40" t="s">
        <v>300</v>
      </c>
      <c r="B206" s="1912" t="s">
        <v>301</v>
      </c>
      <c r="C206" s="1919"/>
      <c r="D206" s="21">
        <f>+D208+D209+D232</f>
        <v>1010500000</v>
      </c>
      <c r="E206" s="71">
        <f>SUM(E208+E209+E232)</f>
        <v>1010500000</v>
      </c>
      <c r="F206" s="21">
        <f>SUM(G206:Y206)</f>
        <v>0</v>
      </c>
      <c r="G206" s="23">
        <f t="shared" ref="G206:Z206" si="170">SUM(G207:G232)</f>
        <v>0</v>
      </c>
      <c r="H206" s="23">
        <f t="shared" si="170"/>
        <v>0</v>
      </c>
      <c r="I206" s="23">
        <f t="shared" si="170"/>
        <v>0</v>
      </c>
      <c r="J206" s="23">
        <f t="shared" si="170"/>
        <v>0</v>
      </c>
      <c r="K206" s="23">
        <f t="shared" si="170"/>
        <v>0</v>
      </c>
      <c r="L206" s="23">
        <f t="shared" si="170"/>
        <v>0</v>
      </c>
      <c r="M206" s="23">
        <f t="shared" si="170"/>
        <v>0</v>
      </c>
      <c r="N206" s="23">
        <f t="shared" si="170"/>
        <v>0</v>
      </c>
      <c r="O206" s="23">
        <f t="shared" si="170"/>
        <v>0</v>
      </c>
      <c r="P206" s="23">
        <f t="shared" si="170"/>
        <v>0</v>
      </c>
      <c r="Q206" s="23">
        <f t="shared" si="170"/>
        <v>0</v>
      </c>
      <c r="R206" s="23">
        <f t="shared" si="170"/>
        <v>0</v>
      </c>
      <c r="S206" s="23">
        <f t="shared" si="170"/>
        <v>0</v>
      </c>
      <c r="T206" s="23">
        <f>SUM(T207:T232)</f>
        <v>0</v>
      </c>
      <c r="U206" s="23">
        <f t="shared" si="170"/>
        <v>0</v>
      </c>
      <c r="V206" s="23">
        <f>SUM(V207:V232)</f>
        <v>0</v>
      </c>
      <c r="W206" s="23">
        <f>SUM(W207:W232)</f>
        <v>0</v>
      </c>
      <c r="X206" s="23">
        <f>SUM(X207:X232)</f>
        <v>0</v>
      </c>
      <c r="Y206" s="23">
        <f t="shared" si="170"/>
        <v>0</v>
      </c>
      <c r="Z206" s="23">
        <f t="shared" si="170"/>
        <v>0</v>
      </c>
      <c r="AA206" s="23">
        <f>SUM(AA207:AA232)</f>
        <v>0</v>
      </c>
      <c r="AB206" s="23">
        <f>SUM(AB207:AB232)</f>
        <v>0</v>
      </c>
      <c r="AC206" s="23">
        <f>SUM(AC207:AC232)</f>
        <v>0</v>
      </c>
      <c r="AD206" s="23">
        <f>SUM(AD207:AD232)</f>
        <v>0</v>
      </c>
      <c r="AE206" s="23">
        <f>SUM(AE207:AE232)</f>
        <v>0</v>
      </c>
      <c r="AF206" s="2">
        <f>SUM(AF208+AF209+AF232)</f>
        <v>1010500000</v>
      </c>
      <c r="AG206" s="345">
        <f>SUM(AG207:AG232)</f>
        <v>0</v>
      </c>
      <c r="AH206" s="33">
        <f>+AH207+AH209+AH232</f>
        <v>990500000</v>
      </c>
      <c r="AI206" s="33">
        <f t="shared" ref="AI206:AQ206" si="171">SUM(AI207:AI232)</f>
        <v>0</v>
      </c>
      <c r="AJ206" s="33">
        <f t="shared" si="171"/>
        <v>20000000</v>
      </c>
      <c r="AK206" s="34">
        <f t="shared" si="171"/>
        <v>0</v>
      </c>
      <c r="AL206" s="35">
        <f t="shared" si="171"/>
        <v>0</v>
      </c>
      <c r="AM206" s="34">
        <f t="shared" si="171"/>
        <v>0</v>
      </c>
      <c r="AN206" s="305">
        <f>SUM(AN207:AN232)</f>
        <v>0</v>
      </c>
      <c r="AO206" s="35">
        <f t="shared" si="171"/>
        <v>0</v>
      </c>
      <c r="AP206" s="35">
        <f t="shared" si="171"/>
        <v>0</v>
      </c>
      <c r="AQ206" s="35">
        <f t="shared" si="171"/>
        <v>0</v>
      </c>
    </row>
    <row r="207" spans="1:43" ht="15.75" hidden="1" customHeight="1" x14ac:dyDescent="0.3">
      <c r="A207" s="46" t="s">
        <v>302</v>
      </c>
      <c r="B207" s="381" t="s">
        <v>303</v>
      </c>
      <c r="C207" s="382"/>
      <c r="D207" s="20">
        <f>+F207+Z207+AF207+AK207</f>
        <v>0</v>
      </c>
      <c r="E207" s="98">
        <f t="shared" ref="E207:E232" si="172">SUM(G207+H207+I207+J207+K207+L207+M207+N207+O207+P207+Q207+R207+S207+T207+U207+V207+W207+X207+Y207+AA207+AB207+AC207+AD207+AE207+AG207+AH207+AI207+AJ207+AL207+AN207+AO207+AP207+AQ207)</f>
        <v>0</v>
      </c>
      <c r="F207" s="21">
        <f>SUM(G207:Y207)</f>
        <v>0</v>
      </c>
      <c r="G207" s="341"/>
      <c r="H207" s="341"/>
      <c r="I207" s="341"/>
      <c r="J207" s="341"/>
      <c r="K207" s="341"/>
      <c r="L207" s="1"/>
      <c r="M207" s="341"/>
      <c r="N207" s="341"/>
      <c r="O207" s="341"/>
      <c r="P207" s="341"/>
      <c r="Q207" s="1"/>
      <c r="R207" s="1"/>
      <c r="S207" s="1"/>
      <c r="T207" s="1"/>
      <c r="U207" s="1"/>
      <c r="V207" s="1"/>
      <c r="W207" s="1"/>
      <c r="X207" s="1"/>
      <c r="Y207" s="1"/>
      <c r="Z207" s="10">
        <f>SUM(AA207:AE207)</f>
        <v>0</v>
      </c>
      <c r="AA207" s="1">
        <v>0</v>
      </c>
      <c r="AB207" s="1">
        <v>0</v>
      </c>
      <c r="AC207" s="1"/>
      <c r="AD207" s="1"/>
      <c r="AE207" s="1"/>
      <c r="AF207" s="2">
        <f>SUM(AG207:AJ207)</f>
        <v>0</v>
      </c>
      <c r="AG207" s="339"/>
      <c r="AH207" s="13">
        <v>0</v>
      </c>
      <c r="AI207" s="35">
        <v>0</v>
      </c>
      <c r="AJ207" s="35">
        <v>0</v>
      </c>
      <c r="AK207" s="34">
        <f>SUM(AL207+AM207)</f>
        <v>0</v>
      </c>
      <c r="AL207" s="35">
        <v>0</v>
      </c>
      <c r="AM207" s="93">
        <f>SUM(AN207:AQ207)</f>
        <v>0</v>
      </c>
      <c r="AN207" s="305">
        <v>0</v>
      </c>
      <c r="AO207" s="35">
        <v>0</v>
      </c>
      <c r="AP207" s="35">
        <v>0</v>
      </c>
      <c r="AQ207" s="35">
        <v>0</v>
      </c>
    </row>
    <row r="208" spans="1:43" ht="15.75" customHeight="1" x14ac:dyDescent="0.3">
      <c r="A208" s="46" t="s">
        <v>750</v>
      </c>
      <c r="B208" s="381" t="s">
        <v>751</v>
      </c>
      <c r="C208" s="382"/>
      <c r="D208" s="20">
        <f>+F208+Z208+AF208+AK208</f>
        <v>10000000</v>
      </c>
      <c r="E208" s="98">
        <f t="shared" si="172"/>
        <v>10000000</v>
      </c>
      <c r="F208" s="21">
        <f t="shared" ref="F208:F226" si="173">SUM(G208:Y208)</f>
        <v>0</v>
      </c>
      <c r="G208" s="341"/>
      <c r="H208" s="341"/>
      <c r="I208" s="341"/>
      <c r="J208" s="341"/>
      <c r="K208" s="341"/>
      <c r="L208" s="1"/>
      <c r="M208" s="341"/>
      <c r="N208" s="341"/>
      <c r="O208" s="341"/>
      <c r="P208" s="341"/>
      <c r="Q208" s="1"/>
      <c r="R208" s="1"/>
      <c r="S208" s="1"/>
      <c r="T208" s="1"/>
      <c r="U208" s="1"/>
      <c r="V208" s="1"/>
      <c r="W208" s="1"/>
      <c r="X208" s="1"/>
      <c r="Y208" s="1"/>
      <c r="Z208" s="10"/>
      <c r="AA208" s="1"/>
      <c r="AB208" s="1"/>
      <c r="AC208" s="1"/>
      <c r="AD208" s="1"/>
      <c r="AE208" s="1"/>
      <c r="AF208" s="2">
        <f>SUM(AG208:AJ208)</f>
        <v>10000000</v>
      </c>
      <c r="AG208" s="339"/>
      <c r="AH208" s="13"/>
      <c r="AI208" s="35"/>
      <c r="AJ208" s="35">
        <v>10000000</v>
      </c>
      <c r="AK208" s="34"/>
      <c r="AL208" s="35"/>
      <c r="AM208" s="93"/>
      <c r="AN208" s="305"/>
      <c r="AO208" s="35"/>
      <c r="AP208" s="35"/>
      <c r="AQ208" s="35"/>
    </row>
    <row r="209" spans="1:43" ht="15.75" customHeight="1" x14ac:dyDescent="0.3">
      <c r="A209" s="46" t="s">
        <v>304</v>
      </c>
      <c r="B209" s="380" t="s">
        <v>305</v>
      </c>
      <c r="C209" s="295"/>
      <c r="D209" s="21">
        <f>SUM(D218:D230)</f>
        <v>990500000</v>
      </c>
      <c r="E209" s="71">
        <f>SUM(E226:E230)</f>
        <v>990500000</v>
      </c>
      <c r="F209" s="21">
        <f>SUM(F218:F230)</f>
        <v>0</v>
      </c>
      <c r="G209" s="23"/>
      <c r="H209" s="23"/>
      <c r="I209" s="23"/>
      <c r="J209" s="23"/>
      <c r="K209" s="23"/>
      <c r="L209" s="26"/>
      <c r="M209" s="23"/>
      <c r="N209" s="23"/>
      <c r="O209" s="23"/>
      <c r="P209" s="23"/>
      <c r="Q209" s="26"/>
      <c r="R209" s="26"/>
      <c r="S209" s="26"/>
      <c r="T209" s="26"/>
      <c r="U209" s="26"/>
      <c r="V209" s="26"/>
      <c r="W209" s="26"/>
      <c r="X209" s="26"/>
      <c r="Y209" s="26"/>
      <c r="Z209" s="10"/>
      <c r="AA209" s="26">
        <v>0</v>
      </c>
      <c r="AB209" s="26">
        <v>0</v>
      </c>
      <c r="AC209" s="26">
        <v>0</v>
      </c>
      <c r="AD209" s="26">
        <v>0</v>
      </c>
      <c r="AE209" s="26">
        <v>0</v>
      </c>
      <c r="AF209" s="2">
        <f>SUM(AF218:AF230)</f>
        <v>990500000</v>
      </c>
      <c r="AG209" s="343"/>
      <c r="AH209" s="14">
        <f>SUM(AH218:AH230)</f>
        <v>990500000</v>
      </c>
      <c r="AI209" s="33">
        <v>0</v>
      </c>
      <c r="AJ209" s="33">
        <v>0</v>
      </c>
      <c r="AK209" s="34">
        <f>SUM(AK213:AK225)</f>
        <v>0</v>
      </c>
      <c r="AL209" s="35">
        <v>0</v>
      </c>
      <c r="AM209" s="34">
        <f>SUM(AM212:AM225)</f>
        <v>0</v>
      </c>
      <c r="AN209" s="305">
        <v>0</v>
      </c>
      <c r="AO209" s="35">
        <v>0</v>
      </c>
      <c r="AP209" s="35">
        <v>0</v>
      </c>
      <c r="AQ209" s="35">
        <v>0</v>
      </c>
    </row>
    <row r="210" spans="1:43" ht="15.75" hidden="1" customHeight="1" x14ac:dyDescent="0.3">
      <c r="A210" s="46" t="s">
        <v>528</v>
      </c>
      <c r="B210" s="381" t="s">
        <v>558</v>
      </c>
      <c r="C210" s="99"/>
      <c r="D210" s="20">
        <f t="shared" ref="D210:D230" si="174">+F210+Z210+AF210+AK210</f>
        <v>0</v>
      </c>
      <c r="E210" s="98">
        <f t="shared" si="172"/>
        <v>0</v>
      </c>
      <c r="F210" s="21">
        <f t="shared" si="173"/>
        <v>0</v>
      </c>
      <c r="G210" s="23"/>
      <c r="H210" s="23"/>
      <c r="I210" s="23"/>
      <c r="J210" s="23"/>
      <c r="K210" s="23"/>
      <c r="L210" s="26"/>
      <c r="M210" s="23"/>
      <c r="N210" s="23"/>
      <c r="O210" s="23"/>
      <c r="P210" s="23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"/>
      <c r="AG210" s="343"/>
      <c r="AH210" s="13"/>
      <c r="AI210" s="33"/>
      <c r="AJ210" s="33"/>
      <c r="AK210" s="34"/>
      <c r="AL210" s="35"/>
      <c r="AM210" s="34"/>
      <c r="AN210" s="305"/>
      <c r="AO210" s="35"/>
      <c r="AP210" s="35"/>
      <c r="AQ210" s="35"/>
    </row>
    <row r="211" spans="1:43" ht="15.75" hidden="1" customHeight="1" x14ac:dyDescent="0.3">
      <c r="A211" s="46" t="s">
        <v>520</v>
      </c>
      <c r="B211" s="381" t="s">
        <v>521</v>
      </c>
      <c r="C211" s="99"/>
      <c r="D211" s="20">
        <f t="shared" si="174"/>
        <v>0</v>
      </c>
      <c r="E211" s="98">
        <f t="shared" si="172"/>
        <v>0</v>
      </c>
      <c r="F211" s="21">
        <f t="shared" si="173"/>
        <v>0</v>
      </c>
      <c r="G211" s="341"/>
      <c r="H211" s="341"/>
      <c r="I211" s="341"/>
      <c r="J211" s="341"/>
      <c r="K211" s="341"/>
      <c r="L211" s="1"/>
      <c r="M211" s="341"/>
      <c r="N211" s="341"/>
      <c r="O211" s="341"/>
      <c r="P211" s="341"/>
      <c r="Q211" s="1"/>
      <c r="R211" s="1"/>
      <c r="S211" s="1"/>
      <c r="T211" s="1"/>
      <c r="U211" s="1"/>
      <c r="V211" s="1"/>
      <c r="W211" s="1"/>
      <c r="X211" s="1"/>
      <c r="Y211" s="1"/>
      <c r="Z211" s="26"/>
      <c r="AA211" s="1"/>
      <c r="AB211" s="1"/>
      <c r="AC211" s="1"/>
      <c r="AD211" s="1"/>
      <c r="AE211" s="1"/>
      <c r="AF211" s="2">
        <f>SUM(AG211:AI211)</f>
        <v>0</v>
      </c>
      <c r="AG211" s="339"/>
      <c r="AH211" s="13"/>
      <c r="AI211" s="35"/>
      <c r="AJ211" s="35"/>
      <c r="AK211" s="34"/>
      <c r="AL211" s="35"/>
      <c r="AM211" s="34"/>
      <c r="AN211" s="305"/>
      <c r="AO211" s="35"/>
      <c r="AP211" s="35"/>
      <c r="AQ211" s="35"/>
    </row>
    <row r="212" spans="1:43" ht="15.75" hidden="1" customHeight="1" x14ac:dyDescent="0.3">
      <c r="A212" s="46" t="s">
        <v>529</v>
      </c>
      <c r="B212" s="381" t="s">
        <v>530</v>
      </c>
      <c r="C212" s="99"/>
      <c r="D212" s="20">
        <f t="shared" si="174"/>
        <v>0</v>
      </c>
      <c r="E212" s="98">
        <f t="shared" si="172"/>
        <v>0</v>
      </c>
      <c r="F212" s="21">
        <f t="shared" si="173"/>
        <v>0</v>
      </c>
      <c r="G212" s="341"/>
      <c r="H212" s="341"/>
      <c r="I212" s="341"/>
      <c r="J212" s="341"/>
      <c r="K212" s="341"/>
      <c r="L212" s="1"/>
      <c r="M212" s="341"/>
      <c r="N212" s="341"/>
      <c r="O212" s="341"/>
      <c r="P212" s="341"/>
      <c r="Q212" s="1"/>
      <c r="R212" s="1"/>
      <c r="S212" s="1"/>
      <c r="T212" s="1"/>
      <c r="U212" s="1"/>
      <c r="V212" s="1"/>
      <c r="W212" s="1"/>
      <c r="X212" s="1"/>
      <c r="Y212" s="1"/>
      <c r="Z212" s="26"/>
      <c r="AA212" s="1"/>
      <c r="AB212" s="1"/>
      <c r="AC212" s="1"/>
      <c r="AD212" s="1"/>
      <c r="AE212" s="1"/>
      <c r="AF212" s="2">
        <f t="shared" ref="AF212:AF232" si="175">SUM(AG212:AJ212)</f>
        <v>0</v>
      </c>
      <c r="AG212" s="339"/>
      <c r="AH212" s="13"/>
      <c r="AI212" s="35"/>
      <c r="AJ212" s="35"/>
      <c r="AK212" s="34">
        <f t="shared" ref="AK212:AK232" si="176">SUM(AL212+AM212)</f>
        <v>0</v>
      </c>
      <c r="AL212" s="35"/>
      <c r="AM212" s="93">
        <f t="shared" ref="AM212:AM232" si="177">SUM(AN212:AQ212)</f>
        <v>0</v>
      </c>
      <c r="AN212" s="305"/>
      <c r="AO212" s="35"/>
      <c r="AP212" s="35"/>
      <c r="AQ212" s="35"/>
    </row>
    <row r="213" spans="1:43" ht="15.75" hidden="1" customHeight="1" x14ac:dyDescent="0.3">
      <c r="A213" s="46" t="s">
        <v>531</v>
      </c>
      <c r="B213" s="381" t="s">
        <v>592</v>
      </c>
      <c r="C213" s="99"/>
      <c r="D213" s="20">
        <f t="shared" si="174"/>
        <v>0</v>
      </c>
      <c r="E213" s="98">
        <f t="shared" si="172"/>
        <v>0</v>
      </c>
      <c r="F213" s="21">
        <f t="shared" si="173"/>
        <v>0</v>
      </c>
      <c r="G213" s="341"/>
      <c r="H213" s="341"/>
      <c r="I213" s="341"/>
      <c r="J213" s="341"/>
      <c r="K213" s="341"/>
      <c r="L213" s="1"/>
      <c r="M213" s="341"/>
      <c r="N213" s="341"/>
      <c r="O213" s="341"/>
      <c r="P213" s="341"/>
      <c r="Q213" s="1"/>
      <c r="R213" s="1"/>
      <c r="S213" s="1"/>
      <c r="T213" s="1"/>
      <c r="U213" s="1"/>
      <c r="V213" s="1"/>
      <c r="W213" s="1"/>
      <c r="X213" s="1"/>
      <c r="Y213" s="1"/>
      <c r="Z213" s="26"/>
      <c r="AA213" s="1"/>
      <c r="AB213" s="1"/>
      <c r="AC213" s="1"/>
      <c r="AD213" s="1"/>
      <c r="AE213" s="1"/>
      <c r="AF213" s="2">
        <f t="shared" si="175"/>
        <v>0</v>
      </c>
      <c r="AG213" s="339"/>
      <c r="AH213" s="13"/>
      <c r="AI213" s="35"/>
      <c r="AJ213" s="35"/>
      <c r="AK213" s="34">
        <f t="shared" si="176"/>
        <v>0</v>
      </c>
      <c r="AL213" s="35"/>
      <c r="AM213" s="93">
        <f t="shared" si="177"/>
        <v>0</v>
      </c>
      <c r="AN213" s="305"/>
      <c r="AO213" s="35"/>
      <c r="AP213" s="35"/>
      <c r="AQ213" s="35"/>
    </row>
    <row r="214" spans="1:43" ht="15.75" hidden="1" customHeight="1" x14ac:dyDescent="0.3">
      <c r="A214" s="46" t="s">
        <v>532</v>
      </c>
      <c r="B214" s="381" t="s">
        <v>539</v>
      </c>
      <c r="C214" s="99"/>
      <c r="D214" s="20">
        <f t="shared" si="174"/>
        <v>0</v>
      </c>
      <c r="E214" s="98">
        <f t="shared" si="172"/>
        <v>0</v>
      </c>
      <c r="F214" s="21">
        <f t="shared" si="173"/>
        <v>0</v>
      </c>
      <c r="G214" s="341"/>
      <c r="H214" s="341"/>
      <c r="I214" s="341"/>
      <c r="J214" s="341"/>
      <c r="K214" s="341"/>
      <c r="L214" s="1"/>
      <c r="M214" s="341"/>
      <c r="N214" s="341"/>
      <c r="O214" s="341"/>
      <c r="P214" s="341"/>
      <c r="Q214" s="1"/>
      <c r="R214" s="1"/>
      <c r="S214" s="1"/>
      <c r="T214" s="1"/>
      <c r="U214" s="1"/>
      <c r="V214" s="1"/>
      <c r="W214" s="1"/>
      <c r="X214" s="1"/>
      <c r="Y214" s="1"/>
      <c r="Z214" s="26"/>
      <c r="AA214" s="1"/>
      <c r="AB214" s="1"/>
      <c r="AC214" s="1"/>
      <c r="AD214" s="1"/>
      <c r="AE214" s="1"/>
      <c r="AF214" s="2">
        <f t="shared" si="175"/>
        <v>0</v>
      </c>
      <c r="AG214" s="339"/>
      <c r="AH214" s="13"/>
      <c r="AI214" s="35"/>
      <c r="AJ214" s="35"/>
      <c r="AK214" s="34">
        <f t="shared" si="176"/>
        <v>0</v>
      </c>
      <c r="AL214" s="35"/>
      <c r="AM214" s="93">
        <f t="shared" si="177"/>
        <v>0</v>
      </c>
      <c r="AN214" s="305"/>
      <c r="AO214" s="35"/>
      <c r="AP214" s="35"/>
      <c r="AQ214" s="35"/>
    </row>
    <row r="215" spans="1:43" ht="15.75" hidden="1" customHeight="1" x14ac:dyDescent="0.3">
      <c r="A215" s="46" t="s">
        <v>533</v>
      </c>
      <c r="B215" s="381" t="s">
        <v>534</v>
      </c>
      <c r="C215" s="99"/>
      <c r="D215" s="20">
        <f t="shared" si="174"/>
        <v>0</v>
      </c>
      <c r="E215" s="98">
        <f t="shared" si="172"/>
        <v>0</v>
      </c>
      <c r="F215" s="21">
        <f t="shared" si="173"/>
        <v>0</v>
      </c>
      <c r="G215" s="341"/>
      <c r="H215" s="341"/>
      <c r="I215" s="341"/>
      <c r="J215" s="341"/>
      <c r="K215" s="341"/>
      <c r="L215" s="1"/>
      <c r="M215" s="341"/>
      <c r="N215" s="341"/>
      <c r="O215" s="341"/>
      <c r="P215" s="341"/>
      <c r="Q215" s="1"/>
      <c r="R215" s="1"/>
      <c r="S215" s="1"/>
      <c r="T215" s="1"/>
      <c r="U215" s="1"/>
      <c r="V215" s="1"/>
      <c r="W215" s="1"/>
      <c r="X215" s="1"/>
      <c r="Y215" s="1"/>
      <c r="Z215" s="26"/>
      <c r="AA215" s="1"/>
      <c r="AB215" s="1"/>
      <c r="AC215" s="1"/>
      <c r="AD215" s="1"/>
      <c r="AE215" s="1"/>
      <c r="AF215" s="2">
        <f t="shared" si="175"/>
        <v>0</v>
      </c>
      <c r="AG215" s="339"/>
      <c r="AH215" s="13"/>
      <c r="AI215" s="35"/>
      <c r="AJ215" s="35"/>
      <c r="AK215" s="34">
        <f t="shared" si="176"/>
        <v>0</v>
      </c>
      <c r="AL215" s="35"/>
      <c r="AM215" s="93">
        <f t="shared" si="177"/>
        <v>0</v>
      </c>
      <c r="AN215" s="305"/>
      <c r="AO215" s="35"/>
      <c r="AP215" s="35"/>
      <c r="AQ215" s="35"/>
    </row>
    <row r="216" spans="1:43" ht="15.75" hidden="1" customHeight="1" x14ac:dyDescent="0.3">
      <c r="A216" s="46" t="s">
        <v>535</v>
      </c>
      <c r="B216" s="381" t="s">
        <v>536</v>
      </c>
      <c r="C216" s="99"/>
      <c r="D216" s="20">
        <f t="shared" si="174"/>
        <v>0</v>
      </c>
      <c r="E216" s="98">
        <f t="shared" si="172"/>
        <v>0</v>
      </c>
      <c r="F216" s="21">
        <f t="shared" si="173"/>
        <v>0</v>
      </c>
      <c r="G216" s="341"/>
      <c r="H216" s="341"/>
      <c r="I216" s="341"/>
      <c r="J216" s="341"/>
      <c r="K216" s="341"/>
      <c r="L216" s="1"/>
      <c r="M216" s="341"/>
      <c r="N216" s="341"/>
      <c r="O216" s="341"/>
      <c r="P216" s="341"/>
      <c r="Q216" s="1"/>
      <c r="R216" s="1"/>
      <c r="S216" s="1"/>
      <c r="T216" s="1"/>
      <c r="U216" s="1"/>
      <c r="V216" s="1"/>
      <c r="W216" s="1"/>
      <c r="X216" s="1"/>
      <c r="Y216" s="1"/>
      <c r="Z216" s="26"/>
      <c r="AA216" s="1"/>
      <c r="AB216" s="1"/>
      <c r="AC216" s="1"/>
      <c r="AD216" s="1"/>
      <c r="AE216" s="1"/>
      <c r="AF216" s="2">
        <f t="shared" si="175"/>
        <v>0</v>
      </c>
      <c r="AG216" s="339"/>
      <c r="AH216" s="13"/>
      <c r="AI216" s="35"/>
      <c r="AJ216" s="35"/>
      <c r="AK216" s="34">
        <f t="shared" si="176"/>
        <v>0</v>
      </c>
      <c r="AL216" s="35"/>
      <c r="AM216" s="93">
        <f t="shared" si="177"/>
        <v>0</v>
      </c>
      <c r="AN216" s="305"/>
      <c r="AO216" s="35"/>
      <c r="AP216" s="35"/>
      <c r="AQ216" s="35"/>
    </row>
    <row r="217" spans="1:43" ht="15.75" hidden="1" customHeight="1" x14ac:dyDescent="0.3">
      <c r="A217" s="46" t="s">
        <v>522</v>
      </c>
      <c r="B217" s="381" t="s">
        <v>523</v>
      </c>
      <c r="C217" s="99"/>
      <c r="D217" s="20">
        <f t="shared" si="174"/>
        <v>0</v>
      </c>
      <c r="E217" s="98">
        <f t="shared" si="172"/>
        <v>0</v>
      </c>
      <c r="F217" s="21">
        <f t="shared" si="173"/>
        <v>0</v>
      </c>
      <c r="G217" s="341"/>
      <c r="H217" s="341"/>
      <c r="I217" s="341"/>
      <c r="J217" s="341"/>
      <c r="K217" s="341"/>
      <c r="L217" s="1"/>
      <c r="M217" s="341"/>
      <c r="N217" s="341"/>
      <c r="O217" s="341"/>
      <c r="P217" s="341"/>
      <c r="Q217" s="1"/>
      <c r="R217" s="1"/>
      <c r="S217" s="1"/>
      <c r="T217" s="1"/>
      <c r="U217" s="1"/>
      <c r="V217" s="1"/>
      <c r="W217" s="1"/>
      <c r="X217" s="1"/>
      <c r="Y217" s="1"/>
      <c r="Z217" s="26"/>
      <c r="AA217" s="1"/>
      <c r="AB217" s="1"/>
      <c r="AC217" s="1"/>
      <c r="AD217" s="1"/>
      <c r="AE217" s="1"/>
      <c r="AF217" s="2">
        <f t="shared" si="175"/>
        <v>0</v>
      </c>
      <c r="AG217" s="339"/>
      <c r="AH217" s="13"/>
      <c r="AI217" s="35"/>
      <c r="AJ217" s="35"/>
      <c r="AK217" s="34">
        <f t="shared" si="176"/>
        <v>0</v>
      </c>
      <c r="AL217" s="35"/>
      <c r="AM217" s="93">
        <f t="shared" si="177"/>
        <v>0</v>
      </c>
      <c r="AN217" s="305"/>
      <c r="AO217" s="35"/>
      <c r="AP217" s="35"/>
      <c r="AQ217" s="35"/>
    </row>
    <row r="218" spans="1:43" ht="15.75" hidden="1" customHeight="1" x14ac:dyDescent="0.3">
      <c r="A218" s="46" t="s">
        <v>554</v>
      </c>
      <c r="B218" s="381" t="s">
        <v>555</v>
      </c>
      <c r="C218" s="99"/>
      <c r="D218" s="20">
        <f t="shared" si="174"/>
        <v>0</v>
      </c>
      <c r="E218" s="98">
        <f t="shared" si="172"/>
        <v>0</v>
      </c>
      <c r="F218" s="21">
        <f t="shared" si="173"/>
        <v>0</v>
      </c>
      <c r="G218" s="341"/>
      <c r="H218" s="341"/>
      <c r="I218" s="341"/>
      <c r="J218" s="341"/>
      <c r="K218" s="341"/>
      <c r="L218" s="1"/>
      <c r="M218" s="341"/>
      <c r="N218" s="341"/>
      <c r="O218" s="341"/>
      <c r="P218" s="341"/>
      <c r="Q218" s="1"/>
      <c r="R218" s="1"/>
      <c r="S218" s="1"/>
      <c r="T218" s="1"/>
      <c r="U218" s="1"/>
      <c r="V218" s="1"/>
      <c r="W218" s="1"/>
      <c r="X218" s="1"/>
      <c r="Y218" s="1"/>
      <c r="Z218" s="26"/>
      <c r="AA218" s="1"/>
      <c r="AB218" s="1"/>
      <c r="AC218" s="1"/>
      <c r="AD218" s="1"/>
      <c r="AE218" s="1"/>
      <c r="AF218" s="2">
        <f t="shared" si="175"/>
        <v>0</v>
      </c>
      <c r="AG218" s="339"/>
      <c r="AH218" s="13"/>
      <c r="AI218" s="35"/>
      <c r="AJ218" s="35"/>
      <c r="AK218" s="34">
        <f t="shared" si="176"/>
        <v>0</v>
      </c>
      <c r="AL218" s="35"/>
      <c r="AM218" s="93">
        <f t="shared" si="177"/>
        <v>0</v>
      </c>
      <c r="AN218" s="305"/>
      <c r="AO218" s="35"/>
      <c r="AP218" s="35"/>
      <c r="AQ218" s="35"/>
    </row>
    <row r="219" spans="1:43" ht="15.75" hidden="1" customHeight="1" x14ac:dyDescent="0.3">
      <c r="A219" s="46" t="s">
        <v>540</v>
      </c>
      <c r="B219" s="381" t="s">
        <v>541</v>
      </c>
      <c r="C219" s="99"/>
      <c r="D219" s="20">
        <f t="shared" si="174"/>
        <v>0</v>
      </c>
      <c r="E219" s="98">
        <f t="shared" si="172"/>
        <v>0</v>
      </c>
      <c r="F219" s="21">
        <f t="shared" si="173"/>
        <v>0</v>
      </c>
      <c r="G219" s="341"/>
      <c r="H219" s="341"/>
      <c r="I219" s="341"/>
      <c r="J219" s="341"/>
      <c r="K219" s="341"/>
      <c r="L219" s="1"/>
      <c r="M219" s="341"/>
      <c r="N219" s="341"/>
      <c r="O219" s="341"/>
      <c r="P219" s="341"/>
      <c r="Q219" s="1"/>
      <c r="R219" s="1"/>
      <c r="S219" s="1"/>
      <c r="T219" s="1"/>
      <c r="U219" s="1"/>
      <c r="V219" s="1"/>
      <c r="W219" s="1"/>
      <c r="X219" s="1"/>
      <c r="Y219" s="1"/>
      <c r="Z219" s="26"/>
      <c r="AA219" s="1"/>
      <c r="AB219" s="1"/>
      <c r="AC219" s="1"/>
      <c r="AD219" s="1"/>
      <c r="AE219" s="1"/>
      <c r="AF219" s="2">
        <f t="shared" si="175"/>
        <v>0</v>
      </c>
      <c r="AG219" s="339"/>
      <c r="AH219" s="13"/>
      <c r="AI219" s="35"/>
      <c r="AJ219" s="35"/>
      <c r="AK219" s="34">
        <f t="shared" si="176"/>
        <v>0</v>
      </c>
      <c r="AL219" s="35"/>
      <c r="AM219" s="93">
        <f t="shared" si="177"/>
        <v>0</v>
      </c>
      <c r="AN219" s="305"/>
      <c r="AO219" s="35"/>
      <c r="AP219" s="35"/>
      <c r="AQ219" s="35"/>
    </row>
    <row r="220" spans="1:43" ht="15.75" hidden="1" customHeight="1" x14ac:dyDescent="0.3">
      <c r="A220" s="46" t="s">
        <v>542</v>
      </c>
      <c r="B220" s="381" t="s">
        <v>543</v>
      </c>
      <c r="C220" s="99"/>
      <c r="D220" s="20">
        <f t="shared" si="174"/>
        <v>0</v>
      </c>
      <c r="E220" s="98">
        <f t="shared" si="172"/>
        <v>0</v>
      </c>
      <c r="F220" s="21">
        <f t="shared" si="173"/>
        <v>0</v>
      </c>
      <c r="G220" s="341"/>
      <c r="H220" s="341"/>
      <c r="I220" s="341"/>
      <c r="J220" s="341"/>
      <c r="K220" s="341"/>
      <c r="L220" s="1"/>
      <c r="M220" s="341"/>
      <c r="N220" s="341"/>
      <c r="O220" s="341"/>
      <c r="P220" s="341"/>
      <c r="Q220" s="1"/>
      <c r="R220" s="1"/>
      <c r="S220" s="1"/>
      <c r="T220" s="1"/>
      <c r="U220" s="1"/>
      <c r="V220" s="1"/>
      <c r="W220" s="1"/>
      <c r="X220" s="1"/>
      <c r="Y220" s="1"/>
      <c r="Z220" s="26"/>
      <c r="AA220" s="1"/>
      <c r="AB220" s="1"/>
      <c r="AC220" s="1"/>
      <c r="AD220" s="1"/>
      <c r="AE220" s="1"/>
      <c r="AF220" s="2">
        <f t="shared" si="175"/>
        <v>0</v>
      </c>
      <c r="AG220" s="339"/>
      <c r="AH220" s="13"/>
      <c r="AI220" s="35"/>
      <c r="AJ220" s="35"/>
      <c r="AK220" s="34">
        <f t="shared" si="176"/>
        <v>0</v>
      </c>
      <c r="AL220" s="35"/>
      <c r="AM220" s="93">
        <f t="shared" si="177"/>
        <v>0</v>
      </c>
      <c r="AN220" s="305"/>
      <c r="AO220" s="35"/>
      <c r="AP220" s="35"/>
      <c r="AQ220" s="35"/>
    </row>
    <row r="221" spans="1:43" ht="15.75" hidden="1" customHeight="1" x14ac:dyDescent="0.3">
      <c r="A221" s="46" t="s">
        <v>544</v>
      </c>
      <c r="B221" s="381" t="s">
        <v>545</v>
      </c>
      <c r="C221" s="99"/>
      <c r="D221" s="20">
        <f t="shared" si="174"/>
        <v>0</v>
      </c>
      <c r="E221" s="98">
        <f t="shared" si="172"/>
        <v>0</v>
      </c>
      <c r="F221" s="21">
        <f t="shared" si="173"/>
        <v>0</v>
      </c>
      <c r="G221" s="341"/>
      <c r="H221" s="341"/>
      <c r="I221" s="341"/>
      <c r="J221" s="341"/>
      <c r="K221" s="341"/>
      <c r="L221" s="1"/>
      <c r="M221" s="341"/>
      <c r="N221" s="341"/>
      <c r="O221" s="341"/>
      <c r="P221" s="341"/>
      <c r="Q221" s="1"/>
      <c r="R221" s="1"/>
      <c r="S221" s="1"/>
      <c r="T221" s="1"/>
      <c r="U221" s="1"/>
      <c r="V221" s="1"/>
      <c r="W221" s="1"/>
      <c r="X221" s="1"/>
      <c r="Y221" s="1"/>
      <c r="Z221" s="26"/>
      <c r="AA221" s="1"/>
      <c r="AB221" s="1"/>
      <c r="AC221" s="1"/>
      <c r="AD221" s="1"/>
      <c r="AE221" s="1"/>
      <c r="AF221" s="2">
        <f t="shared" si="175"/>
        <v>0</v>
      </c>
      <c r="AG221" s="339"/>
      <c r="AH221" s="13"/>
      <c r="AI221" s="35"/>
      <c r="AJ221" s="35"/>
      <c r="AK221" s="34">
        <f t="shared" si="176"/>
        <v>0</v>
      </c>
      <c r="AL221" s="35"/>
      <c r="AM221" s="93">
        <f t="shared" si="177"/>
        <v>0</v>
      </c>
      <c r="AN221" s="305"/>
      <c r="AO221" s="35"/>
      <c r="AP221" s="35"/>
      <c r="AQ221" s="35"/>
    </row>
    <row r="222" spans="1:43" ht="15.75" hidden="1" customHeight="1" x14ac:dyDescent="0.3">
      <c r="A222" s="46" t="s">
        <v>559</v>
      </c>
      <c r="B222" s="381" t="s">
        <v>560</v>
      </c>
      <c r="C222" s="99"/>
      <c r="D222" s="20">
        <f t="shared" si="174"/>
        <v>0</v>
      </c>
      <c r="E222" s="98">
        <f t="shared" si="172"/>
        <v>0</v>
      </c>
      <c r="F222" s="21">
        <f t="shared" si="173"/>
        <v>0</v>
      </c>
      <c r="G222" s="341"/>
      <c r="H222" s="341"/>
      <c r="I222" s="341"/>
      <c r="J222" s="341"/>
      <c r="K222" s="341"/>
      <c r="L222" s="1"/>
      <c r="M222" s="341"/>
      <c r="N222" s="341"/>
      <c r="O222" s="341"/>
      <c r="P222" s="341"/>
      <c r="Q222" s="1"/>
      <c r="R222" s="1"/>
      <c r="S222" s="1"/>
      <c r="T222" s="1"/>
      <c r="U222" s="1"/>
      <c r="V222" s="1"/>
      <c r="W222" s="1"/>
      <c r="X222" s="1"/>
      <c r="Y222" s="1"/>
      <c r="Z222" s="26"/>
      <c r="AA222" s="1"/>
      <c r="AB222" s="1"/>
      <c r="AC222" s="1"/>
      <c r="AD222" s="1"/>
      <c r="AE222" s="1"/>
      <c r="AF222" s="2">
        <f t="shared" si="175"/>
        <v>0</v>
      </c>
      <c r="AG222" s="339"/>
      <c r="AH222" s="13"/>
      <c r="AI222" s="35"/>
      <c r="AJ222" s="35"/>
      <c r="AK222" s="34">
        <f t="shared" si="176"/>
        <v>0</v>
      </c>
      <c r="AL222" s="35"/>
      <c r="AM222" s="93">
        <f t="shared" si="177"/>
        <v>0</v>
      </c>
      <c r="AN222" s="305"/>
      <c r="AO222" s="35"/>
      <c r="AP222" s="35"/>
      <c r="AQ222" s="35"/>
    </row>
    <row r="223" spans="1:43" ht="15.75" hidden="1" customHeight="1" x14ac:dyDescent="0.3">
      <c r="A223" s="46" t="s">
        <v>569</v>
      </c>
      <c r="B223" s="381" t="s">
        <v>570</v>
      </c>
      <c r="C223" s="99"/>
      <c r="D223" s="20">
        <f t="shared" si="174"/>
        <v>0</v>
      </c>
      <c r="E223" s="98">
        <f t="shared" si="172"/>
        <v>0</v>
      </c>
      <c r="F223" s="21">
        <f t="shared" si="173"/>
        <v>0</v>
      </c>
      <c r="G223" s="341"/>
      <c r="H223" s="341"/>
      <c r="I223" s="341"/>
      <c r="J223" s="341"/>
      <c r="K223" s="341"/>
      <c r="L223" s="1"/>
      <c r="M223" s="341"/>
      <c r="N223" s="341"/>
      <c r="O223" s="341"/>
      <c r="P223" s="341"/>
      <c r="Q223" s="1"/>
      <c r="R223" s="1"/>
      <c r="S223" s="1"/>
      <c r="T223" s="1"/>
      <c r="U223" s="1"/>
      <c r="V223" s="1"/>
      <c r="W223" s="1"/>
      <c r="X223" s="1"/>
      <c r="Y223" s="1"/>
      <c r="Z223" s="26"/>
      <c r="AA223" s="1"/>
      <c r="AB223" s="1"/>
      <c r="AC223" s="1"/>
      <c r="AD223" s="1"/>
      <c r="AE223" s="1"/>
      <c r="AF223" s="2">
        <f t="shared" si="175"/>
        <v>0</v>
      </c>
      <c r="AG223" s="339"/>
      <c r="AH223" s="13"/>
      <c r="AI223" s="35"/>
      <c r="AJ223" s="35"/>
      <c r="AK223" s="34">
        <f t="shared" si="176"/>
        <v>0</v>
      </c>
      <c r="AL223" s="35"/>
      <c r="AM223" s="93">
        <f t="shared" si="177"/>
        <v>0</v>
      </c>
      <c r="AN223" s="305"/>
      <c r="AO223" s="35"/>
      <c r="AP223" s="35"/>
      <c r="AQ223" s="35"/>
    </row>
    <row r="224" spans="1:43" ht="15.75" hidden="1" customHeight="1" x14ac:dyDescent="0.3">
      <c r="A224" s="46" t="s">
        <v>627</v>
      </c>
      <c r="B224" s="381" t="s">
        <v>628</v>
      </c>
      <c r="C224" s="99"/>
      <c r="D224" s="20">
        <f t="shared" si="174"/>
        <v>0</v>
      </c>
      <c r="E224" s="98">
        <f t="shared" si="172"/>
        <v>0</v>
      </c>
      <c r="F224" s="21">
        <f t="shared" si="173"/>
        <v>0</v>
      </c>
      <c r="G224" s="341"/>
      <c r="H224" s="341"/>
      <c r="I224" s="341"/>
      <c r="J224" s="341"/>
      <c r="K224" s="341"/>
      <c r="L224" s="1"/>
      <c r="M224" s="341"/>
      <c r="N224" s="341"/>
      <c r="O224" s="341"/>
      <c r="P224" s="341"/>
      <c r="Q224" s="1"/>
      <c r="R224" s="1"/>
      <c r="S224" s="1"/>
      <c r="T224" s="1"/>
      <c r="U224" s="1"/>
      <c r="V224" s="1"/>
      <c r="W224" s="1"/>
      <c r="X224" s="1"/>
      <c r="Y224" s="1"/>
      <c r="Z224" s="26"/>
      <c r="AA224" s="1"/>
      <c r="AB224" s="1"/>
      <c r="AC224" s="1"/>
      <c r="AD224" s="1"/>
      <c r="AE224" s="1"/>
      <c r="AF224" s="2">
        <f t="shared" si="175"/>
        <v>0</v>
      </c>
      <c r="AG224" s="339"/>
      <c r="AH224" s="13"/>
      <c r="AI224" s="35"/>
      <c r="AJ224" s="35"/>
      <c r="AK224" s="34">
        <f t="shared" si="176"/>
        <v>0</v>
      </c>
      <c r="AL224" s="35"/>
      <c r="AM224" s="93">
        <f t="shared" si="177"/>
        <v>0</v>
      </c>
      <c r="AN224" s="305"/>
      <c r="AO224" s="35"/>
      <c r="AP224" s="35"/>
      <c r="AQ224" s="35"/>
    </row>
    <row r="225" spans="1:43" ht="15.75" hidden="1" customHeight="1" x14ac:dyDescent="0.3">
      <c r="A225" s="46" t="s">
        <v>524</v>
      </c>
      <c r="B225" s="381" t="s">
        <v>525</v>
      </c>
      <c r="C225" s="99"/>
      <c r="D225" s="20">
        <f t="shared" si="174"/>
        <v>0</v>
      </c>
      <c r="E225" s="98">
        <f t="shared" si="172"/>
        <v>0</v>
      </c>
      <c r="F225" s="21">
        <f t="shared" si="173"/>
        <v>0</v>
      </c>
      <c r="G225" s="341"/>
      <c r="H225" s="341"/>
      <c r="I225" s="341"/>
      <c r="J225" s="341"/>
      <c r="K225" s="341"/>
      <c r="L225" s="1"/>
      <c r="M225" s="341"/>
      <c r="N225" s="341"/>
      <c r="O225" s="341"/>
      <c r="P225" s="341"/>
      <c r="Q225" s="1"/>
      <c r="R225" s="1"/>
      <c r="S225" s="1"/>
      <c r="T225" s="1"/>
      <c r="U225" s="1"/>
      <c r="V225" s="1"/>
      <c r="W225" s="1"/>
      <c r="X225" s="1"/>
      <c r="Y225" s="1"/>
      <c r="Z225" s="26"/>
      <c r="AA225" s="1"/>
      <c r="AB225" s="1"/>
      <c r="AC225" s="1"/>
      <c r="AD225" s="1"/>
      <c r="AE225" s="1"/>
      <c r="AF225" s="2">
        <f t="shared" si="175"/>
        <v>0</v>
      </c>
      <c r="AG225" s="339"/>
      <c r="AH225" s="13"/>
      <c r="AI225" s="35"/>
      <c r="AJ225" s="35"/>
      <c r="AK225" s="34">
        <f t="shared" si="176"/>
        <v>0</v>
      </c>
      <c r="AL225" s="35"/>
      <c r="AM225" s="93">
        <f t="shared" si="177"/>
        <v>0</v>
      </c>
      <c r="AN225" s="305"/>
      <c r="AO225" s="35"/>
      <c r="AP225" s="35"/>
      <c r="AQ225" s="35"/>
    </row>
    <row r="226" spans="1:43" ht="15.75" customHeight="1" x14ac:dyDescent="0.3">
      <c r="A226" s="46" t="s">
        <v>650</v>
      </c>
      <c r="B226" s="381" t="s">
        <v>651</v>
      </c>
      <c r="C226" s="99"/>
      <c r="D226" s="20">
        <f t="shared" si="174"/>
        <v>390000000</v>
      </c>
      <c r="E226" s="98">
        <f t="shared" si="172"/>
        <v>390000000</v>
      </c>
      <c r="F226" s="21">
        <f t="shared" si="173"/>
        <v>0</v>
      </c>
      <c r="G226" s="341"/>
      <c r="H226" s="341"/>
      <c r="I226" s="341"/>
      <c r="J226" s="341"/>
      <c r="K226" s="341"/>
      <c r="L226" s="1"/>
      <c r="M226" s="341"/>
      <c r="N226" s="341"/>
      <c r="O226" s="341"/>
      <c r="P226" s="341"/>
      <c r="Q226" s="1"/>
      <c r="R226" s="1"/>
      <c r="S226" s="1"/>
      <c r="T226" s="1"/>
      <c r="U226" s="1"/>
      <c r="V226" s="1"/>
      <c r="W226" s="1"/>
      <c r="X226" s="1"/>
      <c r="Y226" s="1"/>
      <c r="Z226" s="26"/>
      <c r="AA226" s="1"/>
      <c r="AB226" s="1"/>
      <c r="AC226" s="1"/>
      <c r="AD226" s="1"/>
      <c r="AE226" s="1"/>
      <c r="AF226" s="2">
        <f t="shared" si="175"/>
        <v>390000000</v>
      </c>
      <c r="AG226" s="339"/>
      <c r="AH226" s="13">
        <v>390000000</v>
      </c>
      <c r="AI226" s="35"/>
      <c r="AJ226" s="35"/>
      <c r="AK226" s="34"/>
      <c r="AL226" s="35"/>
      <c r="AM226" s="34"/>
      <c r="AN226" s="305"/>
      <c r="AO226" s="35"/>
      <c r="AP226" s="35"/>
      <c r="AQ226" s="35"/>
    </row>
    <row r="227" spans="1:43" ht="15.75" hidden="1" customHeight="1" x14ac:dyDescent="0.3">
      <c r="A227" s="46" t="s">
        <v>652</v>
      </c>
      <c r="B227" s="381" t="s">
        <v>653</v>
      </c>
      <c r="C227" s="99"/>
      <c r="D227" s="20">
        <f t="shared" si="174"/>
        <v>0</v>
      </c>
      <c r="E227" s="98">
        <f t="shared" si="172"/>
        <v>0</v>
      </c>
      <c r="F227" s="21"/>
      <c r="G227" s="341"/>
      <c r="H227" s="341"/>
      <c r="I227" s="341"/>
      <c r="J227" s="341"/>
      <c r="K227" s="341"/>
      <c r="L227" s="1"/>
      <c r="M227" s="341"/>
      <c r="N227" s="341"/>
      <c r="O227" s="341"/>
      <c r="P227" s="341"/>
      <c r="Q227" s="1"/>
      <c r="R227" s="1"/>
      <c r="S227" s="1"/>
      <c r="T227" s="1"/>
      <c r="U227" s="1"/>
      <c r="V227" s="1"/>
      <c r="W227" s="1"/>
      <c r="X227" s="1"/>
      <c r="Y227" s="1"/>
      <c r="Z227" s="26"/>
      <c r="AA227" s="1"/>
      <c r="AB227" s="1"/>
      <c r="AC227" s="1"/>
      <c r="AD227" s="1"/>
      <c r="AE227" s="1"/>
      <c r="AF227" s="2">
        <f t="shared" si="175"/>
        <v>0</v>
      </c>
      <c r="AG227" s="339"/>
      <c r="AH227" s="13"/>
      <c r="AI227" s="35"/>
      <c r="AJ227" s="35"/>
      <c r="AK227" s="34"/>
      <c r="AL227" s="35"/>
      <c r="AM227" s="34"/>
      <c r="AN227" s="305"/>
      <c r="AO227" s="35"/>
      <c r="AP227" s="35"/>
      <c r="AQ227" s="35"/>
    </row>
    <row r="228" spans="1:43" ht="15.75" hidden="1" customHeight="1" x14ac:dyDescent="0.3">
      <c r="A228" s="160"/>
      <c r="B228" s="210" t="s">
        <v>654</v>
      </c>
      <c r="C228" s="211"/>
      <c r="D228" s="125">
        <f t="shared" si="174"/>
        <v>0</v>
      </c>
      <c r="E228" s="98">
        <f t="shared" si="172"/>
        <v>0</v>
      </c>
      <c r="F228" s="234"/>
      <c r="G228" s="359"/>
      <c r="H228" s="359"/>
      <c r="I228" s="359"/>
      <c r="J228" s="359"/>
      <c r="K228" s="359"/>
      <c r="L228" s="360"/>
      <c r="M228" s="359"/>
      <c r="N228" s="359"/>
      <c r="O228" s="359"/>
      <c r="P228" s="359"/>
      <c r="Q228" s="360"/>
      <c r="R228" s="360"/>
      <c r="S228" s="360"/>
      <c r="T228" s="360"/>
      <c r="U228" s="360"/>
      <c r="V228" s="360"/>
      <c r="W228" s="360"/>
      <c r="X228" s="360"/>
      <c r="Y228" s="360"/>
      <c r="Z228" s="235"/>
      <c r="AA228" s="360"/>
      <c r="AB228" s="360"/>
      <c r="AC228" s="360"/>
      <c r="AD228" s="360"/>
      <c r="AE228" s="360"/>
      <c r="AF228" s="361">
        <f t="shared" si="175"/>
        <v>0</v>
      </c>
      <c r="AG228" s="348"/>
      <c r="AH228" s="323"/>
      <c r="AI228" s="131"/>
      <c r="AJ228" s="131"/>
      <c r="AK228" s="126"/>
      <c r="AL228" s="131"/>
      <c r="AM228" s="126"/>
      <c r="AN228" s="305"/>
      <c r="AO228" s="35"/>
      <c r="AP228" s="35"/>
      <c r="AQ228" s="35"/>
    </row>
    <row r="229" spans="1:43" ht="15.75" hidden="1" customHeight="1" x14ac:dyDescent="0.3">
      <c r="A229" s="46"/>
      <c r="B229" s="381" t="s">
        <v>655</v>
      </c>
      <c r="C229" s="99"/>
      <c r="D229" s="20">
        <f t="shared" si="174"/>
        <v>0</v>
      </c>
      <c r="E229" s="98">
        <f t="shared" si="172"/>
        <v>0</v>
      </c>
      <c r="F229" s="21"/>
      <c r="G229" s="341"/>
      <c r="H229" s="341"/>
      <c r="I229" s="341"/>
      <c r="J229" s="341"/>
      <c r="K229" s="341"/>
      <c r="L229" s="1"/>
      <c r="M229" s="341"/>
      <c r="N229" s="341"/>
      <c r="O229" s="341"/>
      <c r="P229" s="341"/>
      <c r="Q229" s="1"/>
      <c r="R229" s="1"/>
      <c r="S229" s="1"/>
      <c r="T229" s="1"/>
      <c r="U229" s="1"/>
      <c r="V229" s="1"/>
      <c r="W229" s="1"/>
      <c r="X229" s="1"/>
      <c r="Y229" s="1"/>
      <c r="Z229" s="26"/>
      <c r="AA229" s="1"/>
      <c r="AB229" s="1"/>
      <c r="AC229" s="1"/>
      <c r="AD229" s="1"/>
      <c r="AE229" s="1"/>
      <c r="AF229" s="2">
        <f t="shared" si="175"/>
        <v>0</v>
      </c>
      <c r="AG229" s="339"/>
      <c r="AH229" s="13"/>
      <c r="AI229" s="35"/>
      <c r="AJ229" s="35"/>
      <c r="AK229" s="34"/>
      <c r="AL229" s="35"/>
      <c r="AM229" s="34"/>
      <c r="AN229" s="305"/>
      <c r="AO229" s="35"/>
      <c r="AP229" s="35"/>
      <c r="AQ229" s="35"/>
    </row>
    <row r="230" spans="1:43" ht="15.75" customHeight="1" x14ac:dyDescent="0.3">
      <c r="A230" s="46"/>
      <c r="B230" s="381" t="s">
        <v>662</v>
      </c>
      <c r="C230" s="99"/>
      <c r="D230" s="20">
        <f t="shared" si="174"/>
        <v>600500000</v>
      </c>
      <c r="E230" s="98">
        <f t="shared" si="172"/>
        <v>600500000</v>
      </c>
      <c r="F230" s="21"/>
      <c r="G230" s="341"/>
      <c r="H230" s="341"/>
      <c r="I230" s="341"/>
      <c r="J230" s="341"/>
      <c r="K230" s="341"/>
      <c r="L230" s="1"/>
      <c r="M230" s="341"/>
      <c r="N230" s="341"/>
      <c r="O230" s="341"/>
      <c r="P230" s="341"/>
      <c r="Q230" s="1"/>
      <c r="R230" s="1"/>
      <c r="S230" s="1"/>
      <c r="T230" s="1"/>
      <c r="U230" s="1"/>
      <c r="V230" s="1"/>
      <c r="W230" s="1"/>
      <c r="X230" s="1"/>
      <c r="Y230" s="1"/>
      <c r="Z230" s="26"/>
      <c r="AA230" s="1"/>
      <c r="AB230" s="1"/>
      <c r="AC230" s="1"/>
      <c r="AD230" s="1"/>
      <c r="AE230" s="1"/>
      <c r="AF230" s="2">
        <f t="shared" si="175"/>
        <v>600500000</v>
      </c>
      <c r="AG230" s="339"/>
      <c r="AH230" s="13">
        <v>600500000</v>
      </c>
      <c r="AI230" s="35"/>
      <c r="AJ230" s="35"/>
      <c r="AK230" s="34"/>
      <c r="AL230" s="35"/>
      <c r="AM230" s="34"/>
      <c r="AN230" s="305"/>
      <c r="AO230" s="35"/>
      <c r="AP230" s="35"/>
      <c r="AQ230" s="35"/>
    </row>
    <row r="231" spans="1:43" ht="15.75" hidden="1" customHeight="1" x14ac:dyDescent="0.3">
      <c r="A231" s="46"/>
      <c r="B231" s="381"/>
      <c r="C231" s="99"/>
      <c r="D231" s="20"/>
      <c r="E231" s="98">
        <f t="shared" si="172"/>
        <v>0</v>
      </c>
      <c r="F231" s="21"/>
      <c r="G231" s="341"/>
      <c r="H231" s="341"/>
      <c r="I231" s="341"/>
      <c r="J231" s="341"/>
      <c r="K231" s="341"/>
      <c r="L231" s="1"/>
      <c r="M231" s="341"/>
      <c r="N231" s="341"/>
      <c r="O231" s="341"/>
      <c r="P231" s="341"/>
      <c r="Q231" s="1"/>
      <c r="R231" s="1"/>
      <c r="S231" s="1"/>
      <c r="T231" s="1"/>
      <c r="U231" s="1"/>
      <c r="V231" s="1"/>
      <c r="W231" s="1"/>
      <c r="X231" s="1"/>
      <c r="Y231" s="1"/>
      <c r="Z231" s="26"/>
      <c r="AA231" s="1"/>
      <c r="AB231" s="1"/>
      <c r="AC231" s="1"/>
      <c r="AD231" s="1"/>
      <c r="AE231" s="1"/>
      <c r="AF231" s="2"/>
      <c r="AG231" s="339"/>
      <c r="AH231" s="13"/>
      <c r="AI231" s="35"/>
      <c r="AJ231" s="35"/>
      <c r="AK231" s="34"/>
      <c r="AL231" s="35"/>
      <c r="AM231" s="34"/>
      <c r="AN231" s="305"/>
      <c r="AO231" s="35"/>
      <c r="AP231" s="35"/>
      <c r="AQ231" s="35"/>
    </row>
    <row r="232" spans="1:43" ht="15.75" customHeight="1" x14ac:dyDescent="0.3">
      <c r="A232" s="46" t="s">
        <v>306</v>
      </c>
      <c r="B232" s="1903" t="s">
        <v>307</v>
      </c>
      <c r="C232" s="1917"/>
      <c r="D232" s="20">
        <f>+F232+Z232+AF232+AK232</f>
        <v>10000000</v>
      </c>
      <c r="E232" s="98">
        <f t="shared" si="172"/>
        <v>10000000</v>
      </c>
      <c r="F232" s="21">
        <f>SUM(G232:Y232)</f>
        <v>0</v>
      </c>
      <c r="G232" s="341"/>
      <c r="H232" s="341"/>
      <c r="I232" s="341"/>
      <c r="J232" s="341"/>
      <c r="K232" s="341"/>
      <c r="L232" s="1">
        <v>0</v>
      </c>
      <c r="M232" s="341"/>
      <c r="N232" s="341"/>
      <c r="O232" s="341"/>
      <c r="P232" s="341"/>
      <c r="Q232" s="1"/>
      <c r="R232" s="1"/>
      <c r="S232" s="1"/>
      <c r="T232" s="1"/>
      <c r="U232" s="1"/>
      <c r="V232" s="1"/>
      <c r="W232" s="1"/>
      <c r="X232" s="1"/>
      <c r="Y232" s="1"/>
      <c r="Z232" s="10">
        <f>SUM(AA232:AE232)</f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2">
        <f t="shared" si="175"/>
        <v>10000000</v>
      </c>
      <c r="AG232" s="339"/>
      <c r="AH232" s="13"/>
      <c r="AI232" s="35">
        <v>0</v>
      </c>
      <c r="AJ232" s="35">
        <v>10000000</v>
      </c>
      <c r="AK232" s="34">
        <f t="shared" si="176"/>
        <v>0</v>
      </c>
      <c r="AL232" s="35">
        <v>0</v>
      </c>
      <c r="AM232" s="93">
        <f t="shared" si="177"/>
        <v>0</v>
      </c>
      <c r="AN232" s="305">
        <v>0</v>
      </c>
      <c r="AO232" s="35">
        <v>0</v>
      </c>
      <c r="AP232" s="35">
        <v>0</v>
      </c>
      <c r="AQ232" s="35">
        <v>0</v>
      </c>
    </row>
    <row r="233" spans="1:43" ht="15.75" customHeight="1" x14ac:dyDescent="0.3">
      <c r="A233" s="46"/>
      <c r="B233" s="381"/>
      <c r="C233" s="216"/>
      <c r="D233" s="20"/>
      <c r="E233" s="98"/>
      <c r="F233" s="21"/>
      <c r="G233" s="341"/>
      <c r="H233" s="341"/>
      <c r="I233" s="341"/>
      <c r="J233" s="341"/>
      <c r="K233" s="341"/>
      <c r="L233" s="1"/>
      <c r="M233" s="341"/>
      <c r="N233" s="341"/>
      <c r="O233" s="341"/>
      <c r="P233" s="341"/>
      <c r="Q233" s="1"/>
      <c r="R233" s="1"/>
      <c r="S233" s="1"/>
      <c r="T233" s="1"/>
      <c r="U233" s="1"/>
      <c r="V233" s="1"/>
      <c r="W233" s="1"/>
      <c r="X233" s="1"/>
      <c r="Y233" s="1"/>
      <c r="Z233" s="26"/>
      <c r="AA233" s="1"/>
      <c r="AB233" s="1"/>
      <c r="AC233" s="1"/>
      <c r="AD233" s="1"/>
      <c r="AE233" s="1"/>
      <c r="AF233" s="2" t="s">
        <v>0</v>
      </c>
      <c r="AG233" s="339"/>
      <c r="AH233" s="13"/>
      <c r="AI233" s="13"/>
      <c r="AJ233" s="13"/>
      <c r="AK233" s="34"/>
      <c r="AL233" s="13"/>
      <c r="AM233" s="115"/>
      <c r="AN233" s="309"/>
      <c r="AO233" s="13"/>
      <c r="AP233" s="13"/>
      <c r="AQ233" s="13"/>
    </row>
    <row r="234" spans="1:43" ht="15" customHeight="1" x14ac:dyDescent="0.3">
      <c r="A234" s="40" t="s">
        <v>308</v>
      </c>
      <c r="B234" s="1912" t="s">
        <v>309</v>
      </c>
      <c r="C234" s="1919"/>
      <c r="D234" s="21">
        <f>SUM(D235:D237)</f>
        <v>1780000000</v>
      </c>
      <c r="E234" s="71">
        <f>SUM(E235)</f>
        <v>1780000000</v>
      </c>
      <c r="F234" s="21">
        <f>SUM(G234:Y234)</f>
        <v>0</v>
      </c>
      <c r="G234" s="23">
        <f t="shared" ref="G234:Z234" si="178">SUM(G235:G237)</f>
        <v>0</v>
      </c>
      <c r="H234" s="23">
        <f t="shared" si="178"/>
        <v>0</v>
      </c>
      <c r="I234" s="23">
        <f t="shared" si="178"/>
        <v>0</v>
      </c>
      <c r="J234" s="23">
        <f t="shared" si="178"/>
        <v>0</v>
      </c>
      <c r="K234" s="23">
        <f t="shared" si="178"/>
        <v>0</v>
      </c>
      <c r="L234" s="23">
        <f t="shared" si="178"/>
        <v>0</v>
      </c>
      <c r="M234" s="23">
        <f t="shared" si="178"/>
        <v>0</v>
      </c>
      <c r="N234" s="23">
        <f t="shared" si="178"/>
        <v>0</v>
      </c>
      <c r="O234" s="23">
        <f t="shared" si="178"/>
        <v>0</v>
      </c>
      <c r="P234" s="23">
        <f t="shared" si="178"/>
        <v>0</v>
      </c>
      <c r="Q234" s="23">
        <f t="shared" si="178"/>
        <v>0</v>
      </c>
      <c r="R234" s="23">
        <f t="shared" si="178"/>
        <v>0</v>
      </c>
      <c r="S234" s="23">
        <f t="shared" si="178"/>
        <v>0</v>
      </c>
      <c r="T234" s="23">
        <f>SUM(T235:T237)</f>
        <v>0</v>
      </c>
      <c r="U234" s="23">
        <f t="shared" si="178"/>
        <v>0</v>
      </c>
      <c r="V234" s="23">
        <f>SUM(V235:V237)</f>
        <v>0</v>
      </c>
      <c r="W234" s="23">
        <f>SUM(W235:W237)</f>
        <v>0</v>
      </c>
      <c r="X234" s="23">
        <f>SUM(X235:X237)</f>
        <v>0</v>
      </c>
      <c r="Y234" s="23">
        <f t="shared" si="178"/>
        <v>0</v>
      </c>
      <c r="Z234" s="23">
        <f t="shared" si="178"/>
        <v>0</v>
      </c>
      <c r="AA234" s="23">
        <f>SUM(AA235:AA237)</f>
        <v>0</v>
      </c>
      <c r="AB234" s="23">
        <f>SUM(AB235:AB237)</f>
        <v>0</v>
      </c>
      <c r="AC234" s="23">
        <f>SUM(AC235:AC237)</f>
        <v>0</v>
      </c>
      <c r="AD234" s="23">
        <f>SUM(AD235:AD237)</f>
        <v>0</v>
      </c>
      <c r="AE234" s="23">
        <f>SUM(AE235:AE237)</f>
        <v>0</v>
      </c>
      <c r="AF234" s="2">
        <f>SUM(AF235:AF236)</f>
        <v>1780000000</v>
      </c>
      <c r="AG234" s="345">
        <f t="shared" ref="AG234:AQ234" si="179">SUM(AG235:AG237)</f>
        <v>0</v>
      </c>
      <c r="AH234" s="33">
        <f t="shared" si="179"/>
        <v>0</v>
      </c>
      <c r="AI234" s="33">
        <f t="shared" si="179"/>
        <v>0</v>
      </c>
      <c r="AJ234" s="33">
        <f t="shared" si="179"/>
        <v>1780000000</v>
      </c>
      <c r="AK234" s="34">
        <f t="shared" si="179"/>
        <v>0</v>
      </c>
      <c r="AL234" s="35">
        <f t="shared" si="179"/>
        <v>0</v>
      </c>
      <c r="AM234" s="34">
        <f t="shared" si="179"/>
        <v>0</v>
      </c>
      <c r="AN234" s="305">
        <f>SUM(AN235:AN237)</f>
        <v>0</v>
      </c>
      <c r="AO234" s="35">
        <f t="shared" si="179"/>
        <v>0</v>
      </c>
      <c r="AP234" s="35">
        <f t="shared" si="179"/>
        <v>0</v>
      </c>
      <c r="AQ234" s="35">
        <f t="shared" si="179"/>
        <v>0</v>
      </c>
    </row>
    <row r="235" spans="1:43" ht="15.75" customHeight="1" x14ac:dyDescent="0.3">
      <c r="A235" s="46" t="s">
        <v>310</v>
      </c>
      <c r="B235" s="1903" t="s">
        <v>311</v>
      </c>
      <c r="C235" s="1904"/>
      <c r="D235" s="20">
        <f>+F235+Z235+AF235+AK235</f>
        <v>1780000000</v>
      </c>
      <c r="E235" s="98">
        <f t="shared" ref="E235" si="180">SUM(G235+H235+I235+J235+K235+L235+M235+N235+O235+P235+Q235+R235+S235+T235+U235+V235+W235+X235+Y235+AA235+AB235+AC235+AD235+AE235+AG235+AH235+AI235+AJ235+AL235+AN235+AO235+AP235+AQ235)</f>
        <v>1780000000</v>
      </c>
      <c r="F235" s="21">
        <f>SUM(G235:Y235)</f>
        <v>0</v>
      </c>
      <c r="G235" s="341"/>
      <c r="H235" s="341"/>
      <c r="I235" s="341"/>
      <c r="J235" s="341"/>
      <c r="K235" s="341"/>
      <c r="L235" s="1"/>
      <c r="M235" s="341"/>
      <c r="N235" s="341"/>
      <c r="O235" s="341"/>
      <c r="P235" s="341"/>
      <c r="Q235" s="1"/>
      <c r="R235" s="1"/>
      <c r="S235" s="1"/>
      <c r="T235" s="1"/>
      <c r="U235" s="1"/>
      <c r="V235" s="1"/>
      <c r="W235" s="1"/>
      <c r="X235" s="1"/>
      <c r="Y235" s="1"/>
      <c r="Z235" s="10">
        <f>SUM(AA235:AE235)</f>
        <v>0</v>
      </c>
      <c r="AA235" s="1"/>
      <c r="AB235" s="1"/>
      <c r="AC235" s="1"/>
      <c r="AD235" s="1"/>
      <c r="AE235" s="1"/>
      <c r="AF235" s="2">
        <f>SUM(AG235:AJ235)</f>
        <v>1780000000</v>
      </c>
      <c r="AG235" s="339"/>
      <c r="AH235" s="13"/>
      <c r="AI235" s="35">
        <v>0</v>
      </c>
      <c r="AJ235" s="35">
        <v>1780000000</v>
      </c>
      <c r="AK235" s="34">
        <f>SUM(AL235+AM235)</f>
        <v>0</v>
      </c>
      <c r="AL235" s="35">
        <v>0</v>
      </c>
      <c r="AM235" s="93">
        <f>SUM(AN235:AQ235)</f>
        <v>0</v>
      </c>
      <c r="AN235" s="305">
        <v>0</v>
      </c>
      <c r="AO235" s="35">
        <v>0</v>
      </c>
      <c r="AP235" s="35">
        <v>0</v>
      </c>
      <c r="AQ235" s="35">
        <v>0</v>
      </c>
    </row>
    <row r="236" spans="1:43" ht="15.75" hidden="1" customHeight="1" x14ac:dyDescent="0.3">
      <c r="A236" s="46" t="s">
        <v>312</v>
      </c>
      <c r="B236" s="1903" t="s">
        <v>313</v>
      </c>
      <c r="C236" s="1904"/>
      <c r="D236" s="20">
        <f>+F236+Z236+AF236+AK236</f>
        <v>0</v>
      </c>
      <c r="E236" s="98">
        <f>SUM(F236+Z236+AF236+AK236)</f>
        <v>0</v>
      </c>
      <c r="F236" s="21">
        <f>SUM(G236:Y236)</f>
        <v>0</v>
      </c>
      <c r="G236" s="341"/>
      <c r="H236" s="341"/>
      <c r="I236" s="341"/>
      <c r="J236" s="341"/>
      <c r="K236" s="341"/>
      <c r="L236" s="1"/>
      <c r="M236" s="341"/>
      <c r="N236" s="341"/>
      <c r="O236" s="341"/>
      <c r="P236" s="341"/>
      <c r="Q236" s="1"/>
      <c r="R236" s="1"/>
      <c r="S236" s="1"/>
      <c r="T236" s="1"/>
      <c r="U236" s="1"/>
      <c r="V236" s="1"/>
      <c r="W236" s="1"/>
      <c r="X236" s="1"/>
      <c r="Y236" s="1"/>
      <c r="Z236" s="10">
        <f>SUM(AA236:AE236)</f>
        <v>0</v>
      </c>
      <c r="AA236" s="1"/>
      <c r="AB236" s="1"/>
      <c r="AC236" s="1"/>
      <c r="AD236" s="1"/>
      <c r="AE236" s="1"/>
      <c r="AF236" s="2">
        <f>SUM(AG236:AJ236)</f>
        <v>0</v>
      </c>
      <c r="AG236" s="339"/>
      <c r="AH236" s="13">
        <v>0</v>
      </c>
      <c r="AI236" s="35">
        <v>0</v>
      </c>
      <c r="AJ236" s="35">
        <v>0</v>
      </c>
      <c r="AK236" s="34">
        <f>SUM(AL236+AM236)</f>
        <v>0</v>
      </c>
      <c r="AL236" s="35">
        <v>0</v>
      </c>
      <c r="AM236" s="93">
        <f>SUM(AN236:AQ236)</f>
        <v>0</v>
      </c>
      <c r="AN236" s="305">
        <v>0</v>
      </c>
      <c r="AO236" s="35">
        <v>0</v>
      </c>
      <c r="AP236" s="35">
        <v>0</v>
      </c>
      <c r="AQ236" s="35">
        <v>0</v>
      </c>
    </row>
    <row r="237" spans="1:43" ht="15.75" hidden="1" customHeight="1" x14ac:dyDescent="0.3">
      <c r="A237" s="46" t="s">
        <v>314</v>
      </c>
      <c r="B237" s="1903" t="s">
        <v>315</v>
      </c>
      <c r="C237" s="1904"/>
      <c r="D237" s="20">
        <f>+F237+Z237+AF237+AK237</f>
        <v>0</v>
      </c>
      <c r="E237" s="98">
        <f>SUM(F237+Z237+AF237+AK237)</f>
        <v>0</v>
      </c>
      <c r="F237" s="21">
        <f>SUM(G237:Y237)</f>
        <v>0</v>
      </c>
      <c r="G237" s="341"/>
      <c r="H237" s="341"/>
      <c r="I237" s="341"/>
      <c r="J237" s="341"/>
      <c r="K237" s="341"/>
      <c r="L237" s="1"/>
      <c r="M237" s="341"/>
      <c r="N237" s="341"/>
      <c r="O237" s="341"/>
      <c r="P237" s="341"/>
      <c r="Q237" s="1"/>
      <c r="R237" s="1"/>
      <c r="S237" s="1"/>
      <c r="T237" s="1"/>
      <c r="U237" s="1"/>
      <c r="V237" s="1"/>
      <c r="W237" s="1"/>
      <c r="X237" s="1"/>
      <c r="Y237" s="1"/>
      <c r="Z237" s="26"/>
      <c r="AA237" s="1"/>
      <c r="AB237" s="1"/>
      <c r="AC237" s="1"/>
      <c r="AD237" s="1"/>
      <c r="AE237" s="1"/>
      <c r="AF237" s="2">
        <f>SUM(AG237:AI237)</f>
        <v>0</v>
      </c>
      <c r="AG237" s="339"/>
      <c r="AH237" s="13">
        <v>0</v>
      </c>
      <c r="AI237" s="35">
        <v>0</v>
      </c>
      <c r="AJ237" s="35">
        <v>0</v>
      </c>
      <c r="AK237" s="34">
        <v>0</v>
      </c>
      <c r="AL237" s="35">
        <v>0</v>
      </c>
      <c r="AM237" s="34">
        <v>0</v>
      </c>
      <c r="AN237" s="305">
        <v>0</v>
      </c>
      <c r="AO237" s="35">
        <v>0</v>
      </c>
      <c r="AP237" s="35">
        <v>0</v>
      </c>
      <c r="AQ237" s="35">
        <v>0</v>
      </c>
    </row>
    <row r="238" spans="1:43" ht="15.75" customHeight="1" thickBot="1" x14ac:dyDescent="0.35">
      <c r="A238" s="229"/>
      <c r="B238" s="430"/>
      <c r="C238" s="431"/>
      <c r="D238" s="419"/>
      <c r="E238" s="420"/>
      <c r="F238" s="282"/>
      <c r="G238" s="230"/>
      <c r="H238" s="230"/>
      <c r="I238" s="230"/>
      <c r="J238" s="230"/>
      <c r="K238" s="230"/>
      <c r="L238" s="421"/>
      <c r="M238" s="230"/>
      <c r="N238" s="230"/>
      <c r="O238" s="230"/>
      <c r="P238" s="230"/>
      <c r="Q238" s="421"/>
      <c r="R238" s="421"/>
      <c r="S238" s="421"/>
      <c r="T238" s="421"/>
      <c r="U238" s="421"/>
      <c r="V238" s="421"/>
      <c r="W238" s="421"/>
      <c r="X238" s="421"/>
      <c r="Y238" s="421"/>
      <c r="Z238" s="432"/>
      <c r="AA238" s="421"/>
      <c r="AB238" s="421"/>
      <c r="AC238" s="421"/>
      <c r="AD238" s="421"/>
      <c r="AE238" s="421"/>
      <c r="AF238" s="369"/>
      <c r="AG238" s="433"/>
      <c r="AH238" s="434"/>
      <c r="AI238" s="424"/>
      <c r="AJ238" s="424"/>
      <c r="AK238" s="238"/>
      <c r="AL238" s="424"/>
      <c r="AM238" s="238"/>
      <c r="AN238" s="305"/>
      <c r="AO238" s="35"/>
      <c r="AP238" s="35"/>
      <c r="AQ238" s="35"/>
    </row>
    <row r="239" spans="1:43" ht="15.75" customHeight="1" x14ac:dyDescent="0.3">
      <c r="A239" s="46"/>
      <c r="B239" s="381"/>
      <c r="C239" s="99"/>
      <c r="D239" s="20"/>
      <c r="E239" s="98"/>
      <c r="F239" s="21"/>
      <c r="G239" s="341"/>
      <c r="H239" s="341"/>
      <c r="I239" s="341"/>
      <c r="J239" s="341"/>
      <c r="K239" s="341"/>
      <c r="L239" s="1"/>
      <c r="M239" s="341"/>
      <c r="N239" s="341"/>
      <c r="O239" s="341"/>
      <c r="P239" s="341"/>
      <c r="Q239" s="1"/>
      <c r="R239" s="1"/>
      <c r="S239" s="1"/>
      <c r="T239" s="1"/>
      <c r="U239" s="1"/>
      <c r="V239" s="1"/>
      <c r="W239" s="1"/>
      <c r="X239" s="1"/>
      <c r="Y239" s="1"/>
      <c r="Z239" s="26"/>
      <c r="AA239" s="1"/>
      <c r="AB239" s="1"/>
      <c r="AC239" s="1"/>
      <c r="AD239" s="1"/>
      <c r="AE239" s="1"/>
      <c r="AF239" s="2"/>
      <c r="AG239" s="339"/>
      <c r="AH239" s="13"/>
      <c r="AI239" s="35"/>
      <c r="AJ239" s="35"/>
      <c r="AK239" s="34"/>
      <c r="AL239" s="35"/>
      <c r="AM239" s="34"/>
      <c r="AN239" s="305"/>
      <c r="AO239" s="35"/>
      <c r="AP239" s="35"/>
      <c r="AQ239" s="35"/>
    </row>
    <row r="240" spans="1:43" ht="15.75" customHeight="1" x14ac:dyDescent="0.3">
      <c r="A240" s="40" t="s">
        <v>316</v>
      </c>
      <c r="B240" s="1912" t="s">
        <v>317</v>
      </c>
      <c r="C240" s="1919"/>
      <c r="D240" s="21">
        <f>SUM(D241:D242)</f>
        <v>348800000</v>
      </c>
      <c r="E240" s="71">
        <f>SUM(E242)</f>
        <v>348800000</v>
      </c>
      <c r="F240" s="21">
        <f>SUM(G240:Y240)</f>
        <v>326900000</v>
      </c>
      <c r="G240" s="23">
        <f t="shared" ref="G240:Z240" si="181">SUM(G241:G242)</f>
        <v>0</v>
      </c>
      <c r="H240" s="23">
        <f t="shared" si="181"/>
        <v>0</v>
      </c>
      <c r="I240" s="23">
        <f t="shared" si="181"/>
        <v>300000</v>
      </c>
      <c r="J240" s="23">
        <f t="shared" si="181"/>
        <v>0</v>
      </c>
      <c r="K240" s="23">
        <f t="shared" si="181"/>
        <v>0</v>
      </c>
      <c r="L240" s="23">
        <f t="shared" si="181"/>
        <v>226000000</v>
      </c>
      <c r="M240" s="23">
        <f t="shared" si="181"/>
        <v>0</v>
      </c>
      <c r="N240" s="23">
        <f t="shared" si="181"/>
        <v>0</v>
      </c>
      <c r="O240" s="23">
        <f t="shared" si="181"/>
        <v>0</v>
      </c>
      <c r="P240" s="23">
        <f t="shared" si="181"/>
        <v>0</v>
      </c>
      <c r="Q240" s="23">
        <f t="shared" si="181"/>
        <v>0</v>
      </c>
      <c r="R240" s="23">
        <f t="shared" si="181"/>
        <v>0</v>
      </c>
      <c r="S240" s="23">
        <f t="shared" si="181"/>
        <v>0</v>
      </c>
      <c r="T240" s="23">
        <f>SUM(T241:T242)</f>
        <v>600000</v>
      </c>
      <c r="U240" s="23">
        <f t="shared" si="181"/>
        <v>0</v>
      </c>
      <c r="V240" s="23">
        <f>SUM(V241:V242)</f>
        <v>0</v>
      </c>
      <c r="W240" s="23">
        <f>SUM(W241:W242)</f>
        <v>100000000</v>
      </c>
      <c r="X240" s="23">
        <f>SUM(X241:X242)</f>
        <v>0</v>
      </c>
      <c r="Y240" s="23">
        <f t="shared" si="181"/>
        <v>0</v>
      </c>
      <c r="Z240" s="23">
        <f t="shared" si="181"/>
        <v>20000000</v>
      </c>
      <c r="AA240" s="23">
        <f>SUM(AA241:AA242)</f>
        <v>0</v>
      </c>
      <c r="AB240" s="23">
        <f>SUM(AB241:AB242)</f>
        <v>0</v>
      </c>
      <c r="AC240" s="23">
        <f>SUM(AC241:AC242)</f>
        <v>0</v>
      </c>
      <c r="AD240" s="23">
        <f>SUM(AD241:AD242)</f>
        <v>20000000</v>
      </c>
      <c r="AE240" s="23">
        <f>SUM(AE241:AE242)</f>
        <v>0</v>
      </c>
      <c r="AF240" s="2">
        <f>SUM(AF242)</f>
        <v>600000</v>
      </c>
      <c r="AG240" s="345">
        <f t="shared" ref="AG240:AQ240" si="182">SUM(AG241:AG242)</f>
        <v>0</v>
      </c>
      <c r="AH240" s="33">
        <f t="shared" si="182"/>
        <v>0</v>
      </c>
      <c r="AI240" s="33">
        <f t="shared" si="182"/>
        <v>0</v>
      </c>
      <c r="AJ240" s="33">
        <f t="shared" si="182"/>
        <v>600000</v>
      </c>
      <c r="AK240" s="34">
        <f t="shared" si="182"/>
        <v>1300000</v>
      </c>
      <c r="AL240" s="35">
        <f t="shared" si="182"/>
        <v>1300000</v>
      </c>
      <c r="AM240" s="34">
        <f t="shared" si="182"/>
        <v>0</v>
      </c>
      <c r="AN240" s="305">
        <f>SUM(AN241:AN242)</f>
        <v>0</v>
      </c>
      <c r="AO240" s="35">
        <f t="shared" si="182"/>
        <v>0</v>
      </c>
      <c r="AP240" s="35">
        <f t="shared" si="182"/>
        <v>0</v>
      </c>
      <c r="AQ240" s="35">
        <f t="shared" si="182"/>
        <v>0</v>
      </c>
    </row>
    <row r="241" spans="1:43" ht="15.75" hidden="1" customHeight="1" x14ac:dyDescent="0.3">
      <c r="A241" s="46" t="s">
        <v>466</v>
      </c>
      <c r="B241" s="1903" t="s">
        <v>318</v>
      </c>
      <c r="C241" s="1904"/>
      <c r="D241" s="20">
        <f>+F241+Z241+AF241+AK241</f>
        <v>0</v>
      </c>
      <c r="E241" s="98"/>
      <c r="F241" s="21">
        <f>SUM(G241:Y241)</f>
        <v>0</v>
      </c>
      <c r="G241" s="341"/>
      <c r="H241" s="341"/>
      <c r="I241" s="341"/>
      <c r="J241" s="341"/>
      <c r="K241" s="341"/>
      <c r="L241" s="1"/>
      <c r="M241" s="341"/>
      <c r="N241" s="341"/>
      <c r="O241" s="341"/>
      <c r="P241" s="341"/>
      <c r="Q241" s="1"/>
      <c r="R241" s="1"/>
      <c r="S241" s="1"/>
      <c r="T241" s="1"/>
      <c r="U241" s="1"/>
      <c r="V241" s="1"/>
      <c r="W241" s="1"/>
      <c r="X241" s="1"/>
      <c r="Y241" s="1"/>
      <c r="Z241" s="26"/>
      <c r="AA241" s="1"/>
      <c r="AB241" s="1"/>
      <c r="AC241" s="1"/>
      <c r="AD241" s="1"/>
      <c r="AE241" s="1"/>
      <c r="AF241" s="2">
        <f>SUM(AG241:AI241)</f>
        <v>0</v>
      </c>
      <c r="AG241" s="339">
        <v>0</v>
      </c>
      <c r="AH241" s="13">
        <v>0</v>
      </c>
      <c r="AI241" s="35">
        <v>0</v>
      </c>
      <c r="AJ241" s="35">
        <v>0</v>
      </c>
      <c r="AK241" s="34">
        <v>0</v>
      </c>
      <c r="AL241" s="35">
        <v>0</v>
      </c>
      <c r="AM241" s="34">
        <v>0</v>
      </c>
      <c r="AN241" s="305">
        <v>0</v>
      </c>
      <c r="AO241" s="35">
        <v>0</v>
      </c>
      <c r="AP241" s="35">
        <v>0</v>
      </c>
      <c r="AQ241" s="35">
        <v>0</v>
      </c>
    </row>
    <row r="242" spans="1:43" ht="15.75" customHeight="1" x14ac:dyDescent="0.3">
      <c r="A242" s="46" t="s">
        <v>467</v>
      </c>
      <c r="B242" s="202" t="s">
        <v>465</v>
      </c>
      <c r="D242" s="20">
        <f>+F242+Z242+AF242+AK242</f>
        <v>348800000</v>
      </c>
      <c r="E242" s="98">
        <f t="shared" ref="E242" si="183">SUM(G242+H242+I242+J242+K242+L242+M242+N242+O242+P242+Q242+R242+S242+T242+U242+V242+W242+X242+Y242+AA242+AB242+AC242+AD242+AE242+AG242+AH242+AI242+AJ242+AL242+AN242+AO242+AP242+AQ242)</f>
        <v>348800000</v>
      </c>
      <c r="F242" s="21">
        <f>SUM(G242:Y242)</f>
        <v>326900000</v>
      </c>
      <c r="G242" s="341"/>
      <c r="H242" s="341"/>
      <c r="I242" s="341">
        <v>300000</v>
      </c>
      <c r="J242" s="341"/>
      <c r="K242" s="341"/>
      <c r="L242" s="1">
        <v>226000000</v>
      </c>
      <c r="M242" s="341"/>
      <c r="N242" s="341"/>
      <c r="O242" s="341"/>
      <c r="P242" s="341"/>
      <c r="Q242" s="1"/>
      <c r="R242" s="1"/>
      <c r="S242" s="1"/>
      <c r="T242" s="355">
        <v>600000</v>
      </c>
      <c r="U242" s="1"/>
      <c r="V242" s="1"/>
      <c r="W242" s="1">
        <v>100000000</v>
      </c>
      <c r="X242" s="1"/>
      <c r="Y242" s="1"/>
      <c r="Z242" s="10">
        <f>SUM(AA242:AE242)</f>
        <v>20000000</v>
      </c>
      <c r="AA242" s="1"/>
      <c r="AB242" s="1"/>
      <c r="AC242" s="1"/>
      <c r="AD242" s="1">
        <v>20000000</v>
      </c>
      <c r="AE242" s="1"/>
      <c r="AF242" s="2">
        <f>SUM(AG242:AJ242)</f>
        <v>600000</v>
      </c>
      <c r="AG242" s="339"/>
      <c r="AH242" s="13"/>
      <c r="AI242" s="35"/>
      <c r="AJ242" s="35">
        <v>600000</v>
      </c>
      <c r="AK242" s="34">
        <f>SUM(AL242+AM242)</f>
        <v>1300000</v>
      </c>
      <c r="AL242" s="35">
        <v>1300000</v>
      </c>
      <c r="AM242" s="93">
        <f>SUM(AN242:AQ242)</f>
        <v>0</v>
      </c>
      <c r="AN242" s="305"/>
      <c r="AO242" s="35"/>
      <c r="AP242" s="35"/>
      <c r="AQ242" s="35"/>
    </row>
    <row r="243" spans="1:43" ht="15.75" hidden="1" customHeight="1" x14ac:dyDescent="0.3">
      <c r="A243" s="46"/>
      <c r="B243" s="381"/>
      <c r="C243" s="99"/>
      <c r="D243" s="20"/>
      <c r="E243" s="98"/>
      <c r="F243" s="21"/>
      <c r="G243" s="341"/>
      <c r="H243" s="341"/>
      <c r="I243" s="341"/>
      <c r="J243" s="341"/>
      <c r="K243" s="341"/>
      <c r="L243" s="1"/>
      <c r="M243" s="341"/>
      <c r="N243" s="341"/>
      <c r="O243" s="341"/>
      <c r="P243" s="341"/>
      <c r="Q243" s="1"/>
      <c r="R243" s="1"/>
      <c r="S243" s="1"/>
      <c r="T243" s="1"/>
      <c r="U243" s="1"/>
      <c r="V243" s="1"/>
      <c r="W243" s="1"/>
      <c r="X243" s="1"/>
      <c r="Y243" s="1"/>
      <c r="Z243" s="26"/>
      <c r="AA243" s="1"/>
      <c r="AB243" s="1"/>
      <c r="AC243" s="1"/>
      <c r="AD243" s="1"/>
      <c r="AE243" s="1"/>
      <c r="AF243" s="2" t="s">
        <v>0</v>
      </c>
      <c r="AG243" s="343" t="s">
        <v>0</v>
      </c>
      <c r="AH243" s="26" t="s">
        <v>0</v>
      </c>
      <c r="AI243" s="26"/>
      <c r="AJ243" s="26"/>
      <c r="AK243" s="34"/>
      <c r="AL243" s="1"/>
      <c r="AM243" s="70"/>
      <c r="AN243" s="304"/>
      <c r="AO243" s="1"/>
      <c r="AP243" s="1"/>
      <c r="AQ243" s="1"/>
    </row>
    <row r="244" spans="1:43" ht="15.75" hidden="1" customHeight="1" x14ac:dyDescent="0.3">
      <c r="A244" s="46"/>
      <c r="B244" s="381"/>
      <c r="C244" s="99"/>
      <c r="D244" s="20"/>
      <c r="E244" s="98"/>
      <c r="F244" s="21"/>
      <c r="G244" s="341"/>
      <c r="H244" s="341"/>
      <c r="I244" s="341"/>
      <c r="J244" s="341"/>
      <c r="K244" s="341"/>
      <c r="L244" s="1"/>
      <c r="M244" s="341"/>
      <c r="N244" s="341"/>
      <c r="O244" s="341"/>
      <c r="P244" s="341"/>
      <c r="Q244" s="1"/>
      <c r="R244" s="1"/>
      <c r="S244" s="1"/>
      <c r="T244" s="1"/>
      <c r="U244" s="1"/>
      <c r="V244" s="1"/>
      <c r="W244" s="1"/>
      <c r="X244" s="1"/>
      <c r="Y244" s="1"/>
      <c r="Z244" s="26"/>
      <c r="AA244" s="1"/>
      <c r="AB244" s="1"/>
      <c r="AC244" s="1"/>
      <c r="AD244" s="1"/>
      <c r="AE244" s="1"/>
      <c r="AF244" s="2"/>
      <c r="AG244" s="343"/>
      <c r="AH244" s="26"/>
      <c r="AI244" s="26"/>
      <c r="AJ244" s="26"/>
      <c r="AK244" s="34"/>
      <c r="AL244" s="1"/>
      <c r="AM244" s="70"/>
      <c r="AN244" s="304"/>
      <c r="AO244" s="1"/>
      <c r="AP244" s="1"/>
      <c r="AQ244" s="1"/>
    </row>
    <row r="245" spans="1:43" ht="15.75" customHeight="1" x14ac:dyDescent="0.3">
      <c r="A245" s="46"/>
      <c r="B245" s="381"/>
      <c r="C245" s="99"/>
      <c r="D245" s="20"/>
      <c r="E245" s="98"/>
      <c r="F245" s="21"/>
      <c r="G245" s="341"/>
      <c r="H245" s="341"/>
      <c r="I245" s="341"/>
      <c r="J245" s="341"/>
      <c r="K245" s="341"/>
      <c r="L245" s="1"/>
      <c r="M245" s="341"/>
      <c r="N245" s="341"/>
      <c r="O245" s="341"/>
      <c r="P245" s="341"/>
      <c r="Q245" s="1"/>
      <c r="R245" s="1"/>
      <c r="S245" s="1"/>
      <c r="T245" s="1"/>
      <c r="U245" s="1"/>
      <c r="V245" s="1"/>
      <c r="W245" s="1"/>
      <c r="X245" s="1"/>
      <c r="Y245" s="1"/>
      <c r="Z245" s="26"/>
      <c r="AA245" s="1"/>
      <c r="AB245" s="1"/>
      <c r="AC245" s="1"/>
      <c r="AD245" s="1"/>
      <c r="AE245" s="1"/>
      <c r="AF245" s="2"/>
      <c r="AG245" s="343"/>
      <c r="AH245" s="26"/>
      <c r="AI245" s="26"/>
      <c r="AJ245" s="26"/>
      <c r="AK245" s="34"/>
      <c r="AL245" s="1"/>
      <c r="AM245" s="70"/>
      <c r="AN245" s="304"/>
      <c r="AO245" s="1"/>
      <c r="AP245" s="1"/>
      <c r="AQ245" s="1"/>
    </row>
    <row r="246" spans="1:43" ht="15.75" customHeight="1" x14ac:dyDescent="0.3">
      <c r="A246" s="69">
        <v>6</v>
      </c>
      <c r="B246" s="1912" t="s">
        <v>319</v>
      </c>
      <c r="C246" s="1918"/>
      <c r="D246" s="25">
        <f>D248+D253+D258+D262+D266</f>
        <v>956576380</v>
      </c>
      <c r="E246" s="71">
        <f>SUM(E248+E253+E258+E262+E266)</f>
        <v>956576380</v>
      </c>
      <c r="F246" s="25">
        <f t="shared" ref="F246:R246" si="184">F248+F253+F258+F262+F266</f>
        <v>752360472</v>
      </c>
      <c r="G246" s="25">
        <f t="shared" si="184"/>
        <v>0</v>
      </c>
      <c r="H246" s="25">
        <f t="shared" si="184"/>
        <v>8750802</v>
      </c>
      <c r="I246" s="25">
        <f t="shared" si="184"/>
        <v>13665852</v>
      </c>
      <c r="J246" s="25">
        <f t="shared" si="184"/>
        <v>11786427</v>
      </c>
      <c r="K246" s="25">
        <f t="shared" si="184"/>
        <v>1028953</v>
      </c>
      <c r="L246" s="25">
        <f t="shared" si="184"/>
        <v>9369687</v>
      </c>
      <c r="M246" s="25">
        <f t="shared" si="184"/>
        <v>4496260</v>
      </c>
      <c r="N246" s="25">
        <f t="shared" si="184"/>
        <v>1375721</v>
      </c>
      <c r="O246" s="25">
        <f t="shared" si="184"/>
        <v>8719715</v>
      </c>
      <c r="P246" s="25">
        <f t="shared" si="184"/>
        <v>113851798</v>
      </c>
      <c r="Q246" s="25">
        <f t="shared" si="184"/>
        <v>135575756</v>
      </c>
      <c r="R246" s="25">
        <f t="shared" si="184"/>
        <v>12940373</v>
      </c>
      <c r="S246" s="25">
        <f>SUM(S248+S253+S258+S262+S266)</f>
        <v>374325632</v>
      </c>
      <c r="T246" s="25">
        <f t="shared" ref="T246:AE246" si="185">T248+T253+T258+T262+T266</f>
        <v>5348570</v>
      </c>
      <c r="U246" s="25">
        <f t="shared" si="185"/>
        <v>1752349</v>
      </c>
      <c r="V246" s="25">
        <f t="shared" si="185"/>
        <v>8926794</v>
      </c>
      <c r="W246" s="25">
        <f t="shared" si="185"/>
        <v>3786734</v>
      </c>
      <c r="X246" s="25">
        <f t="shared" si="185"/>
        <v>34439775</v>
      </c>
      <c r="Y246" s="25">
        <f t="shared" si="185"/>
        <v>2219274</v>
      </c>
      <c r="Z246" s="25">
        <f t="shared" si="185"/>
        <v>40013561</v>
      </c>
      <c r="AA246" s="25">
        <f t="shared" si="185"/>
        <v>3931945</v>
      </c>
      <c r="AB246" s="25">
        <f t="shared" si="185"/>
        <v>4506653</v>
      </c>
      <c r="AC246" s="25">
        <f t="shared" si="185"/>
        <v>10013217</v>
      </c>
      <c r="AD246" s="25">
        <f t="shared" si="185"/>
        <v>11959555</v>
      </c>
      <c r="AE246" s="25">
        <f t="shared" si="185"/>
        <v>9602191</v>
      </c>
      <c r="AF246" s="2">
        <f>SUM(AF248+AF253+AF258+AF262+AF266)</f>
        <v>37383275</v>
      </c>
      <c r="AG246" s="345">
        <f t="shared" ref="AG246:AQ246" si="186">AG248+AG253+AG258+AG262+AG266</f>
        <v>3010060</v>
      </c>
      <c r="AH246" s="33">
        <f t="shared" si="186"/>
        <v>15756516</v>
      </c>
      <c r="AI246" s="33">
        <f t="shared" si="186"/>
        <v>5427925</v>
      </c>
      <c r="AJ246" s="33">
        <f t="shared" si="186"/>
        <v>13188774</v>
      </c>
      <c r="AK246" s="34">
        <f t="shared" si="186"/>
        <v>126819072</v>
      </c>
      <c r="AL246" s="33">
        <f t="shared" si="186"/>
        <v>101963210</v>
      </c>
      <c r="AM246" s="34">
        <f t="shared" si="186"/>
        <v>24855862</v>
      </c>
      <c r="AN246" s="305">
        <f t="shared" si="186"/>
        <v>3010060</v>
      </c>
      <c r="AO246" s="35">
        <f t="shared" si="186"/>
        <v>4398972</v>
      </c>
      <c r="AP246" s="35">
        <f t="shared" si="186"/>
        <v>10204190</v>
      </c>
      <c r="AQ246" s="33">
        <f t="shared" si="186"/>
        <v>7242640</v>
      </c>
    </row>
    <row r="247" spans="1:43" ht="15.75" hidden="1" customHeight="1" x14ac:dyDescent="0.3">
      <c r="A247" s="46"/>
      <c r="B247" s="381"/>
      <c r="C247" s="99"/>
      <c r="D247" s="20"/>
      <c r="E247" s="98"/>
      <c r="F247" s="21"/>
      <c r="G247" s="341"/>
      <c r="H247" s="341"/>
      <c r="I247" s="341"/>
      <c r="J247" s="341"/>
      <c r="K247" s="341"/>
      <c r="L247" s="1"/>
      <c r="M247" s="341"/>
      <c r="N247" s="341"/>
      <c r="O247" s="341"/>
      <c r="P247" s="341"/>
      <c r="Q247" s="1"/>
      <c r="R247" s="1"/>
      <c r="S247" s="1"/>
      <c r="T247" s="1"/>
      <c r="U247" s="1"/>
      <c r="V247" s="1"/>
      <c r="W247" s="1"/>
      <c r="X247" s="1"/>
      <c r="Y247" s="1"/>
      <c r="Z247" s="26"/>
      <c r="AA247" s="1"/>
      <c r="AB247" s="1"/>
      <c r="AC247" s="1"/>
      <c r="AD247" s="1"/>
      <c r="AE247" s="1"/>
      <c r="AF247" s="2">
        <f>SUM(AG247:AI247)</f>
        <v>0</v>
      </c>
      <c r="AG247" s="339"/>
      <c r="AH247" s="13"/>
      <c r="AI247" s="13"/>
      <c r="AJ247" s="13"/>
      <c r="AK247" s="34"/>
      <c r="AL247" s="13"/>
      <c r="AM247" s="115"/>
      <c r="AN247" s="309"/>
      <c r="AO247" s="13"/>
      <c r="AP247" s="13"/>
      <c r="AQ247" s="13"/>
    </row>
    <row r="248" spans="1:43" ht="15.75" customHeight="1" x14ac:dyDescent="0.3">
      <c r="A248" s="40" t="s">
        <v>320</v>
      </c>
      <c r="B248" s="1912" t="s">
        <v>321</v>
      </c>
      <c r="C248" s="1919"/>
      <c r="D248" s="21">
        <f>SUM(D249:D251)</f>
        <v>133000000</v>
      </c>
      <c r="E248" s="71">
        <f>SUM(E250)</f>
        <v>133000000</v>
      </c>
      <c r="F248" s="21">
        <f>SUM(G248:Y248)</f>
        <v>133000000</v>
      </c>
      <c r="G248" s="23">
        <f>SUM(G249:G250)</f>
        <v>0</v>
      </c>
      <c r="H248" s="23">
        <f>SUM(H249:H250)</f>
        <v>0</v>
      </c>
      <c r="I248" s="23">
        <f>SUM(I249:I251)</f>
        <v>0</v>
      </c>
      <c r="J248" s="23">
        <f>SUM(J249:J251)</f>
        <v>0</v>
      </c>
      <c r="K248" s="23">
        <f t="shared" ref="K248:Z248" si="187">SUM(K249:K250)</f>
        <v>0</v>
      </c>
      <c r="L248" s="23">
        <f t="shared" si="187"/>
        <v>0</v>
      </c>
      <c r="M248" s="23">
        <f t="shared" si="187"/>
        <v>0</v>
      </c>
      <c r="N248" s="23">
        <f t="shared" si="187"/>
        <v>0</v>
      </c>
      <c r="O248" s="23">
        <f t="shared" si="187"/>
        <v>0</v>
      </c>
      <c r="P248" s="23">
        <f t="shared" si="187"/>
        <v>0</v>
      </c>
      <c r="Q248" s="23">
        <f t="shared" si="187"/>
        <v>133000000</v>
      </c>
      <c r="R248" s="23">
        <f t="shared" si="187"/>
        <v>0</v>
      </c>
      <c r="S248" s="23">
        <f t="shared" si="187"/>
        <v>0</v>
      </c>
      <c r="T248" s="23"/>
      <c r="U248" s="23">
        <f t="shared" si="187"/>
        <v>0</v>
      </c>
      <c r="V248" s="23">
        <f>SUM(V249:V250)</f>
        <v>0</v>
      </c>
      <c r="W248" s="23">
        <f>SUM(W249:W250)</f>
        <v>0</v>
      </c>
      <c r="X248" s="23">
        <f>SUM(X249:X250)</f>
        <v>0</v>
      </c>
      <c r="Y248" s="23">
        <f t="shared" si="187"/>
        <v>0</v>
      </c>
      <c r="Z248" s="23">
        <f t="shared" si="187"/>
        <v>0</v>
      </c>
      <c r="AA248" s="23">
        <f>SUM(AA249:AA250)</f>
        <v>0</v>
      </c>
      <c r="AB248" s="23">
        <f>SUM(AB249:AB250)</f>
        <v>0</v>
      </c>
      <c r="AC248" s="23">
        <f>SUM(AC249:AC250)</f>
        <v>0</v>
      </c>
      <c r="AD248" s="23">
        <f>SUM(AD249:AD250)</f>
        <v>0</v>
      </c>
      <c r="AE248" s="23">
        <f>SUM(AE249:AE250)</f>
        <v>0</v>
      </c>
      <c r="AF248" s="2">
        <f>SUM(AF249:AF251)</f>
        <v>0</v>
      </c>
      <c r="AG248" s="345">
        <f>SUM(AG249:AG250)</f>
        <v>0</v>
      </c>
      <c r="AH248" s="33">
        <f>SUM(AH251)</f>
        <v>0</v>
      </c>
      <c r="AI248" s="33">
        <f t="shared" ref="AI248:AQ248" si="188">SUM(AI249:AI250)</f>
        <v>0</v>
      </c>
      <c r="AJ248" s="33">
        <f t="shared" si="188"/>
        <v>0</v>
      </c>
      <c r="AK248" s="34">
        <f>SUM(AK249:AK251)</f>
        <v>0</v>
      </c>
      <c r="AL248" s="35">
        <f t="shared" si="188"/>
        <v>0</v>
      </c>
      <c r="AM248" s="93">
        <f>SUM(AN248:AQ248)</f>
        <v>0</v>
      </c>
      <c r="AN248" s="305">
        <f>SUM(AN249:AN250)</f>
        <v>0</v>
      </c>
      <c r="AO248" s="35">
        <f t="shared" si="188"/>
        <v>0</v>
      </c>
      <c r="AP248" s="35">
        <f t="shared" si="188"/>
        <v>0</v>
      </c>
      <c r="AQ248" s="35">
        <f t="shared" si="188"/>
        <v>0</v>
      </c>
    </row>
    <row r="249" spans="1:43" ht="15.75" hidden="1" customHeight="1" x14ac:dyDescent="0.3">
      <c r="A249" s="46" t="s">
        <v>322</v>
      </c>
      <c r="B249" s="1903" t="s">
        <v>323</v>
      </c>
      <c r="C249" s="1904"/>
      <c r="D249" s="20">
        <f>+F249+Z249+AF249+AK249</f>
        <v>0</v>
      </c>
      <c r="E249" s="98">
        <f>SUM(F249+Z249+AF249+AK249)</f>
        <v>0</v>
      </c>
      <c r="F249" s="21">
        <f>SUM(G249:Y249)</f>
        <v>0</v>
      </c>
      <c r="G249" s="341"/>
      <c r="H249" s="341"/>
      <c r="I249" s="341"/>
      <c r="J249" s="341"/>
      <c r="K249" s="341"/>
      <c r="L249" s="1"/>
      <c r="M249" s="341"/>
      <c r="N249" s="341"/>
      <c r="O249" s="341"/>
      <c r="P249" s="341"/>
      <c r="Q249" s="1"/>
      <c r="R249" s="1"/>
      <c r="S249" s="1"/>
      <c r="T249" s="1"/>
      <c r="U249" s="1"/>
      <c r="V249" s="1"/>
      <c r="W249" s="1"/>
      <c r="X249" s="1"/>
      <c r="Y249" s="1"/>
      <c r="Z249" s="10">
        <f>SUM(AA249:AE249)</f>
        <v>0</v>
      </c>
      <c r="AA249" s="1"/>
      <c r="AB249" s="1"/>
      <c r="AC249" s="1"/>
      <c r="AD249" s="1"/>
      <c r="AE249" s="1"/>
      <c r="AF249" s="2">
        <f>SUM(AG249:AJ249)</f>
        <v>0</v>
      </c>
      <c r="AG249" s="339">
        <v>0</v>
      </c>
      <c r="AH249" s="13">
        <v>0</v>
      </c>
      <c r="AI249" s="35">
        <v>0</v>
      </c>
      <c r="AJ249" s="35">
        <v>0</v>
      </c>
      <c r="AK249" s="34">
        <f t="shared" ref="AK249:AK256" si="189">SUM(AL249+AM249)</f>
        <v>0</v>
      </c>
      <c r="AL249" s="35">
        <v>0</v>
      </c>
      <c r="AM249" s="93">
        <f>SUM(AN249:AQ249)</f>
        <v>0</v>
      </c>
      <c r="AN249" s="305">
        <v>0</v>
      </c>
      <c r="AO249" s="35">
        <v>0</v>
      </c>
      <c r="AP249" s="35">
        <v>0</v>
      </c>
      <c r="AQ249" s="35">
        <v>0</v>
      </c>
    </row>
    <row r="250" spans="1:43" ht="15.75" customHeight="1" x14ac:dyDescent="0.3">
      <c r="A250" s="46" t="s">
        <v>324</v>
      </c>
      <c r="B250" s="1903" t="s">
        <v>325</v>
      </c>
      <c r="C250" s="1904"/>
      <c r="D250" s="127">
        <f>+F250+Z250+AF250+AK250</f>
        <v>133000000</v>
      </c>
      <c r="E250" s="98">
        <f t="shared" ref="E250" si="190">SUM(G250+H250+I250+J250+K250+L250+M250+N250+O250+P250+Q250+R250+S250+T250+U250+V250+W250+X250+Y250+AA250+AB250+AC250+AD250+AE250+AG250+AH250+AI250+AJ250+AL250+AN250+AO250+AP250+AQ250)</f>
        <v>133000000</v>
      </c>
      <c r="F250" s="21">
        <f>SUM(G250:Y250)</f>
        <v>133000000</v>
      </c>
      <c r="G250" s="341"/>
      <c r="H250" s="341"/>
      <c r="I250" s="341"/>
      <c r="J250" s="341"/>
      <c r="K250" s="341"/>
      <c r="L250" s="1"/>
      <c r="M250" s="341"/>
      <c r="N250" s="341"/>
      <c r="O250" s="341"/>
      <c r="P250" s="341"/>
      <c r="Q250" s="1">
        <v>133000000</v>
      </c>
      <c r="R250" s="1"/>
      <c r="S250" s="1"/>
      <c r="T250" s="1"/>
      <c r="U250" s="1"/>
      <c r="V250" s="1"/>
      <c r="W250" s="1"/>
      <c r="X250" s="1"/>
      <c r="Y250" s="1"/>
      <c r="Z250" s="10">
        <f>SUM(AA250:AE250)</f>
        <v>0</v>
      </c>
      <c r="AA250" s="1"/>
      <c r="AB250" s="1"/>
      <c r="AC250" s="1"/>
      <c r="AD250" s="1"/>
      <c r="AE250" s="1"/>
      <c r="AF250" s="2">
        <f>SUM(AG250:AJ250)</f>
        <v>0</v>
      </c>
      <c r="AG250" s="339">
        <v>0</v>
      </c>
      <c r="AH250" s="1">
        <v>0</v>
      </c>
      <c r="AI250" s="35">
        <v>0</v>
      </c>
      <c r="AJ250" s="35">
        <v>0</v>
      </c>
      <c r="AK250" s="34">
        <f t="shared" si="189"/>
        <v>0</v>
      </c>
      <c r="AL250" s="35">
        <v>0</v>
      </c>
      <c r="AM250" s="93">
        <f>SUM(AN250:AQ250)</f>
        <v>0</v>
      </c>
      <c r="AN250" s="305">
        <v>0</v>
      </c>
      <c r="AO250" s="35">
        <v>0</v>
      </c>
      <c r="AP250" s="35">
        <v>0</v>
      </c>
      <c r="AQ250" s="35">
        <v>0</v>
      </c>
    </row>
    <row r="251" spans="1:43" s="151" customFormat="1" ht="15.75" hidden="1" customHeight="1" x14ac:dyDescent="0.3">
      <c r="A251" s="46" t="s">
        <v>588</v>
      </c>
      <c r="B251" s="381" t="s">
        <v>589</v>
      </c>
      <c r="C251" s="99"/>
      <c r="D251" s="127">
        <f>+F251+Z251+AF251+AK251</f>
        <v>0</v>
      </c>
      <c r="E251" s="98">
        <f>SUM(F251)</f>
        <v>0</v>
      </c>
      <c r="F251" s="21">
        <f>SUM(G251:Y251)</f>
        <v>0</v>
      </c>
      <c r="G251" s="359"/>
      <c r="H251" s="359"/>
      <c r="I251" s="359"/>
      <c r="J251" s="359"/>
      <c r="K251" s="359"/>
      <c r="L251" s="360"/>
      <c r="M251" s="359"/>
      <c r="N251" s="359"/>
      <c r="O251" s="359"/>
      <c r="P251" s="359"/>
      <c r="Q251" s="360"/>
      <c r="R251" s="360"/>
      <c r="S251" s="360"/>
      <c r="T251" s="360"/>
      <c r="U251" s="360"/>
      <c r="V251" s="360"/>
      <c r="W251" s="360"/>
      <c r="X251" s="360"/>
      <c r="Y251" s="360"/>
      <c r="Z251" s="10">
        <f>SUM(AA251:AE251)</f>
        <v>0</v>
      </c>
      <c r="AA251" s="360"/>
      <c r="AB251" s="360"/>
      <c r="AC251" s="360"/>
      <c r="AD251" s="360"/>
      <c r="AE251" s="360"/>
      <c r="AF251" s="2">
        <f>SUM(AG251:AJ251)</f>
        <v>0</v>
      </c>
      <c r="AG251" s="362" t="s">
        <v>0</v>
      </c>
      <c r="AH251" s="360"/>
      <c r="AI251" s="363" t="s">
        <v>0</v>
      </c>
      <c r="AJ251" s="363" t="s">
        <v>0</v>
      </c>
      <c r="AK251" s="34"/>
      <c r="AL251" s="153" t="s">
        <v>0</v>
      </c>
      <c r="AM251" s="120" t="s">
        <v>0</v>
      </c>
      <c r="AN251" s="328" t="s">
        <v>0</v>
      </c>
      <c r="AO251" s="329" t="s">
        <v>0</v>
      </c>
      <c r="AP251" s="329" t="s">
        <v>0</v>
      </c>
      <c r="AQ251" s="329" t="s">
        <v>0</v>
      </c>
    </row>
    <row r="252" spans="1:43" s="151" customFormat="1" ht="15.75" customHeight="1" x14ac:dyDescent="0.3">
      <c r="A252" s="220"/>
      <c r="B252" s="221"/>
      <c r="C252" s="222"/>
      <c r="D252" s="223"/>
      <c r="E252" s="224"/>
      <c r="F252" s="21"/>
      <c r="G252" s="341"/>
      <c r="H252" s="341"/>
      <c r="I252" s="341"/>
      <c r="J252" s="341"/>
      <c r="K252" s="341"/>
      <c r="L252" s="1"/>
      <c r="M252" s="341"/>
      <c r="N252" s="341"/>
      <c r="O252" s="341"/>
      <c r="P252" s="341"/>
      <c r="Q252" s="1"/>
      <c r="R252" s="1"/>
      <c r="S252" s="1"/>
      <c r="T252" s="1"/>
      <c r="U252" s="1"/>
      <c r="V252" s="1"/>
      <c r="W252" s="1"/>
      <c r="X252" s="1"/>
      <c r="Y252" s="1"/>
      <c r="Z252" s="26"/>
      <c r="AA252" s="1"/>
      <c r="AB252" s="1"/>
      <c r="AC252" s="1"/>
      <c r="AD252" s="1"/>
      <c r="AE252" s="1"/>
      <c r="AF252" s="4"/>
      <c r="AG252" s="357"/>
      <c r="AH252" s="358"/>
      <c r="AI252" s="358"/>
      <c r="AJ252" s="358"/>
      <c r="AK252" s="34"/>
      <c r="AL252" s="97"/>
      <c r="AM252" s="120"/>
      <c r="AN252" s="330"/>
      <c r="AO252" s="97"/>
      <c r="AP252" s="97"/>
      <c r="AQ252" s="97"/>
    </row>
    <row r="253" spans="1:43" ht="15.75" customHeight="1" x14ac:dyDescent="0.3">
      <c r="A253" s="40" t="s">
        <v>326</v>
      </c>
      <c r="B253" s="1912" t="s">
        <v>327</v>
      </c>
      <c r="C253" s="1919"/>
      <c r="D253" s="21">
        <f>SUM(D254:D256)</f>
        <v>98264035</v>
      </c>
      <c r="E253" s="71">
        <f>SUM(E254:E256)</f>
        <v>98264035</v>
      </c>
      <c r="F253" s="21">
        <f>SUM(G253:Y253)</f>
        <v>4183750</v>
      </c>
      <c r="G253" s="23">
        <f t="shared" ref="G253:Z253" si="191">SUM(G254:G256)</f>
        <v>0</v>
      </c>
      <c r="H253" s="23">
        <f t="shared" si="191"/>
        <v>0</v>
      </c>
      <c r="I253" s="23">
        <f t="shared" si="191"/>
        <v>0</v>
      </c>
      <c r="J253" s="23">
        <f t="shared" si="191"/>
        <v>4000000</v>
      </c>
      <c r="K253" s="23">
        <f t="shared" si="191"/>
        <v>0</v>
      </c>
      <c r="L253" s="23">
        <f t="shared" si="191"/>
        <v>0</v>
      </c>
      <c r="M253" s="23">
        <f t="shared" si="191"/>
        <v>0</v>
      </c>
      <c r="N253" s="23">
        <f t="shared" si="191"/>
        <v>0</v>
      </c>
      <c r="O253" s="23">
        <f t="shared" si="191"/>
        <v>0</v>
      </c>
      <c r="P253" s="23">
        <f t="shared" si="191"/>
        <v>0</v>
      </c>
      <c r="Q253" s="23">
        <f t="shared" si="191"/>
        <v>0</v>
      </c>
      <c r="R253" s="23">
        <f t="shared" si="191"/>
        <v>183750</v>
      </c>
      <c r="S253" s="23">
        <f t="shared" si="191"/>
        <v>0</v>
      </c>
      <c r="T253" s="23">
        <f>SUM(T254:T256)</f>
        <v>0</v>
      </c>
      <c r="U253" s="23">
        <f t="shared" si="191"/>
        <v>0</v>
      </c>
      <c r="V253" s="23">
        <f>SUM(V254:V256)</f>
        <v>0</v>
      </c>
      <c r="W253" s="23">
        <f>SUM(W254:W256)</f>
        <v>0</v>
      </c>
      <c r="X253" s="23">
        <f>SUM(X254:X256)</f>
        <v>0</v>
      </c>
      <c r="Y253" s="23">
        <f t="shared" si="191"/>
        <v>0</v>
      </c>
      <c r="Z253" s="23">
        <f t="shared" si="191"/>
        <v>3000000</v>
      </c>
      <c r="AA253" s="23">
        <f t="shared" ref="AA253:AF253" si="192">SUM(AA254:AA256)</f>
        <v>0</v>
      </c>
      <c r="AB253" s="23">
        <f t="shared" si="192"/>
        <v>0</v>
      </c>
      <c r="AC253" s="23">
        <f t="shared" si="192"/>
        <v>0</v>
      </c>
      <c r="AD253" s="23">
        <f t="shared" si="192"/>
        <v>0</v>
      </c>
      <c r="AE253" s="23">
        <f t="shared" si="192"/>
        <v>3000000</v>
      </c>
      <c r="AF253" s="2">
        <f t="shared" si="192"/>
        <v>0</v>
      </c>
      <c r="AG253" s="345">
        <f t="shared" ref="AG253:AQ253" si="193">SUM(AG254:AG256)</f>
        <v>0</v>
      </c>
      <c r="AH253" s="33">
        <f t="shared" si="193"/>
        <v>0</v>
      </c>
      <c r="AI253" s="33">
        <f t="shared" si="193"/>
        <v>0</v>
      </c>
      <c r="AJ253" s="33">
        <f t="shared" si="193"/>
        <v>0</v>
      </c>
      <c r="AK253" s="34">
        <f t="shared" si="193"/>
        <v>91080285</v>
      </c>
      <c r="AL253" s="33">
        <f t="shared" si="193"/>
        <v>91080285</v>
      </c>
      <c r="AM253" s="34">
        <f t="shared" si="193"/>
        <v>0</v>
      </c>
      <c r="AN253" s="305">
        <f>SUM(AN254:AN256)</f>
        <v>0</v>
      </c>
      <c r="AO253" s="35">
        <f t="shared" si="193"/>
        <v>0</v>
      </c>
      <c r="AP253" s="35">
        <f t="shared" si="193"/>
        <v>0</v>
      </c>
      <c r="AQ253" s="35">
        <f t="shared" si="193"/>
        <v>0</v>
      </c>
    </row>
    <row r="254" spans="1:43" ht="15.75" customHeight="1" x14ac:dyDescent="0.3">
      <c r="A254" s="46" t="s">
        <v>328</v>
      </c>
      <c r="B254" s="1903" t="s">
        <v>329</v>
      </c>
      <c r="C254" s="1904"/>
      <c r="D254" s="20">
        <f>+F254+Z254+AF254+AK254</f>
        <v>3000000</v>
      </c>
      <c r="E254" s="98">
        <f t="shared" ref="E254:E256" si="194">SUM(G254+H254+I254+J254+K254+L254+M254+N254+O254+P254+Q254+R254+S254+T254+U254+V254+W254+X254+Y254+AA254+AB254+AC254+AD254+AE254+AG254+AH254+AI254+AJ254+AL254+AN254+AO254+AP254+AQ254)</f>
        <v>3000000</v>
      </c>
      <c r="F254" s="21">
        <f>SUM(G254:Y254)</f>
        <v>0</v>
      </c>
      <c r="G254" s="341"/>
      <c r="H254" s="341"/>
      <c r="I254" s="341"/>
      <c r="J254" s="341"/>
      <c r="K254" s="341"/>
      <c r="L254" s="1"/>
      <c r="M254" s="341"/>
      <c r="N254" s="341"/>
      <c r="O254" s="341"/>
      <c r="P254" s="341"/>
      <c r="Q254" s="1"/>
      <c r="R254" s="1"/>
      <c r="S254" s="1"/>
      <c r="T254" s="1"/>
      <c r="U254" s="1"/>
      <c r="V254" s="1"/>
      <c r="W254" s="1"/>
      <c r="X254" s="1"/>
      <c r="Y254" s="1"/>
      <c r="Z254" s="10">
        <f>SUM(AA254:AE254)</f>
        <v>3000000</v>
      </c>
      <c r="AA254" s="1"/>
      <c r="AB254" s="1"/>
      <c r="AC254" s="1"/>
      <c r="AD254" s="1"/>
      <c r="AE254" s="1">
        <v>3000000</v>
      </c>
      <c r="AF254" s="2">
        <f>SUM(AG254:AJ254)</f>
        <v>0</v>
      </c>
      <c r="AG254" s="343">
        <v>0</v>
      </c>
      <c r="AH254" s="9">
        <v>0</v>
      </c>
      <c r="AI254" s="35">
        <v>0</v>
      </c>
      <c r="AJ254" s="35">
        <v>0</v>
      </c>
      <c r="AK254" s="34">
        <f t="shared" si="189"/>
        <v>0</v>
      </c>
      <c r="AL254" s="35"/>
      <c r="AM254" s="93">
        <f>SUM(AN254:AQ254)</f>
        <v>0</v>
      </c>
      <c r="AN254" s="305"/>
      <c r="AO254" s="35">
        <v>0</v>
      </c>
      <c r="AP254" s="35">
        <v>0</v>
      </c>
      <c r="AQ254" s="35">
        <v>0</v>
      </c>
    </row>
    <row r="255" spans="1:43" ht="15.75" customHeight="1" x14ac:dyDescent="0.3">
      <c r="A255" s="46" t="s">
        <v>330</v>
      </c>
      <c r="B255" s="1903" t="s">
        <v>331</v>
      </c>
      <c r="C255" s="1904"/>
      <c r="D255" s="20">
        <f t="shared" ref="D255:D256" si="195">+F255+Z255+AF255+AK255</f>
        <v>4000000</v>
      </c>
      <c r="E255" s="98">
        <f t="shared" si="194"/>
        <v>4000000</v>
      </c>
      <c r="F255" s="21">
        <f>SUM(G255:Y255)</f>
        <v>4000000</v>
      </c>
      <c r="G255" s="341"/>
      <c r="H255" s="341"/>
      <c r="I255" s="341"/>
      <c r="J255" s="341">
        <v>4000000</v>
      </c>
      <c r="K255" s="341">
        <v>0</v>
      </c>
      <c r="L255" s="1"/>
      <c r="M255" s="341"/>
      <c r="N255" s="341"/>
      <c r="O255" s="341"/>
      <c r="P255" s="341"/>
      <c r="Q255" s="1"/>
      <c r="R255" s="1"/>
      <c r="S255" s="1"/>
      <c r="T255" s="1"/>
      <c r="U255" s="1"/>
      <c r="V255" s="1"/>
      <c r="W255" s="1"/>
      <c r="X255" s="1"/>
      <c r="Y255" s="1"/>
      <c r="Z255" s="10">
        <f>SUM(AA255:AE255)</f>
        <v>0</v>
      </c>
      <c r="AA255" s="1"/>
      <c r="AB255" s="1"/>
      <c r="AC255" s="1"/>
      <c r="AD255" s="1"/>
      <c r="AE255" s="1"/>
      <c r="AF255" s="2"/>
      <c r="AG255" s="339">
        <v>0</v>
      </c>
      <c r="AH255" s="13">
        <v>0</v>
      </c>
      <c r="AI255" s="35">
        <v>0</v>
      </c>
      <c r="AJ255" s="35">
        <v>0</v>
      </c>
      <c r="AK255" s="34">
        <f t="shared" si="189"/>
        <v>0</v>
      </c>
      <c r="AL255" s="35"/>
      <c r="AM255" s="93">
        <f>SUM(AN255:AQ255)</f>
        <v>0</v>
      </c>
      <c r="AN255" s="305">
        <v>0</v>
      </c>
      <c r="AO255" s="35">
        <v>0</v>
      </c>
      <c r="AP255" s="35">
        <v>0</v>
      </c>
      <c r="AQ255" s="35">
        <v>0</v>
      </c>
    </row>
    <row r="256" spans="1:43" ht="15.75" customHeight="1" x14ac:dyDescent="0.3">
      <c r="A256" s="46" t="s">
        <v>332</v>
      </c>
      <c r="B256" s="1903" t="s">
        <v>333</v>
      </c>
      <c r="C256" s="1904"/>
      <c r="D256" s="20">
        <f t="shared" si="195"/>
        <v>91264035</v>
      </c>
      <c r="E256" s="98">
        <f t="shared" si="194"/>
        <v>91264035</v>
      </c>
      <c r="F256" s="21">
        <f>SUM(G256:Y256)</f>
        <v>183750</v>
      </c>
      <c r="G256" s="341"/>
      <c r="H256" s="341"/>
      <c r="I256" s="341"/>
      <c r="J256" s="341"/>
      <c r="K256" s="341">
        <v>0</v>
      </c>
      <c r="L256" s="1"/>
      <c r="M256" s="341"/>
      <c r="N256" s="341"/>
      <c r="O256" s="341"/>
      <c r="P256" s="341"/>
      <c r="Q256" s="1"/>
      <c r="R256" s="1">
        <v>183750</v>
      </c>
      <c r="S256" s="1"/>
      <c r="T256" s="1"/>
      <c r="U256" s="1"/>
      <c r="V256" s="1"/>
      <c r="W256" s="1"/>
      <c r="X256" s="1"/>
      <c r="Y256" s="1"/>
      <c r="Z256" s="10">
        <f>SUM(AA256:AE256)</f>
        <v>0</v>
      </c>
      <c r="AA256" s="1"/>
      <c r="AB256" s="1"/>
      <c r="AC256" s="1"/>
      <c r="AD256" s="1"/>
      <c r="AE256" s="1"/>
      <c r="AF256" s="2">
        <f>SUM(AG256:AJ256)</f>
        <v>0</v>
      </c>
      <c r="AG256" s="339"/>
      <c r="AH256" s="13"/>
      <c r="AI256" s="35"/>
      <c r="AJ256" s="35"/>
      <c r="AK256" s="34">
        <f t="shared" si="189"/>
        <v>91080285</v>
      </c>
      <c r="AL256" s="35">
        <f>100000000-8919715</f>
        <v>91080285</v>
      </c>
      <c r="AM256" s="93">
        <f>SUM(AN256:AQ256)</f>
        <v>0</v>
      </c>
      <c r="AN256" s="305"/>
      <c r="AO256" s="35"/>
      <c r="AP256" s="35"/>
      <c r="AQ256" s="35"/>
    </row>
    <row r="257" spans="1:43" ht="15.75" customHeight="1" x14ac:dyDescent="0.3">
      <c r="A257" s="46"/>
      <c r="B257" s="381"/>
      <c r="C257" s="99"/>
      <c r="D257" s="20"/>
      <c r="E257" s="98"/>
      <c r="F257" s="21"/>
      <c r="G257" s="341"/>
      <c r="H257" s="341"/>
      <c r="I257" s="341"/>
      <c r="J257" s="341"/>
      <c r="K257" s="341"/>
      <c r="L257" s="1"/>
      <c r="M257" s="341"/>
      <c r="N257" s="341"/>
      <c r="O257" s="341"/>
      <c r="P257" s="341"/>
      <c r="Q257" s="1"/>
      <c r="R257" s="1"/>
      <c r="S257" s="1"/>
      <c r="T257" s="1"/>
      <c r="U257" s="1"/>
      <c r="V257" s="1"/>
      <c r="W257" s="1"/>
      <c r="X257" s="1"/>
      <c r="Y257" s="1"/>
      <c r="Z257" s="26"/>
      <c r="AA257" s="1"/>
      <c r="AB257" s="1"/>
      <c r="AC257" s="1"/>
      <c r="AD257" s="1"/>
      <c r="AE257" s="1"/>
      <c r="AF257" s="2">
        <f>SUM(AG257:AI257)</f>
        <v>0</v>
      </c>
      <c r="AG257" s="339">
        <v>0</v>
      </c>
      <c r="AH257" s="13">
        <v>0</v>
      </c>
      <c r="AI257" s="35"/>
      <c r="AJ257" s="35"/>
      <c r="AK257" s="34"/>
      <c r="AL257" s="35"/>
      <c r="AM257" s="34"/>
      <c r="AN257" s="305"/>
      <c r="AO257" s="35"/>
      <c r="AP257" s="35"/>
      <c r="AQ257" s="35"/>
    </row>
    <row r="258" spans="1:43" ht="15.75" customHeight="1" x14ac:dyDescent="0.3">
      <c r="A258" s="40" t="s">
        <v>334</v>
      </c>
      <c r="B258" s="1912" t="s">
        <v>335</v>
      </c>
      <c r="C258" s="1919"/>
      <c r="D258" s="21">
        <f>SUM(D259:D260)</f>
        <v>355994345</v>
      </c>
      <c r="E258" s="71">
        <f>SUM(E259:E260)</f>
        <v>355994345</v>
      </c>
      <c r="F258" s="21">
        <f>SUM(G258:Y258)</f>
        <v>252858722</v>
      </c>
      <c r="G258" s="33">
        <f t="shared" ref="G258:AE258" si="196">SUM(G259:G260)</f>
        <v>0</v>
      </c>
      <c r="H258" s="33">
        <f t="shared" si="196"/>
        <v>8750802</v>
      </c>
      <c r="I258" s="33">
        <f t="shared" si="196"/>
        <v>13665852</v>
      </c>
      <c r="J258" s="33">
        <f t="shared" si="196"/>
        <v>7786427</v>
      </c>
      <c r="K258" s="33">
        <f t="shared" si="196"/>
        <v>1028953</v>
      </c>
      <c r="L258" s="33">
        <f t="shared" si="196"/>
        <v>9369687</v>
      </c>
      <c r="M258" s="33">
        <f t="shared" si="196"/>
        <v>4496260</v>
      </c>
      <c r="N258" s="33">
        <f t="shared" si="196"/>
        <v>1375721</v>
      </c>
      <c r="O258" s="33">
        <f t="shared" si="196"/>
        <v>8719715</v>
      </c>
      <c r="P258" s="33">
        <f t="shared" si="196"/>
        <v>13851798</v>
      </c>
      <c r="Q258" s="33">
        <f t="shared" si="196"/>
        <v>2575756</v>
      </c>
      <c r="R258" s="33">
        <f t="shared" si="196"/>
        <v>11356623</v>
      </c>
      <c r="S258" s="33">
        <f t="shared" si="196"/>
        <v>143407632</v>
      </c>
      <c r="T258" s="33">
        <f t="shared" si="196"/>
        <v>5348570</v>
      </c>
      <c r="U258" s="33">
        <f t="shared" si="196"/>
        <v>1752349</v>
      </c>
      <c r="V258" s="33">
        <f t="shared" si="196"/>
        <v>8926794</v>
      </c>
      <c r="W258" s="33">
        <f t="shared" si="196"/>
        <v>3786734</v>
      </c>
      <c r="X258" s="33">
        <f t="shared" si="196"/>
        <v>4439775</v>
      </c>
      <c r="Y258" s="33">
        <f t="shared" si="196"/>
        <v>2219274</v>
      </c>
      <c r="Z258" s="33">
        <f t="shared" si="196"/>
        <v>37013561</v>
      </c>
      <c r="AA258" s="33">
        <f t="shared" si="196"/>
        <v>3931945</v>
      </c>
      <c r="AB258" s="33">
        <f t="shared" si="196"/>
        <v>4506653</v>
      </c>
      <c r="AC258" s="33">
        <f t="shared" si="196"/>
        <v>10013217</v>
      </c>
      <c r="AD258" s="33">
        <f t="shared" si="196"/>
        <v>11959555</v>
      </c>
      <c r="AE258" s="33">
        <f t="shared" si="196"/>
        <v>6602191</v>
      </c>
      <c r="AF258" s="33">
        <f>SUM(AF259+AF260)</f>
        <v>32383275</v>
      </c>
      <c r="AG258" s="25">
        <f t="shared" ref="AG258:AQ258" si="197">SUM(AG259:AG260)</f>
        <v>3010060</v>
      </c>
      <c r="AH258" s="33">
        <f t="shared" si="197"/>
        <v>15756516</v>
      </c>
      <c r="AI258" s="33">
        <f t="shared" si="197"/>
        <v>5427925</v>
      </c>
      <c r="AJ258" s="33">
        <f t="shared" si="197"/>
        <v>8188774</v>
      </c>
      <c r="AK258" s="34">
        <f t="shared" si="197"/>
        <v>33738787</v>
      </c>
      <c r="AL258" s="35">
        <f t="shared" si="197"/>
        <v>10882925</v>
      </c>
      <c r="AM258" s="34">
        <f t="shared" si="197"/>
        <v>22855862</v>
      </c>
      <c r="AN258" s="305">
        <f t="shared" si="197"/>
        <v>3010060</v>
      </c>
      <c r="AO258" s="305">
        <f t="shared" si="197"/>
        <v>4398972</v>
      </c>
      <c r="AP258" s="308">
        <f t="shared" si="197"/>
        <v>9204190</v>
      </c>
      <c r="AQ258" s="308">
        <f t="shared" si="197"/>
        <v>6242640</v>
      </c>
    </row>
    <row r="259" spans="1:43" ht="15.75" customHeight="1" x14ac:dyDescent="0.3">
      <c r="A259" s="46" t="s">
        <v>336</v>
      </c>
      <c r="B259" s="1903" t="s">
        <v>337</v>
      </c>
      <c r="C259" s="1904"/>
      <c r="D259" s="20">
        <f>+F259+Z259+AF259+AK259</f>
        <v>135500000</v>
      </c>
      <c r="E259" s="98">
        <f t="shared" ref="E259:E260" si="198">SUM(G259+H259+I259+J259+K259+L259+M259+N259+O259+P259+Q259+R259+S259+T259+U259+V259+W259+X259+Y259+AA259+AB259+AC259+AD259+AE259+AG259+AH259+AI259+AJ259+AL259+AN259+AO259+AP259+AQ259)</f>
        <v>135500000</v>
      </c>
      <c r="F259" s="21">
        <f>SUM(G259:Y259)</f>
        <v>135500000</v>
      </c>
      <c r="G259" s="341"/>
      <c r="H259" s="341"/>
      <c r="I259" s="341"/>
      <c r="J259" s="341"/>
      <c r="K259" s="341"/>
      <c r="L259" s="1"/>
      <c r="M259" s="341"/>
      <c r="N259" s="341"/>
      <c r="O259" s="341"/>
      <c r="P259" s="341"/>
      <c r="Q259" s="1"/>
      <c r="R259" s="1"/>
      <c r="S259" s="355">
        <v>135500000</v>
      </c>
      <c r="T259" s="1"/>
      <c r="U259" s="1"/>
      <c r="V259" s="1"/>
      <c r="W259" s="1"/>
      <c r="X259" s="1"/>
      <c r="Y259" s="1"/>
      <c r="Z259" s="10">
        <f>SUM(AA259:AE259)</f>
        <v>0</v>
      </c>
      <c r="AA259" s="1"/>
      <c r="AB259" s="1"/>
      <c r="AC259" s="1"/>
      <c r="AD259" s="1"/>
      <c r="AE259" s="1"/>
      <c r="AF259" s="2">
        <f>SUM(AG259:AJ259)</f>
        <v>0</v>
      </c>
      <c r="AG259" s="339">
        <v>0</v>
      </c>
      <c r="AH259" s="13">
        <v>0</v>
      </c>
      <c r="AI259" s="35">
        <v>0</v>
      </c>
      <c r="AJ259" s="35">
        <v>0</v>
      </c>
      <c r="AK259" s="34">
        <f>SUM(AL259+AM259)</f>
        <v>0</v>
      </c>
      <c r="AL259" s="35"/>
      <c r="AM259" s="93">
        <f>SUM(AN259:AQ259)</f>
        <v>0</v>
      </c>
      <c r="AN259" s="305"/>
      <c r="AO259" s="35"/>
      <c r="AP259" s="35"/>
      <c r="AQ259" s="35"/>
    </row>
    <row r="260" spans="1:43" ht="15.75" customHeight="1" x14ac:dyDescent="0.3">
      <c r="A260" s="46" t="s">
        <v>658</v>
      </c>
      <c r="B260" s="381" t="s">
        <v>659</v>
      </c>
      <c r="C260" s="99"/>
      <c r="D260" s="20">
        <f>+F260+Z260+AF260+AK260</f>
        <v>220494345</v>
      </c>
      <c r="E260" s="98">
        <f t="shared" si="198"/>
        <v>220494345</v>
      </c>
      <c r="F260" s="21">
        <f>SUM(G260:Y260)</f>
        <v>117358722</v>
      </c>
      <c r="G260" s="341"/>
      <c r="H260" s="341">
        <v>8750802</v>
      </c>
      <c r="I260" s="341">
        <v>13665852</v>
      </c>
      <c r="J260" s="341">
        <v>7786427</v>
      </c>
      <c r="K260" s="341">
        <v>1028953</v>
      </c>
      <c r="L260" s="1">
        <v>9369687</v>
      </c>
      <c r="M260" s="341">
        <v>4496260</v>
      </c>
      <c r="N260" s="341">
        <v>1375721</v>
      </c>
      <c r="O260" s="341">
        <v>8719715</v>
      </c>
      <c r="P260" s="341">
        <v>13851798</v>
      </c>
      <c r="Q260" s="1">
        <v>2575756</v>
      </c>
      <c r="R260" s="1">
        <v>11356623</v>
      </c>
      <c r="S260" s="355">
        <f>2000000+5907632</f>
        <v>7907632</v>
      </c>
      <c r="T260" s="1">
        <v>5348570</v>
      </c>
      <c r="U260" s="1">
        <v>1752349</v>
      </c>
      <c r="V260" s="1">
        <v>8926794</v>
      </c>
      <c r="W260" s="1">
        <v>3786734</v>
      </c>
      <c r="X260" s="1">
        <v>4439775</v>
      </c>
      <c r="Y260" s="1">
        <v>2219274</v>
      </c>
      <c r="Z260" s="10">
        <f>SUM(AA260:AE260)</f>
        <v>37013561</v>
      </c>
      <c r="AA260" s="1">
        <v>3931945</v>
      </c>
      <c r="AB260" s="1">
        <v>4506653</v>
      </c>
      <c r="AC260" s="1">
        <v>10013217</v>
      </c>
      <c r="AD260" s="1">
        <v>11959555</v>
      </c>
      <c r="AE260" s="1">
        <v>6602191</v>
      </c>
      <c r="AF260" s="2">
        <f>SUM(AG260:AJ260)</f>
        <v>32383275</v>
      </c>
      <c r="AG260" s="339">
        <v>3010060</v>
      </c>
      <c r="AH260" s="13">
        <v>15756516</v>
      </c>
      <c r="AI260" s="13">
        <v>5427925</v>
      </c>
      <c r="AJ260" s="13">
        <v>8188774</v>
      </c>
      <c r="AK260" s="34">
        <f>SUM(AL260+AM260)</f>
        <v>33738787</v>
      </c>
      <c r="AL260" s="13">
        <v>10882925</v>
      </c>
      <c r="AM260" s="115">
        <f>SUM(AN260:AQ260)</f>
        <v>22855862</v>
      </c>
      <c r="AN260" s="309">
        <v>3010060</v>
      </c>
      <c r="AO260" s="13">
        <v>4398972</v>
      </c>
      <c r="AP260" s="13">
        <v>9204190</v>
      </c>
      <c r="AQ260" s="13">
        <v>6242640</v>
      </c>
    </row>
    <row r="261" spans="1:43" ht="15.75" customHeight="1" x14ac:dyDescent="0.3">
      <c r="A261" s="46"/>
      <c r="B261" s="381"/>
      <c r="C261" s="99"/>
      <c r="D261" s="20"/>
      <c r="E261" s="98"/>
      <c r="F261" s="21"/>
      <c r="G261" s="341"/>
      <c r="H261" s="341"/>
      <c r="I261" s="341"/>
      <c r="J261" s="341"/>
      <c r="K261" s="341"/>
      <c r="L261" s="1"/>
      <c r="M261" s="341"/>
      <c r="N261" s="341"/>
      <c r="O261" s="341"/>
      <c r="P261" s="341"/>
      <c r="Q261" s="1"/>
      <c r="R261" s="1"/>
      <c r="S261" s="1"/>
      <c r="T261" s="1"/>
      <c r="U261" s="1"/>
      <c r="V261" s="1"/>
      <c r="W261" s="1"/>
      <c r="X261" s="1"/>
      <c r="Y261" s="1"/>
      <c r="Z261" s="26"/>
      <c r="AA261" s="1"/>
      <c r="AB261" s="1"/>
      <c r="AC261" s="1"/>
      <c r="AD261" s="1"/>
      <c r="AE261" s="1"/>
      <c r="AF261" s="2"/>
      <c r="AG261" s="339"/>
      <c r="AH261" s="13"/>
      <c r="AI261" s="13"/>
      <c r="AJ261" s="13"/>
      <c r="AK261" s="34"/>
      <c r="AL261" s="13"/>
      <c r="AM261" s="115"/>
      <c r="AN261" s="309"/>
      <c r="AO261" s="13"/>
      <c r="AP261" s="13"/>
      <c r="AQ261" s="13"/>
    </row>
    <row r="262" spans="1:43" ht="15.75" customHeight="1" x14ac:dyDescent="0.3">
      <c r="A262" s="40" t="s">
        <v>338</v>
      </c>
      <c r="B262" s="1912" t="s">
        <v>339</v>
      </c>
      <c r="C262" s="1919"/>
      <c r="D262" s="21">
        <f>SUM(D263:D264)</f>
        <v>339318000</v>
      </c>
      <c r="E262" s="71">
        <f>SUM(E263:E264)</f>
        <v>339318000</v>
      </c>
      <c r="F262" s="21">
        <f>SUM(G262:Y262)</f>
        <v>332318000</v>
      </c>
      <c r="G262" s="23">
        <f t="shared" ref="G262:Z262" si="199">SUM(G263:G264)</f>
        <v>0</v>
      </c>
      <c r="H262" s="23">
        <f t="shared" si="199"/>
        <v>0</v>
      </c>
      <c r="I262" s="23">
        <f t="shared" si="199"/>
        <v>0</v>
      </c>
      <c r="J262" s="23">
        <f t="shared" si="199"/>
        <v>0</v>
      </c>
      <c r="K262" s="23">
        <f t="shared" si="199"/>
        <v>0</v>
      </c>
      <c r="L262" s="23">
        <f t="shared" si="199"/>
        <v>0</v>
      </c>
      <c r="M262" s="23">
        <f t="shared" si="199"/>
        <v>0</v>
      </c>
      <c r="N262" s="23">
        <f t="shared" si="199"/>
        <v>0</v>
      </c>
      <c r="O262" s="23">
        <f t="shared" si="199"/>
        <v>0</v>
      </c>
      <c r="P262" s="23">
        <f t="shared" si="199"/>
        <v>100000000</v>
      </c>
      <c r="Q262" s="23">
        <f t="shared" si="199"/>
        <v>0</v>
      </c>
      <c r="R262" s="23">
        <f t="shared" si="199"/>
        <v>1400000</v>
      </c>
      <c r="S262" s="23">
        <f t="shared" si="199"/>
        <v>230918000</v>
      </c>
      <c r="T262" s="23">
        <f>SUM(T263:T264)</f>
        <v>0</v>
      </c>
      <c r="U262" s="23">
        <f t="shared" si="199"/>
        <v>0</v>
      </c>
      <c r="V262" s="23">
        <f>SUM(V263:V264)</f>
        <v>0</v>
      </c>
      <c r="W262" s="23">
        <f>SUM(W263:W264)</f>
        <v>0</v>
      </c>
      <c r="X262" s="23">
        <f>SUM(X263:X264)</f>
        <v>0</v>
      </c>
      <c r="Y262" s="23">
        <f t="shared" si="199"/>
        <v>0</v>
      </c>
      <c r="Z262" s="23">
        <f t="shared" si="199"/>
        <v>0</v>
      </c>
      <c r="AA262" s="23">
        <f t="shared" ref="AA262:AF262" si="200">SUM(AA263:AA264)</f>
        <v>0</v>
      </c>
      <c r="AB262" s="23">
        <f t="shared" si="200"/>
        <v>0</v>
      </c>
      <c r="AC262" s="23">
        <f t="shared" si="200"/>
        <v>0</v>
      </c>
      <c r="AD262" s="23">
        <f t="shared" si="200"/>
        <v>0</v>
      </c>
      <c r="AE262" s="23">
        <f t="shared" si="200"/>
        <v>0</v>
      </c>
      <c r="AF262" s="2">
        <f t="shared" si="200"/>
        <v>5000000</v>
      </c>
      <c r="AG262" s="345">
        <f t="shared" ref="AG262:AQ262" si="201">SUM(AG263:AG264)</f>
        <v>0</v>
      </c>
      <c r="AH262" s="33">
        <f t="shared" si="201"/>
        <v>0</v>
      </c>
      <c r="AI262" s="33">
        <f t="shared" si="201"/>
        <v>0</v>
      </c>
      <c r="AJ262" s="33">
        <f t="shared" si="201"/>
        <v>5000000</v>
      </c>
      <c r="AK262" s="34">
        <f t="shared" si="201"/>
        <v>2000000</v>
      </c>
      <c r="AL262" s="35">
        <f t="shared" si="201"/>
        <v>0</v>
      </c>
      <c r="AM262" s="34">
        <f t="shared" si="201"/>
        <v>2000000</v>
      </c>
      <c r="AN262" s="305">
        <f>SUM(AN263:AN264)</f>
        <v>0</v>
      </c>
      <c r="AO262" s="35">
        <f t="shared" si="201"/>
        <v>0</v>
      </c>
      <c r="AP262" s="35">
        <f t="shared" si="201"/>
        <v>1000000</v>
      </c>
      <c r="AQ262" s="33">
        <f t="shared" si="201"/>
        <v>1000000</v>
      </c>
    </row>
    <row r="263" spans="1:43" ht="15.75" customHeight="1" x14ac:dyDescent="0.3">
      <c r="A263" s="46" t="s">
        <v>340</v>
      </c>
      <c r="B263" s="1903" t="s">
        <v>341</v>
      </c>
      <c r="C263" s="1904"/>
      <c r="D263" s="20">
        <f>+F263+Z263+AF263+AK263</f>
        <v>330918000</v>
      </c>
      <c r="E263" s="98">
        <f t="shared" ref="E263:E264" si="202">SUM(G263+H263+I263+J263+K263+L263+M263+N263+O263+P263+Q263+R263+S263+T263+U263+V263+W263+X263+Y263+AA263+AB263+AC263+AD263+AE263+AG263+AH263+AI263+AJ263+AL263+AN263+AO263+AP263+AQ263)</f>
        <v>330918000</v>
      </c>
      <c r="F263" s="21">
        <f>SUM(G263:Y263)</f>
        <v>330918000</v>
      </c>
      <c r="G263" s="341"/>
      <c r="H263" s="341"/>
      <c r="I263" s="341"/>
      <c r="J263" s="341"/>
      <c r="K263" s="341"/>
      <c r="L263" s="1"/>
      <c r="M263" s="341"/>
      <c r="N263" s="341"/>
      <c r="O263" s="341"/>
      <c r="P263" s="364">
        <f>100000000+11074845-3000000-8074845</f>
        <v>100000000</v>
      </c>
      <c r="Q263" s="1"/>
      <c r="R263" s="1"/>
      <c r="S263" s="1">
        <v>230918000</v>
      </c>
      <c r="T263" s="1"/>
      <c r="U263" s="1"/>
      <c r="V263" s="1"/>
      <c r="W263" s="1"/>
      <c r="X263" s="1"/>
      <c r="Y263" s="1"/>
      <c r="Z263" s="10">
        <f>SUM(AA263:AE263)</f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2">
        <f>SUM(AG263:AJ263)</f>
        <v>0</v>
      </c>
      <c r="AG263" s="339">
        <v>0</v>
      </c>
      <c r="AH263" s="1">
        <v>0</v>
      </c>
      <c r="AI263" s="1"/>
      <c r="AJ263" s="1"/>
      <c r="AK263" s="34">
        <f>SUM(AL263+AM263)</f>
        <v>0</v>
      </c>
      <c r="AL263" s="1"/>
      <c r="AM263" s="93">
        <f>SUM(AN263:AQ263)</f>
        <v>0</v>
      </c>
      <c r="AN263" s="304"/>
      <c r="AO263" s="1"/>
      <c r="AP263" s="1"/>
      <c r="AQ263" s="1"/>
    </row>
    <row r="264" spans="1:43" ht="15.75" customHeight="1" x14ac:dyDescent="0.3">
      <c r="A264" s="46" t="s">
        <v>342</v>
      </c>
      <c r="B264" s="1903" t="s">
        <v>343</v>
      </c>
      <c r="C264" s="1904"/>
      <c r="D264" s="20">
        <f>+F264+Z264+AF264+AK264</f>
        <v>8400000</v>
      </c>
      <c r="E264" s="98">
        <f t="shared" si="202"/>
        <v>8400000</v>
      </c>
      <c r="F264" s="21">
        <f>SUM(G264:Y264)</f>
        <v>1400000</v>
      </c>
      <c r="G264" s="341"/>
      <c r="H264" s="341"/>
      <c r="I264" s="341"/>
      <c r="J264" s="341"/>
      <c r="K264" s="341"/>
      <c r="L264" s="1"/>
      <c r="M264" s="341"/>
      <c r="N264" s="341"/>
      <c r="O264" s="341"/>
      <c r="P264" s="341"/>
      <c r="Q264" s="1"/>
      <c r="R264" s="1">
        <v>1400000</v>
      </c>
      <c r="S264" s="1"/>
      <c r="T264" s="1"/>
      <c r="U264" s="1"/>
      <c r="V264" s="1"/>
      <c r="W264" s="1"/>
      <c r="X264" s="1"/>
      <c r="Y264" s="1"/>
      <c r="Z264" s="10">
        <f>SUM(AA264:AE264)</f>
        <v>0</v>
      </c>
      <c r="AA264" s="1"/>
      <c r="AB264" s="1"/>
      <c r="AC264" s="1"/>
      <c r="AD264" s="1"/>
      <c r="AE264" s="1"/>
      <c r="AF264" s="2">
        <f>SUM(AG264:AJ264)</f>
        <v>5000000</v>
      </c>
      <c r="AG264" s="339">
        <v>0</v>
      </c>
      <c r="AH264" s="13">
        <v>0</v>
      </c>
      <c r="AI264" s="13"/>
      <c r="AJ264" s="13">
        <v>5000000</v>
      </c>
      <c r="AK264" s="34">
        <f>SUM(AL264+AM264)</f>
        <v>2000000</v>
      </c>
      <c r="AL264" s="13"/>
      <c r="AM264" s="93">
        <f>SUM(AN264:AQ264)</f>
        <v>2000000</v>
      </c>
      <c r="AN264" s="309"/>
      <c r="AO264" s="13"/>
      <c r="AP264" s="13">
        <v>1000000</v>
      </c>
      <c r="AQ264" s="13">
        <v>1000000</v>
      </c>
    </row>
    <row r="265" spans="1:43" ht="15.75" customHeight="1" x14ac:dyDescent="0.3">
      <c r="A265" s="46"/>
      <c r="B265" s="381"/>
      <c r="C265" s="99"/>
      <c r="D265" s="20"/>
      <c r="E265" s="98"/>
      <c r="F265" s="21"/>
      <c r="G265" s="341"/>
      <c r="H265" s="341"/>
      <c r="I265" s="341"/>
      <c r="J265" s="341"/>
      <c r="K265" s="341"/>
      <c r="L265" s="1"/>
      <c r="M265" s="341"/>
      <c r="N265" s="341"/>
      <c r="O265" s="341"/>
      <c r="P265" s="341"/>
      <c r="Q265" s="1"/>
      <c r="R265" s="1"/>
      <c r="S265" s="1"/>
      <c r="T265" s="1"/>
      <c r="U265" s="1"/>
      <c r="V265" s="1"/>
      <c r="W265" s="1"/>
      <c r="X265" s="1"/>
      <c r="Y265" s="1"/>
      <c r="Z265" s="26"/>
      <c r="AA265" s="1"/>
      <c r="AB265" s="1"/>
      <c r="AC265" s="1"/>
      <c r="AD265" s="1"/>
      <c r="AE265" s="1"/>
      <c r="AF265" s="2" t="s">
        <v>0</v>
      </c>
      <c r="AG265" s="343" t="s">
        <v>0</v>
      </c>
      <c r="AH265" s="9" t="s">
        <v>0</v>
      </c>
      <c r="AI265" s="9" t="s">
        <v>0</v>
      </c>
      <c r="AJ265" s="9" t="s">
        <v>0</v>
      </c>
      <c r="AK265" s="34"/>
      <c r="AL265" s="12"/>
      <c r="AM265" s="118"/>
      <c r="AN265" s="317"/>
      <c r="AO265" s="12"/>
      <c r="AP265" s="12"/>
      <c r="AQ265" s="12"/>
    </row>
    <row r="266" spans="1:43" ht="15.75" customHeight="1" x14ac:dyDescent="0.3">
      <c r="A266" s="69" t="s">
        <v>344</v>
      </c>
      <c r="B266" s="1912" t="s">
        <v>345</v>
      </c>
      <c r="C266" s="1918"/>
      <c r="D266" s="21">
        <f>SUM(D267)</f>
        <v>30000000</v>
      </c>
      <c r="E266" s="71">
        <f>SUM(E267)</f>
        <v>30000000</v>
      </c>
      <c r="F266" s="21">
        <f>SUM(G266:Y266)</f>
        <v>30000000</v>
      </c>
      <c r="G266" s="23">
        <f t="shared" ref="G266:AE266" si="203">G267</f>
        <v>0</v>
      </c>
      <c r="H266" s="23">
        <f t="shared" si="203"/>
        <v>0</v>
      </c>
      <c r="I266" s="23">
        <f t="shared" si="203"/>
        <v>0</v>
      </c>
      <c r="J266" s="23">
        <f t="shared" si="203"/>
        <v>0</v>
      </c>
      <c r="K266" s="23">
        <f t="shared" si="203"/>
        <v>0</v>
      </c>
      <c r="L266" s="23">
        <f t="shared" si="203"/>
        <v>0</v>
      </c>
      <c r="M266" s="23">
        <f t="shared" si="203"/>
        <v>0</v>
      </c>
      <c r="N266" s="23">
        <f t="shared" si="203"/>
        <v>0</v>
      </c>
      <c r="O266" s="23">
        <f t="shared" si="203"/>
        <v>0</v>
      </c>
      <c r="P266" s="23">
        <f t="shared" si="203"/>
        <v>0</v>
      </c>
      <c r="Q266" s="23">
        <f t="shared" si="203"/>
        <v>0</v>
      </c>
      <c r="R266" s="23">
        <f t="shared" si="203"/>
        <v>0</v>
      </c>
      <c r="S266" s="23">
        <f t="shared" si="203"/>
        <v>0</v>
      </c>
      <c r="T266" s="23">
        <f t="shared" si="203"/>
        <v>0</v>
      </c>
      <c r="U266" s="23">
        <f t="shared" si="203"/>
        <v>0</v>
      </c>
      <c r="V266" s="23">
        <f t="shared" si="203"/>
        <v>0</v>
      </c>
      <c r="W266" s="23">
        <f t="shared" si="203"/>
        <v>0</v>
      </c>
      <c r="X266" s="23">
        <f t="shared" si="203"/>
        <v>30000000</v>
      </c>
      <c r="Y266" s="23">
        <f t="shared" si="203"/>
        <v>0</v>
      </c>
      <c r="Z266" s="23">
        <f t="shared" si="203"/>
        <v>0</v>
      </c>
      <c r="AA266" s="23">
        <f t="shared" si="203"/>
        <v>0</v>
      </c>
      <c r="AB266" s="23">
        <f t="shared" si="203"/>
        <v>0</v>
      </c>
      <c r="AC266" s="23">
        <f t="shared" si="203"/>
        <v>0</v>
      </c>
      <c r="AD266" s="23">
        <f t="shared" si="203"/>
        <v>0</v>
      </c>
      <c r="AE266" s="23">
        <f t="shared" si="203"/>
        <v>0</v>
      </c>
      <c r="AF266" s="2">
        <f>SUM(AF267)</f>
        <v>0</v>
      </c>
      <c r="AG266" s="345">
        <f t="shared" ref="AG266:AQ266" si="204">SUM(AG267)</f>
        <v>0</v>
      </c>
      <c r="AH266" s="33">
        <f t="shared" si="204"/>
        <v>0</v>
      </c>
      <c r="AI266" s="33">
        <f t="shared" si="204"/>
        <v>0</v>
      </c>
      <c r="AJ266" s="33">
        <f t="shared" si="204"/>
        <v>0</v>
      </c>
      <c r="AK266" s="34">
        <f t="shared" si="204"/>
        <v>0</v>
      </c>
      <c r="AL266" s="35">
        <f t="shared" si="204"/>
        <v>0</v>
      </c>
      <c r="AM266" s="34">
        <f t="shared" si="204"/>
        <v>0</v>
      </c>
      <c r="AN266" s="305">
        <f t="shared" si="204"/>
        <v>0</v>
      </c>
      <c r="AO266" s="35">
        <f t="shared" si="204"/>
        <v>0</v>
      </c>
      <c r="AP266" s="35">
        <f t="shared" si="204"/>
        <v>0</v>
      </c>
      <c r="AQ266" s="35">
        <f t="shared" si="204"/>
        <v>0</v>
      </c>
    </row>
    <row r="267" spans="1:43" ht="15.75" customHeight="1" x14ac:dyDescent="0.3">
      <c r="A267" s="46" t="s">
        <v>346</v>
      </c>
      <c r="B267" s="1903" t="s">
        <v>347</v>
      </c>
      <c r="C267" s="1904"/>
      <c r="D267" s="20">
        <f>+F267+Z267+AF267+AK267</f>
        <v>30000000</v>
      </c>
      <c r="E267" s="98">
        <f t="shared" ref="E267" si="205">SUM(G267+H267+I267+J267+K267+L267+M267+N267+O267+P267+Q267+R267+S267+T267+U267+V267+W267+X267+Y267+AA267+AB267+AC267+AD267+AE267+AG267+AH267+AI267+AJ267+AL267+AN267+AO267+AP267+AQ267)</f>
        <v>30000000</v>
      </c>
      <c r="F267" s="21">
        <f>SUM(G267:Y267)</f>
        <v>30000000</v>
      </c>
      <c r="G267" s="341"/>
      <c r="H267" s="341"/>
      <c r="I267" s="341"/>
      <c r="J267" s="341"/>
      <c r="K267" s="341"/>
      <c r="L267" s="1"/>
      <c r="M267" s="341"/>
      <c r="N267" s="341"/>
      <c r="O267" s="341"/>
      <c r="P267" s="341"/>
      <c r="Q267" s="1"/>
      <c r="R267" s="1"/>
      <c r="S267" s="1"/>
      <c r="T267" s="1"/>
      <c r="U267" s="1"/>
      <c r="V267" s="1"/>
      <c r="W267" s="1"/>
      <c r="X267" s="1">
        <v>30000000</v>
      </c>
      <c r="Y267" s="1"/>
      <c r="Z267" s="10">
        <f>SUM(AA267:AE267)</f>
        <v>0</v>
      </c>
      <c r="AA267" s="1"/>
      <c r="AB267" s="1"/>
      <c r="AC267" s="1"/>
      <c r="AD267" s="1"/>
      <c r="AE267" s="1"/>
      <c r="AF267" s="2">
        <f>SUM(AG267:AJ267)</f>
        <v>0</v>
      </c>
      <c r="AG267" s="339">
        <v>0</v>
      </c>
      <c r="AH267" s="13">
        <v>0</v>
      </c>
      <c r="AI267" s="35">
        <v>0</v>
      </c>
      <c r="AJ267" s="35">
        <v>0</v>
      </c>
      <c r="AK267" s="34">
        <f>SUM(AL267+AM267)</f>
        <v>0</v>
      </c>
      <c r="AL267" s="35">
        <v>0</v>
      </c>
      <c r="AM267" s="93">
        <f>SUM(AN267:AQ267)</f>
        <v>0</v>
      </c>
      <c r="AN267" s="305">
        <v>0</v>
      </c>
      <c r="AO267" s="35">
        <v>0</v>
      </c>
      <c r="AP267" s="35">
        <v>0</v>
      </c>
      <c r="AQ267" s="35">
        <v>0</v>
      </c>
    </row>
    <row r="268" spans="1:43" ht="15.75" customHeight="1" x14ac:dyDescent="0.3">
      <c r="A268" s="46"/>
      <c r="B268" s="381"/>
      <c r="C268" s="99"/>
      <c r="D268" s="20"/>
      <c r="E268" s="98"/>
      <c r="F268" s="21"/>
      <c r="G268" s="341"/>
      <c r="H268" s="341"/>
      <c r="I268" s="341"/>
      <c r="J268" s="341"/>
      <c r="K268" s="341"/>
      <c r="L268" s="1"/>
      <c r="M268" s="341"/>
      <c r="N268" s="341"/>
      <c r="O268" s="341"/>
      <c r="P268" s="341"/>
      <c r="Q268" s="1"/>
      <c r="R268" s="1"/>
      <c r="S268" s="1"/>
      <c r="T268" s="1"/>
      <c r="U268" s="1"/>
      <c r="V268" s="1"/>
      <c r="W268" s="1"/>
      <c r="X268" s="1"/>
      <c r="Y268" s="1"/>
      <c r="Z268" s="26"/>
      <c r="AA268" s="1"/>
      <c r="AB268" s="1"/>
      <c r="AC268" s="1"/>
      <c r="AD268" s="1"/>
      <c r="AE268" s="1"/>
      <c r="AF268" s="2" t="s">
        <v>0</v>
      </c>
      <c r="AG268" s="339" t="s">
        <v>0</v>
      </c>
      <c r="AH268" s="13" t="s">
        <v>0</v>
      </c>
      <c r="AI268" s="35"/>
      <c r="AJ268" s="35"/>
      <c r="AK268" s="34"/>
      <c r="AL268" s="35"/>
      <c r="AM268" s="34"/>
      <c r="AN268" s="305"/>
      <c r="AO268" s="35"/>
      <c r="AP268" s="35"/>
      <c r="AQ268" s="35"/>
    </row>
    <row r="269" spans="1:43" ht="15.75" customHeight="1" x14ac:dyDescent="0.3">
      <c r="A269" s="69">
        <v>7</v>
      </c>
      <c r="B269" s="1912" t="s">
        <v>348</v>
      </c>
      <c r="C269" s="1918"/>
      <c r="D269" s="33">
        <f>SUM(D271+D275)</f>
        <v>5906221619</v>
      </c>
      <c r="E269" s="71">
        <f>SUM(E271+E275)</f>
        <v>5906221619</v>
      </c>
      <c r="F269" s="25">
        <f>+F271+F275</f>
        <v>0</v>
      </c>
      <c r="G269" s="25">
        <f>G275</f>
        <v>0</v>
      </c>
      <c r="H269" s="25">
        <f>H275</f>
        <v>0</v>
      </c>
      <c r="I269" s="25">
        <f>I275</f>
        <v>0</v>
      </c>
      <c r="J269" s="25">
        <f>J275</f>
        <v>0</v>
      </c>
      <c r="K269" s="25">
        <f>K275</f>
        <v>0</v>
      </c>
      <c r="L269" s="25">
        <f>+L271+L275</f>
        <v>0</v>
      </c>
      <c r="M269" s="25">
        <f>M275</f>
        <v>0</v>
      </c>
      <c r="N269" s="25">
        <f>N275</f>
        <v>0</v>
      </c>
      <c r="O269" s="25">
        <f>O275</f>
        <v>0</v>
      </c>
      <c r="P269" s="25">
        <f>P275</f>
        <v>0</v>
      </c>
      <c r="Q269" s="25">
        <f t="shared" ref="Q269:Z269" si="206">+Q271+Q275</f>
        <v>0</v>
      </c>
      <c r="R269" s="25">
        <f t="shared" si="206"/>
        <v>0</v>
      </c>
      <c r="S269" s="25">
        <f t="shared" si="206"/>
        <v>0</v>
      </c>
      <c r="T269" s="25">
        <f>+T271+T275</f>
        <v>0</v>
      </c>
      <c r="U269" s="25">
        <f t="shared" si="206"/>
        <v>0</v>
      </c>
      <c r="V269" s="25">
        <f>+V271+V275</f>
        <v>0</v>
      </c>
      <c r="W269" s="25">
        <f>+W271+W275</f>
        <v>0</v>
      </c>
      <c r="X269" s="25">
        <f>+X271+X275</f>
        <v>0</v>
      </c>
      <c r="Y269" s="25">
        <f t="shared" si="206"/>
        <v>0</v>
      </c>
      <c r="Z269" s="25">
        <f t="shared" si="206"/>
        <v>0</v>
      </c>
      <c r="AA269" s="25">
        <f>+AA271+AA275</f>
        <v>0</v>
      </c>
      <c r="AB269" s="25">
        <f>+AB271+AB275</f>
        <v>0</v>
      </c>
      <c r="AC269" s="25">
        <f>+AC271+AC275</f>
        <v>0</v>
      </c>
      <c r="AD269" s="25">
        <f>+AD271+AD275</f>
        <v>0</v>
      </c>
      <c r="AE269" s="25">
        <f>+AE271+AE275</f>
        <v>0</v>
      </c>
      <c r="AF269" s="2">
        <f>SUM(AF271+AF275)</f>
        <v>1537960971</v>
      </c>
      <c r="AG269" s="345">
        <f t="shared" ref="AG269:AQ269" si="207">AG271+AG275</f>
        <v>0</v>
      </c>
      <c r="AH269" s="33">
        <f t="shared" si="207"/>
        <v>1522960971</v>
      </c>
      <c r="AI269" s="33">
        <f t="shared" si="207"/>
        <v>0</v>
      </c>
      <c r="AJ269" s="33">
        <f t="shared" si="207"/>
        <v>15000000</v>
      </c>
      <c r="AK269" s="34">
        <f t="shared" si="207"/>
        <v>4368260648</v>
      </c>
      <c r="AL269" s="35">
        <f t="shared" si="207"/>
        <v>0</v>
      </c>
      <c r="AM269" s="34">
        <f t="shared" si="207"/>
        <v>4368260648</v>
      </c>
      <c r="AN269" s="305">
        <f>AN271+AN275</f>
        <v>0</v>
      </c>
      <c r="AO269" s="35">
        <f t="shared" si="207"/>
        <v>0</v>
      </c>
      <c r="AP269" s="35">
        <f t="shared" si="207"/>
        <v>0</v>
      </c>
      <c r="AQ269" s="33">
        <f t="shared" si="207"/>
        <v>4368260648</v>
      </c>
    </row>
    <row r="270" spans="1:43" ht="15.75" customHeight="1" x14ac:dyDescent="0.3">
      <c r="A270" s="46"/>
      <c r="B270" s="381"/>
      <c r="C270" s="99"/>
      <c r="D270" s="20"/>
      <c r="E270" s="98"/>
      <c r="F270" s="21"/>
      <c r="G270" s="341"/>
      <c r="H270" s="341"/>
      <c r="I270" s="341"/>
      <c r="J270" s="341"/>
      <c r="K270" s="341"/>
      <c r="L270" s="1"/>
      <c r="M270" s="341"/>
      <c r="N270" s="341"/>
      <c r="O270" s="341"/>
      <c r="P270" s="341"/>
      <c r="Q270" s="1"/>
      <c r="R270" s="1"/>
      <c r="S270" s="1"/>
      <c r="T270" s="1"/>
      <c r="U270" s="1"/>
      <c r="V270" s="1"/>
      <c r="W270" s="1"/>
      <c r="X270" s="1"/>
      <c r="Y270" s="1"/>
      <c r="Z270" s="26"/>
      <c r="AA270" s="1"/>
      <c r="AB270" s="1"/>
      <c r="AC270" s="1"/>
      <c r="AD270" s="1"/>
      <c r="AE270" s="1"/>
      <c r="AF270" s="2" t="s">
        <v>0</v>
      </c>
      <c r="AG270" s="345" t="s">
        <v>0</v>
      </c>
      <c r="AH270" s="6" t="s">
        <v>0</v>
      </c>
      <c r="AI270" s="33"/>
      <c r="AJ270" s="33"/>
      <c r="AK270" s="34"/>
      <c r="AL270" s="35"/>
      <c r="AM270" s="34"/>
      <c r="AN270" s="305"/>
      <c r="AO270" s="35"/>
      <c r="AP270" s="35"/>
      <c r="AQ270" s="35"/>
    </row>
    <row r="271" spans="1:43" ht="15.75" customHeight="1" x14ac:dyDescent="0.3">
      <c r="A271" s="40" t="s">
        <v>376</v>
      </c>
      <c r="B271" s="1912" t="s">
        <v>377</v>
      </c>
      <c r="C271" s="1918"/>
      <c r="D271" s="21">
        <f>SUM(D272:D273)</f>
        <v>40000000</v>
      </c>
      <c r="E271" s="71">
        <f>SUM(E273)</f>
        <v>40000000</v>
      </c>
      <c r="F271" s="21">
        <f>SUM(F272:F273)</f>
        <v>0</v>
      </c>
      <c r="G271" s="341"/>
      <c r="H271" s="341"/>
      <c r="I271" s="341"/>
      <c r="J271" s="341"/>
      <c r="K271" s="341"/>
      <c r="L271" s="25">
        <f>+L272+L273</f>
        <v>0</v>
      </c>
      <c r="M271" s="341"/>
      <c r="N271" s="341"/>
      <c r="O271" s="341"/>
      <c r="P271" s="341"/>
      <c r="Q271" s="1">
        <f t="shared" ref="Q271:Z271" si="208">+Q272+Q273</f>
        <v>0</v>
      </c>
      <c r="R271" s="1">
        <f t="shared" si="208"/>
        <v>0</v>
      </c>
      <c r="S271" s="1">
        <f t="shared" si="208"/>
        <v>0</v>
      </c>
      <c r="T271" s="1">
        <f>+T272+T273</f>
        <v>0</v>
      </c>
      <c r="U271" s="1">
        <f t="shared" si="208"/>
        <v>0</v>
      </c>
      <c r="V271" s="1">
        <f>+V272+V273</f>
        <v>0</v>
      </c>
      <c r="W271" s="1">
        <f>+W272+W273</f>
        <v>0</v>
      </c>
      <c r="X271" s="1">
        <f>+X272+X273</f>
        <v>0</v>
      </c>
      <c r="Y271" s="1">
        <f t="shared" si="208"/>
        <v>0</v>
      </c>
      <c r="Z271" s="25">
        <f t="shared" si="208"/>
        <v>0</v>
      </c>
      <c r="AA271" s="25">
        <f>+AA272+AA273</f>
        <v>0</v>
      </c>
      <c r="AB271" s="25">
        <f>+AB272+AB273</f>
        <v>0</v>
      </c>
      <c r="AC271" s="25">
        <f>+AC272+AC273</f>
        <v>0</v>
      </c>
      <c r="AD271" s="25">
        <f>+AD272+AD273</f>
        <v>0</v>
      </c>
      <c r="AE271" s="25">
        <f>+AE272+AE273</f>
        <v>0</v>
      </c>
      <c r="AF271" s="2">
        <f>SUM(AF273)</f>
        <v>15000000</v>
      </c>
      <c r="AG271" s="345">
        <f t="shared" ref="AG271:AQ271" si="209">SUM(AG272:AG273)</f>
        <v>0</v>
      </c>
      <c r="AH271" s="33">
        <f t="shared" si="209"/>
        <v>0</v>
      </c>
      <c r="AI271" s="33">
        <f t="shared" si="209"/>
        <v>0</v>
      </c>
      <c r="AJ271" s="33">
        <f t="shared" si="209"/>
        <v>15000000</v>
      </c>
      <c r="AK271" s="34">
        <f t="shared" si="209"/>
        <v>25000000</v>
      </c>
      <c r="AL271" s="35">
        <f t="shared" si="209"/>
        <v>0</v>
      </c>
      <c r="AM271" s="34">
        <f t="shared" si="209"/>
        <v>25000000</v>
      </c>
      <c r="AN271" s="305">
        <f>SUM(AN272:AN273)</f>
        <v>0</v>
      </c>
      <c r="AO271" s="35">
        <f t="shared" si="209"/>
        <v>0</v>
      </c>
      <c r="AP271" s="35">
        <f t="shared" si="209"/>
        <v>0</v>
      </c>
      <c r="AQ271" s="35">
        <f t="shared" si="209"/>
        <v>25000000</v>
      </c>
    </row>
    <row r="272" spans="1:43" ht="15.75" hidden="1" customHeight="1" x14ac:dyDescent="0.3">
      <c r="A272" s="46" t="s">
        <v>374</v>
      </c>
      <c r="B272" s="381" t="s">
        <v>378</v>
      </c>
      <c r="C272" s="225"/>
      <c r="D272" s="20">
        <f>+F272+Z272+AF272+AK272</f>
        <v>0</v>
      </c>
      <c r="E272" s="98">
        <f>SUM(F272+Z272+AF272+AK272)</f>
        <v>0</v>
      </c>
      <c r="F272" s="21">
        <f>SUM(G272:Y272)</f>
        <v>0</v>
      </c>
      <c r="G272" s="341"/>
      <c r="H272" s="341"/>
      <c r="I272" s="341"/>
      <c r="J272" s="341"/>
      <c r="K272" s="341"/>
      <c r="L272" s="1"/>
      <c r="M272" s="341"/>
      <c r="N272" s="341"/>
      <c r="O272" s="341"/>
      <c r="P272" s="341"/>
      <c r="Q272" s="1"/>
      <c r="R272" s="1"/>
      <c r="S272" s="1"/>
      <c r="T272" s="1"/>
      <c r="U272" s="1"/>
      <c r="V272" s="1"/>
      <c r="W272" s="1"/>
      <c r="X272" s="1"/>
      <c r="Y272" s="1"/>
      <c r="Z272" s="26"/>
      <c r="AA272" s="1"/>
      <c r="AB272" s="1"/>
      <c r="AC272" s="1"/>
      <c r="AD272" s="1"/>
      <c r="AE272" s="1"/>
      <c r="AF272" s="2">
        <f>SUM(AG272:AI272)</f>
        <v>0</v>
      </c>
      <c r="AG272" s="339">
        <v>0</v>
      </c>
      <c r="AH272" s="13">
        <v>0</v>
      </c>
      <c r="AI272" s="35">
        <v>0</v>
      </c>
      <c r="AJ272" s="35">
        <v>0</v>
      </c>
      <c r="AK272" s="34">
        <v>0</v>
      </c>
      <c r="AL272" s="35">
        <v>0</v>
      </c>
      <c r="AM272" s="34">
        <v>0</v>
      </c>
      <c r="AN272" s="305">
        <v>0</v>
      </c>
      <c r="AO272" s="35">
        <v>0</v>
      </c>
      <c r="AP272" s="35">
        <v>0</v>
      </c>
      <c r="AQ272" s="35">
        <v>0</v>
      </c>
    </row>
    <row r="273" spans="1:45" ht="16.5" customHeight="1" x14ac:dyDescent="0.3">
      <c r="A273" s="46" t="s">
        <v>375</v>
      </c>
      <c r="B273" s="226" t="s">
        <v>485</v>
      </c>
      <c r="C273" s="225"/>
      <c r="D273" s="20">
        <f>+F273+Z273+AF273+AK273</f>
        <v>40000000</v>
      </c>
      <c r="E273" s="98">
        <f t="shared" ref="E273" si="210">SUM(G273+H273+I273+J273+K273+L273+M273+N273+O273+P273+Q273+R273+S273+T273+U273+V273+W273+X273+Y273+AA273+AB273+AC273+AD273+AE273+AG273+AH273+AI273+AJ273+AL273+AN273+AO273+AP273+AQ273)</f>
        <v>40000000</v>
      </c>
      <c r="F273" s="21">
        <f>SUM(G273:Y273)</f>
        <v>0</v>
      </c>
      <c r="G273" s="341"/>
      <c r="H273" s="341"/>
      <c r="I273" s="341"/>
      <c r="J273" s="341"/>
      <c r="K273" s="341"/>
      <c r="L273" s="1"/>
      <c r="M273" s="341"/>
      <c r="N273" s="341"/>
      <c r="O273" s="341"/>
      <c r="P273" s="341"/>
      <c r="Q273" s="1"/>
      <c r="R273" s="1"/>
      <c r="S273" s="1"/>
      <c r="T273" s="1"/>
      <c r="U273" s="1"/>
      <c r="V273" s="1"/>
      <c r="W273" s="1"/>
      <c r="X273" s="1"/>
      <c r="Y273" s="1"/>
      <c r="Z273" s="10">
        <f>SUM(AA273:AE273)</f>
        <v>0</v>
      </c>
      <c r="AA273" s="1"/>
      <c r="AB273" s="1"/>
      <c r="AC273" s="1"/>
      <c r="AD273" s="1"/>
      <c r="AE273" s="1"/>
      <c r="AF273" s="2">
        <f>SUM(AG273:AJ273)</f>
        <v>15000000</v>
      </c>
      <c r="AG273" s="339"/>
      <c r="AH273" s="13"/>
      <c r="AI273" s="35">
        <v>0</v>
      </c>
      <c r="AJ273" s="35">
        <v>15000000</v>
      </c>
      <c r="AK273" s="34">
        <f>SUM(AL273+AM273)</f>
        <v>25000000</v>
      </c>
      <c r="AL273" s="35">
        <v>0</v>
      </c>
      <c r="AM273" s="93">
        <f>SUM(AN273:AQ273)</f>
        <v>25000000</v>
      </c>
      <c r="AN273" s="305">
        <v>0</v>
      </c>
      <c r="AO273" s="35">
        <v>0</v>
      </c>
      <c r="AP273" s="35">
        <v>0</v>
      </c>
      <c r="AQ273" s="35">
        <v>25000000</v>
      </c>
    </row>
    <row r="274" spans="1:45" ht="15.75" customHeight="1" x14ac:dyDescent="0.3">
      <c r="A274" s="40"/>
      <c r="B274" s="381"/>
      <c r="C274" s="99"/>
      <c r="D274" s="20"/>
      <c r="E274" s="98"/>
      <c r="F274" s="21"/>
      <c r="G274" s="341"/>
      <c r="H274" s="341"/>
      <c r="I274" s="341"/>
      <c r="J274" s="341"/>
      <c r="K274" s="341"/>
      <c r="L274" s="1"/>
      <c r="M274" s="341"/>
      <c r="N274" s="341"/>
      <c r="O274" s="341"/>
      <c r="P274" s="341"/>
      <c r="Q274" s="1"/>
      <c r="R274" s="1"/>
      <c r="S274" s="1"/>
      <c r="T274" s="1"/>
      <c r="U274" s="1"/>
      <c r="V274" s="1"/>
      <c r="W274" s="1"/>
      <c r="X274" s="1"/>
      <c r="Y274" s="1"/>
      <c r="Z274" s="26"/>
      <c r="AA274" s="1"/>
      <c r="AB274" s="1"/>
      <c r="AC274" s="1"/>
      <c r="AD274" s="1"/>
      <c r="AE274" s="1"/>
      <c r="AF274" s="2" t="s">
        <v>0</v>
      </c>
      <c r="AG274" s="343" t="s">
        <v>0</v>
      </c>
      <c r="AH274" s="9" t="s">
        <v>0</v>
      </c>
      <c r="AI274" s="35"/>
      <c r="AJ274" s="35"/>
      <c r="AK274" s="34"/>
      <c r="AL274" s="35"/>
      <c r="AM274" s="34"/>
      <c r="AN274" s="305"/>
      <c r="AO274" s="35"/>
      <c r="AP274" s="35"/>
      <c r="AQ274" s="35"/>
    </row>
    <row r="275" spans="1:45" ht="15.75" customHeight="1" x14ac:dyDescent="0.3">
      <c r="A275" s="40" t="s">
        <v>349</v>
      </c>
      <c r="B275" s="1912" t="s">
        <v>350</v>
      </c>
      <c r="C275" s="1919"/>
      <c r="D275" s="21">
        <f>SUM(D276:D283)</f>
        <v>5866221619</v>
      </c>
      <c r="E275" s="71">
        <f>SUM(E276:E283)</f>
        <v>5866221619</v>
      </c>
      <c r="F275" s="21">
        <f>SUM(G275:Y275)</f>
        <v>0</v>
      </c>
      <c r="G275" s="23">
        <f t="shared" ref="G275:AE275" si="211">G276</f>
        <v>0</v>
      </c>
      <c r="H275" s="23">
        <f t="shared" si="211"/>
        <v>0</v>
      </c>
      <c r="I275" s="23">
        <f t="shared" si="211"/>
        <v>0</v>
      </c>
      <c r="J275" s="23">
        <f t="shared" si="211"/>
        <v>0</v>
      </c>
      <c r="K275" s="23">
        <f t="shared" si="211"/>
        <v>0</v>
      </c>
      <c r="L275" s="23">
        <f t="shared" si="211"/>
        <v>0</v>
      </c>
      <c r="M275" s="23">
        <f t="shared" si="211"/>
        <v>0</v>
      </c>
      <c r="N275" s="23">
        <f t="shared" si="211"/>
        <v>0</v>
      </c>
      <c r="O275" s="23">
        <f t="shared" si="211"/>
        <v>0</v>
      </c>
      <c r="P275" s="23">
        <f t="shared" si="211"/>
        <v>0</v>
      </c>
      <c r="Q275" s="23">
        <f t="shared" si="211"/>
        <v>0</v>
      </c>
      <c r="R275" s="23">
        <f t="shared" si="211"/>
        <v>0</v>
      </c>
      <c r="S275" s="23">
        <f t="shared" si="211"/>
        <v>0</v>
      </c>
      <c r="T275" s="23">
        <f t="shared" si="211"/>
        <v>0</v>
      </c>
      <c r="U275" s="23">
        <f t="shared" si="211"/>
        <v>0</v>
      </c>
      <c r="V275" s="23">
        <f t="shared" si="211"/>
        <v>0</v>
      </c>
      <c r="W275" s="23">
        <f t="shared" si="211"/>
        <v>0</v>
      </c>
      <c r="X275" s="23">
        <f t="shared" si="211"/>
        <v>0</v>
      </c>
      <c r="Y275" s="23">
        <f t="shared" si="211"/>
        <v>0</v>
      </c>
      <c r="Z275" s="23">
        <f t="shared" si="211"/>
        <v>0</v>
      </c>
      <c r="AA275" s="23">
        <f t="shared" si="211"/>
        <v>0</v>
      </c>
      <c r="AB275" s="23">
        <f t="shared" si="211"/>
        <v>0</v>
      </c>
      <c r="AC275" s="23">
        <f t="shared" si="211"/>
        <v>0</v>
      </c>
      <c r="AD275" s="23">
        <f t="shared" si="211"/>
        <v>0</v>
      </c>
      <c r="AE275" s="23">
        <f t="shared" si="211"/>
        <v>0</v>
      </c>
      <c r="AF275" s="2">
        <f>SUM(AF276:AF283)</f>
        <v>1522960971</v>
      </c>
      <c r="AG275" s="345">
        <f>SUM(AG276)</f>
        <v>0</v>
      </c>
      <c r="AH275" s="33">
        <f>SUM(AH276:AH283)</f>
        <v>1522960971</v>
      </c>
      <c r="AI275" s="33">
        <f t="shared" ref="AI275:AP275" si="212">SUM(AI276)</f>
        <v>0</v>
      </c>
      <c r="AJ275" s="33">
        <f t="shared" si="212"/>
        <v>0</v>
      </c>
      <c r="AK275" s="34">
        <f>SUM(AK276:AK277)</f>
        <v>4343260648</v>
      </c>
      <c r="AL275" s="35">
        <f t="shared" si="212"/>
        <v>0</v>
      </c>
      <c r="AM275" s="34">
        <f>SUM(AM276:AM283)</f>
        <v>4343260648</v>
      </c>
      <c r="AN275" s="308">
        <f t="shared" si="212"/>
        <v>0</v>
      </c>
      <c r="AO275" s="33">
        <f t="shared" si="212"/>
        <v>0</v>
      </c>
      <c r="AP275" s="33">
        <f t="shared" si="212"/>
        <v>0</v>
      </c>
      <c r="AQ275" s="33">
        <f>SUM(AQ276:AQ283)</f>
        <v>4343260648</v>
      </c>
      <c r="AS275" s="196"/>
    </row>
    <row r="276" spans="1:45" ht="15.75" customHeight="1" x14ac:dyDescent="0.3">
      <c r="A276" s="46" t="s">
        <v>546</v>
      </c>
      <c r="B276" s="1903" t="s">
        <v>351</v>
      </c>
      <c r="C276" s="1904"/>
      <c r="D276" s="20">
        <f t="shared" ref="D276:D283" si="213">+F276+Z276+AF276+AK276</f>
        <v>2852705648</v>
      </c>
      <c r="E276" s="98">
        <f t="shared" ref="E276:E283" si="214">SUM(G276+H276+I276+J276+K276+L276+M276+N276+O276+P276+Q276+R276+S276+T276+U276+V276+W276+X276+Y276+AA276+AB276+AC276+AD276+AE276+AG276+AH276+AI276+AJ276+AL276+AN276+AO276+AP276+AQ276)</f>
        <v>2852705648</v>
      </c>
      <c r="F276" s="21">
        <f>SUM(G276:Y276)</f>
        <v>0</v>
      </c>
      <c r="G276" s="341"/>
      <c r="H276" s="341"/>
      <c r="I276" s="341"/>
      <c r="J276" s="341"/>
      <c r="K276" s="341"/>
      <c r="L276" s="1"/>
      <c r="M276" s="341"/>
      <c r="N276" s="341"/>
      <c r="O276" s="341"/>
      <c r="P276" s="341"/>
      <c r="Q276" s="1"/>
      <c r="R276" s="1"/>
      <c r="S276" s="1"/>
      <c r="T276" s="1"/>
      <c r="U276" s="1"/>
      <c r="V276" s="1"/>
      <c r="W276" s="1"/>
      <c r="X276" s="1"/>
      <c r="Y276" s="1"/>
      <c r="Z276" s="10">
        <f t="shared" ref="Z276:Z281" si="215">SUM(AA276:AE276)</f>
        <v>0</v>
      </c>
      <c r="AA276" s="1"/>
      <c r="AB276" s="1"/>
      <c r="AC276" s="1"/>
      <c r="AD276" s="1"/>
      <c r="AE276" s="1"/>
      <c r="AF276" s="2">
        <f t="shared" ref="AF276:AF283" si="216">SUM(AG276:AJ276)</f>
        <v>0</v>
      </c>
      <c r="AG276" s="339"/>
      <c r="AH276" s="13"/>
      <c r="AI276" s="35">
        <v>0</v>
      </c>
      <c r="AJ276" s="35">
        <v>0</v>
      </c>
      <c r="AK276" s="34">
        <f t="shared" ref="AK276:AK281" si="217">SUM(AL276+AM276)</f>
        <v>2852705648</v>
      </c>
      <c r="AL276" s="35">
        <v>0</v>
      </c>
      <c r="AM276" s="93">
        <f t="shared" ref="AM276:AM281" si="218">SUM(AN276:AQ276)</f>
        <v>2852705648</v>
      </c>
      <c r="AN276" s="305">
        <v>0</v>
      </c>
      <c r="AO276" s="35">
        <v>0</v>
      </c>
      <c r="AP276" s="35">
        <v>0</v>
      </c>
      <c r="AQ276" s="35">
        <f>2352705648+500000000</f>
        <v>2852705648</v>
      </c>
      <c r="AS276" s="196"/>
    </row>
    <row r="277" spans="1:45" ht="15.75" customHeight="1" x14ac:dyDescent="0.3">
      <c r="A277" s="46" t="s">
        <v>547</v>
      </c>
      <c r="B277" s="381" t="s">
        <v>548</v>
      </c>
      <c r="C277" s="99"/>
      <c r="D277" s="20">
        <f t="shared" si="213"/>
        <v>1490555000</v>
      </c>
      <c r="E277" s="98">
        <f t="shared" si="214"/>
        <v>1490555000</v>
      </c>
      <c r="F277" s="21"/>
      <c r="G277" s="341"/>
      <c r="H277" s="341"/>
      <c r="I277" s="341"/>
      <c r="J277" s="341"/>
      <c r="K277" s="341"/>
      <c r="L277" s="1"/>
      <c r="M277" s="341"/>
      <c r="N277" s="341"/>
      <c r="O277" s="341"/>
      <c r="P277" s="341"/>
      <c r="Q277" s="1"/>
      <c r="R277" s="1"/>
      <c r="S277" s="1"/>
      <c r="T277" s="1"/>
      <c r="U277" s="1"/>
      <c r="V277" s="1"/>
      <c r="W277" s="1"/>
      <c r="X277" s="1"/>
      <c r="Y277" s="1"/>
      <c r="Z277" s="10">
        <f t="shared" si="215"/>
        <v>0</v>
      </c>
      <c r="AA277" s="1"/>
      <c r="AB277" s="1"/>
      <c r="AC277" s="1"/>
      <c r="AD277" s="1"/>
      <c r="AE277" s="1"/>
      <c r="AF277" s="2">
        <f t="shared" si="216"/>
        <v>0</v>
      </c>
      <c r="AG277" s="339"/>
      <c r="AH277" s="13"/>
      <c r="AI277" s="35"/>
      <c r="AJ277" s="35"/>
      <c r="AK277" s="34">
        <f t="shared" si="217"/>
        <v>1490555000</v>
      </c>
      <c r="AL277" s="35"/>
      <c r="AM277" s="93">
        <f t="shared" si="218"/>
        <v>1490555000</v>
      </c>
      <c r="AN277" s="305"/>
      <c r="AO277" s="35"/>
      <c r="AP277" s="35"/>
      <c r="AQ277" s="35">
        <f>990555000+500000000</f>
        <v>1490555000</v>
      </c>
      <c r="AS277" s="196"/>
    </row>
    <row r="278" spans="1:45" ht="30.6" hidden="1" x14ac:dyDescent="0.3">
      <c r="A278" s="46" t="s">
        <v>561</v>
      </c>
      <c r="B278" s="381" t="s">
        <v>563</v>
      </c>
      <c r="C278" s="245"/>
      <c r="D278" s="20">
        <f t="shared" si="213"/>
        <v>0</v>
      </c>
      <c r="E278" s="98">
        <f t="shared" si="214"/>
        <v>0</v>
      </c>
      <c r="F278" s="175"/>
      <c r="G278" s="5"/>
      <c r="H278" s="5"/>
      <c r="I278" s="5"/>
      <c r="J278" s="5"/>
      <c r="K278" s="5"/>
      <c r="L278" s="1"/>
      <c r="M278" s="5"/>
      <c r="N278" s="5"/>
      <c r="O278" s="5"/>
      <c r="P278" s="5"/>
      <c r="Q278" s="365"/>
      <c r="R278" s="1"/>
      <c r="S278" s="1"/>
      <c r="T278" s="1"/>
      <c r="U278" s="1"/>
      <c r="V278" s="1"/>
      <c r="W278" s="1"/>
      <c r="X278" s="1"/>
      <c r="Y278" s="1"/>
      <c r="Z278" s="10">
        <f t="shared" si="215"/>
        <v>0</v>
      </c>
      <c r="AA278" s="5"/>
      <c r="AB278" s="5"/>
      <c r="AC278" s="5"/>
      <c r="AD278" s="5"/>
      <c r="AE278" s="5"/>
      <c r="AF278" s="2">
        <f t="shared" si="216"/>
        <v>0</v>
      </c>
      <c r="AG278" s="339"/>
      <c r="AH278" s="13"/>
      <c r="AI278" s="35"/>
      <c r="AJ278" s="35"/>
      <c r="AK278" s="34">
        <f t="shared" si="217"/>
        <v>0</v>
      </c>
      <c r="AL278" s="35"/>
      <c r="AM278" s="93">
        <f t="shared" si="218"/>
        <v>0</v>
      </c>
      <c r="AN278" s="305"/>
      <c r="AO278" s="35"/>
      <c r="AP278" s="35"/>
      <c r="AQ278" s="35"/>
      <c r="AS278" s="196"/>
    </row>
    <row r="279" spans="1:45" ht="30.6" hidden="1" x14ac:dyDescent="0.3">
      <c r="A279" s="46" t="s">
        <v>562</v>
      </c>
      <c r="B279" s="381" t="s">
        <v>564</v>
      </c>
      <c r="C279" s="245"/>
      <c r="D279" s="20">
        <f t="shared" si="213"/>
        <v>0</v>
      </c>
      <c r="E279" s="98">
        <f t="shared" si="214"/>
        <v>0</v>
      </c>
      <c r="F279" s="175"/>
      <c r="G279" s="5"/>
      <c r="H279" s="5"/>
      <c r="I279" s="5"/>
      <c r="J279" s="5"/>
      <c r="K279" s="5"/>
      <c r="L279" s="1"/>
      <c r="M279" s="5"/>
      <c r="N279" s="5"/>
      <c r="O279" s="5"/>
      <c r="P279" s="5"/>
      <c r="Q279" s="365"/>
      <c r="R279" s="1"/>
      <c r="S279" s="1"/>
      <c r="T279" s="1"/>
      <c r="U279" s="1"/>
      <c r="V279" s="1"/>
      <c r="W279" s="1"/>
      <c r="X279" s="1"/>
      <c r="Y279" s="1"/>
      <c r="Z279" s="10">
        <f t="shared" si="215"/>
        <v>0</v>
      </c>
      <c r="AA279" s="5"/>
      <c r="AB279" s="5"/>
      <c r="AC279" s="5"/>
      <c r="AD279" s="5"/>
      <c r="AE279" s="5"/>
      <c r="AF279" s="2">
        <f t="shared" si="216"/>
        <v>0</v>
      </c>
      <c r="AG279" s="339"/>
      <c r="AH279" s="13"/>
      <c r="AI279" s="35"/>
      <c r="AJ279" s="35"/>
      <c r="AK279" s="34">
        <f t="shared" si="217"/>
        <v>0</v>
      </c>
      <c r="AL279" s="35"/>
      <c r="AM279" s="93">
        <f t="shared" si="218"/>
        <v>0</v>
      </c>
      <c r="AN279" s="305"/>
      <c r="AO279" s="35"/>
      <c r="AP279" s="35"/>
      <c r="AQ279" s="35"/>
      <c r="AS279" s="196"/>
    </row>
    <row r="280" spans="1:45" ht="30.6" hidden="1" x14ac:dyDescent="0.3">
      <c r="A280" s="46" t="s">
        <v>593</v>
      </c>
      <c r="B280" s="381" t="s">
        <v>594</v>
      </c>
      <c r="C280" s="245"/>
      <c r="D280" s="128">
        <f t="shared" si="213"/>
        <v>0</v>
      </c>
      <c r="E280" s="98">
        <f t="shared" si="214"/>
        <v>0</v>
      </c>
      <c r="F280" s="175"/>
      <c r="G280" s="5"/>
      <c r="H280" s="5"/>
      <c r="I280" s="5"/>
      <c r="J280" s="5"/>
      <c r="K280" s="5"/>
      <c r="L280" s="1"/>
      <c r="M280" s="5"/>
      <c r="N280" s="5"/>
      <c r="O280" s="5"/>
      <c r="P280" s="5"/>
      <c r="Q280" s="365"/>
      <c r="R280" s="1"/>
      <c r="S280" s="1"/>
      <c r="T280" s="1"/>
      <c r="U280" s="1"/>
      <c r="V280" s="1"/>
      <c r="W280" s="1"/>
      <c r="X280" s="1"/>
      <c r="Y280" s="1"/>
      <c r="Z280" s="10">
        <f t="shared" si="215"/>
        <v>0</v>
      </c>
      <c r="AA280" s="5"/>
      <c r="AB280" s="5"/>
      <c r="AC280" s="5"/>
      <c r="AD280" s="5"/>
      <c r="AE280" s="5"/>
      <c r="AF280" s="2">
        <f t="shared" si="216"/>
        <v>0</v>
      </c>
      <c r="AG280" s="339"/>
      <c r="AH280" s="13"/>
      <c r="AI280" s="35"/>
      <c r="AJ280" s="35"/>
      <c r="AK280" s="34">
        <f t="shared" si="217"/>
        <v>0</v>
      </c>
      <c r="AL280" s="35"/>
      <c r="AM280" s="93">
        <f t="shared" si="218"/>
        <v>0</v>
      </c>
      <c r="AN280" s="305"/>
      <c r="AO280" s="35"/>
      <c r="AP280" s="35"/>
      <c r="AQ280" s="35"/>
      <c r="AS280" s="196"/>
    </row>
    <row r="281" spans="1:45" hidden="1" x14ac:dyDescent="0.3">
      <c r="A281" s="46" t="s">
        <v>595</v>
      </c>
      <c r="B281" s="381" t="s">
        <v>596</v>
      </c>
      <c r="C281" s="245"/>
      <c r="D281" s="227">
        <f t="shared" si="213"/>
        <v>0</v>
      </c>
      <c r="E281" s="98">
        <f t="shared" si="214"/>
        <v>0</v>
      </c>
      <c r="F281" s="175"/>
      <c r="G281" s="5"/>
      <c r="H281" s="5"/>
      <c r="I281" s="5"/>
      <c r="J281" s="5"/>
      <c r="K281" s="5"/>
      <c r="L281" s="1"/>
      <c r="M281" s="5"/>
      <c r="N281" s="5"/>
      <c r="O281" s="5"/>
      <c r="P281" s="5"/>
      <c r="Q281" s="365"/>
      <c r="R281" s="1"/>
      <c r="S281" s="1"/>
      <c r="T281" s="1"/>
      <c r="U281" s="1"/>
      <c r="V281" s="1"/>
      <c r="W281" s="1"/>
      <c r="X281" s="1"/>
      <c r="Y281" s="1"/>
      <c r="Z281" s="10">
        <f t="shared" si="215"/>
        <v>0</v>
      </c>
      <c r="AA281" s="5"/>
      <c r="AB281" s="5"/>
      <c r="AC281" s="5"/>
      <c r="AD281" s="5"/>
      <c r="AE281" s="5"/>
      <c r="AF281" s="2">
        <f t="shared" si="216"/>
        <v>0</v>
      </c>
      <c r="AG281" s="339"/>
      <c r="AH281" s="13"/>
      <c r="AI281" s="35"/>
      <c r="AJ281" s="35"/>
      <c r="AK281" s="34">
        <f t="shared" si="217"/>
        <v>0</v>
      </c>
      <c r="AL281" s="35"/>
      <c r="AM281" s="93">
        <f t="shared" si="218"/>
        <v>0</v>
      </c>
      <c r="AN281" s="305"/>
      <c r="AO281" s="35"/>
      <c r="AP281" s="35"/>
      <c r="AQ281" s="35"/>
      <c r="AS281" s="196"/>
    </row>
    <row r="282" spans="1:45" ht="21.75" customHeight="1" x14ac:dyDescent="0.3">
      <c r="A282" s="46"/>
      <c r="B282" s="381" t="s">
        <v>749</v>
      </c>
      <c r="C282" s="245"/>
      <c r="D282" s="20">
        <f t="shared" si="213"/>
        <v>458960971</v>
      </c>
      <c r="E282" s="98">
        <f t="shared" si="214"/>
        <v>458960971</v>
      </c>
      <c r="F282" s="175"/>
      <c r="G282" s="5"/>
      <c r="H282" s="5"/>
      <c r="I282" s="5"/>
      <c r="J282" s="5"/>
      <c r="K282" s="5"/>
      <c r="L282" s="1"/>
      <c r="M282" s="5"/>
      <c r="N282" s="5"/>
      <c r="O282" s="5"/>
      <c r="P282" s="5"/>
      <c r="Q282" s="365"/>
      <c r="R282" s="1"/>
      <c r="S282" s="1"/>
      <c r="T282" s="1"/>
      <c r="U282" s="1"/>
      <c r="V282" s="1"/>
      <c r="W282" s="1"/>
      <c r="X282" s="1"/>
      <c r="Y282" s="1"/>
      <c r="Z282" s="10"/>
      <c r="AA282" s="5"/>
      <c r="AB282" s="5"/>
      <c r="AC282" s="5"/>
      <c r="AD282" s="5"/>
      <c r="AE282" s="5"/>
      <c r="AF282" s="2">
        <f t="shared" si="216"/>
        <v>458960971</v>
      </c>
      <c r="AG282" s="339"/>
      <c r="AH282" s="13">
        <f>467360971-8400000</f>
        <v>458960971</v>
      </c>
      <c r="AI282" s="35"/>
      <c r="AJ282" s="35"/>
      <c r="AK282" s="34"/>
      <c r="AL282" s="35"/>
      <c r="AM282" s="93"/>
      <c r="AN282" s="305"/>
      <c r="AO282" s="35"/>
      <c r="AP282" s="35"/>
      <c r="AQ282" s="35"/>
      <c r="AS282" s="196"/>
    </row>
    <row r="283" spans="1:45" ht="30.6" x14ac:dyDescent="0.3">
      <c r="A283" s="46" t="s">
        <v>656</v>
      </c>
      <c r="B283" s="381" t="s">
        <v>657</v>
      </c>
      <c r="C283" s="245"/>
      <c r="D283" s="227">
        <f t="shared" si="213"/>
        <v>1064000000</v>
      </c>
      <c r="E283" s="296">
        <f t="shared" si="214"/>
        <v>1064000000</v>
      </c>
      <c r="F283" s="175"/>
      <c r="G283" s="5"/>
      <c r="H283" s="5"/>
      <c r="I283" s="5"/>
      <c r="J283" s="5"/>
      <c r="K283" s="5"/>
      <c r="L283" s="1"/>
      <c r="M283" s="5"/>
      <c r="N283" s="5"/>
      <c r="O283" s="5"/>
      <c r="P283" s="5"/>
      <c r="Q283" s="365"/>
      <c r="R283" s="1"/>
      <c r="S283" s="1"/>
      <c r="T283" s="1"/>
      <c r="U283" s="1"/>
      <c r="V283" s="1"/>
      <c r="W283" s="1"/>
      <c r="X283" s="1"/>
      <c r="Y283" s="1"/>
      <c r="Z283" s="175"/>
      <c r="AA283" s="5"/>
      <c r="AB283" s="5"/>
      <c r="AC283" s="5"/>
      <c r="AD283" s="5"/>
      <c r="AE283" s="5"/>
      <c r="AF283" s="2">
        <f t="shared" si="216"/>
        <v>1064000000</v>
      </c>
      <c r="AG283" s="339"/>
      <c r="AH283" s="341">
        <v>1064000000</v>
      </c>
      <c r="AI283" s="35"/>
      <c r="AJ283" s="35"/>
      <c r="AK283" s="34"/>
      <c r="AL283" s="35"/>
      <c r="AM283" s="34"/>
      <c r="AN283" s="305"/>
      <c r="AO283" s="35"/>
      <c r="AP283" s="35"/>
      <c r="AQ283" s="35"/>
    </row>
    <row r="284" spans="1:45" x14ac:dyDescent="0.3">
      <c r="A284" s="46"/>
      <c r="B284" s="381"/>
      <c r="C284" s="245"/>
      <c r="D284" s="5"/>
      <c r="E284" s="98"/>
      <c r="F284" s="175"/>
      <c r="G284" s="5"/>
      <c r="H284" s="5"/>
      <c r="I284" s="5"/>
      <c r="J284" s="5"/>
      <c r="K284" s="5"/>
      <c r="L284" s="1"/>
      <c r="M284" s="5"/>
      <c r="N284" s="5"/>
      <c r="O284" s="5"/>
      <c r="P284" s="5"/>
      <c r="Q284" s="365"/>
      <c r="R284" s="1"/>
      <c r="S284" s="1"/>
      <c r="T284" s="1"/>
      <c r="U284" s="1"/>
      <c r="V284" s="1"/>
      <c r="W284" s="1"/>
      <c r="X284" s="1"/>
      <c r="Y284" s="1"/>
      <c r="Z284" s="175"/>
      <c r="AA284" s="5"/>
      <c r="AB284" s="5"/>
      <c r="AC284" s="5"/>
      <c r="AD284" s="5"/>
      <c r="AE284" s="5"/>
      <c r="AF284" s="2"/>
      <c r="AG284" s="339"/>
      <c r="AH284" s="5"/>
      <c r="AI284" s="35"/>
      <c r="AJ284" s="35"/>
      <c r="AK284" s="34"/>
      <c r="AL284" s="35"/>
      <c r="AM284" s="34"/>
      <c r="AN284" s="305"/>
      <c r="AO284" s="35"/>
      <c r="AP284" s="35"/>
      <c r="AQ284" s="35"/>
    </row>
    <row r="285" spans="1:45" hidden="1" x14ac:dyDescent="0.3">
      <c r="A285" s="46"/>
      <c r="B285" s="381"/>
      <c r="C285" s="245"/>
      <c r="D285" s="5"/>
      <c r="E285" s="98"/>
      <c r="F285" s="175"/>
      <c r="G285" s="5"/>
      <c r="H285" s="5"/>
      <c r="I285" s="5"/>
      <c r="J285" s="5"/>
      <c r="K285" s="5"/>
      <c r="L285" s="1"/>
      <c r="M285" s="5"/>
      <c r="N285" s="5"/>
      <c r="O285" s="5"/>
      <c r="P285" s="5"/>
      <c r="Q285" s="365"/>
      <c r="R285" s="1"/>
      <c r="S285" s="1"/>
      <c r="T285" s="1"/>
      <c r="U285" s="1"/>
      <c r="V285" s="1"/>
      <c r="W285" s="1"/>
      <c r="X285" s="1"/>
      <c r="Y285" s="1"/>
      <c r="Z285" s="175"/>
      <c r="AA285" s="5"/>
      <c r="AB285" s="5"/>
      <c r="AC285" s="5"/>
      <c r="AD285" s="5"/>
      <c r="AE285" s="5"/>
      <c r="AF285" s="2"/>
      <c r="AG285" s="339"/>
      <c r="AH285" s="5"/>
      <c r="AI285" s="35"/>
      <c r="AJ285" s="35"/>
      <c r="AK285" s="34"/>
      <c r="AL285" s="35"/>
      <c r="AM285" s="34"/>
      <c r="AN285" s="305"/>
      <c r="AO285" s="35"/>
      <c r="AP285" s="35"/>
      <c r="AQ285" s="35"/>
    </row>
    <row r="286" spans="1:45" hidden="1" x14ac:dyDescent="0.3">
      <c r="A286" s="46"/>
      <c r="B286" s="27"/>
      <c r="C286" s="245"/>
      <c r="D286" s="5"/>
      <c r="E286" s="98"/>
      <c r="F286" s="175"/>
      <c r="G286" s="5"/>
      <c r="H286" s="5"/>
      <c r="I286" s="5"/>
      <c r="J286" s="5"/>
      <c r="K286" s="5"/>
      <c r="L286" s="1"/>
      <c r="M286" s="5"/>
      <c r="N286" s="5"/>
      <c r="O286" s="5"/>
      <c r="P286" s="5"/>
      <c r="Q286" s="365"/>
      <c r="R286" s="1"/>
      <c r="S286" s="1"/>
      <c r="T286" s="1"/>
      <c r="U286" s="1"/>
      <c r="V286" s="1"/>
      <c r="W286" s="1"/>
      <c r="X286" s="1"/>
      <c r="Y286" s="1"/>
      <c r="Z286" s="175"/>
      <c r="AA286" s="5"/>
      <c r="AB286" s="5"/>
      <c r="AC286" s="5"/>
      <c r="AD286" s="5"/>
      <c r="AE286" s="5"/>
      <c r="AF286" s="2"/>
      <c r="AG286" s="339"/>
      <c r="AH286" s="5"/>
      <c r="AI286" s="35"/>
      <c r="AJ286" s="35"/>
      <c r="AK286" s="34"/>
      <c r="AL286" s="35"/>
      <c r="AM286" s="34"/>
      <c r="AN286" s="305"/>
      <c r="AO286" s="35"/>
      <c r="AP286" s="35"/>
      <c r="AQ286" s="35"/>
    </row>
    <row r="287" spans="1:45" x14ac:dyDescent="0.3">
      <c r="A287" s="69">
        <v>8</v>
      </c>
      <c r="B287" s="1929" t="s">
        <v>352</v>
      </c>
      <c r="C287" s="1930"/>
      <c r="D287" s="123">
        <f>+D289</f>
        <v>10216380500</v>
      </c>
      <c r="E287" s="71">
        <f>SUM(E289)</f>
        <v>10216380500</v>
      </c>
      <c r="F287" s="175"/>
      <c r="G287" s="5"/>
      <c r="H287" s="5"/>
      <c r="I287" s="5"/>
      <c r="J287" s="5"/>
      <c r="K287" s="5"/>
      <c r="L287" s="1"/>
      <c r="M287" s="5"/>
      <c r="N287" s="5"/>
      <c r="O287" s="5"/>
      <c r="P287" s="5"/>
      <c r="Q287" s="365"/>
      <c r="R287" s="1"/>
      <c r="S287" s="1"/>
      <c r="T287" s="1"/>
      <c r="U287" s="1"/>
      <c r="V287" s="1"/>
      <c r="W287" s="1"/>
      <c r="X287" s="1"/>
      <c r="Y287" s="1"/>
      <c r="Z287" s="175"/>
      <c r="AA287" s="5"/>
      <c r="AB287" s="5"/>
      <c r="AC287" s="5"/>
      <c r="AD287" s="5"/>
      <c r="AE287" s="5"/>
      <c r="AF287" s="2">
        <f>SUM(AF289)</f>
        <v>0</v>
      </c>
      <c r="AG287" s="345">
        <f t="shared" ref="AG287:AQ287" si="219">AG289</f>
        <v>0</v>
      </c>
      <c r="AH287" s="33">
        <f t="shared" si="219"/>
        <v>0</v>
      </c>
      <c r="AI287" s="33">
        <f t="shared" si="219"/>
        <v>0</v>
      </c>
      <c r="AJ287" s="33">
        <f t="shared" si="219"/>
        <v>0</v>
      </c>
      <c r="AK287" s="34">
        <f t="shared" si="219"/>
        <v>10216380500</v>
      </c>
      <c r="AL287" s="35">
        <f t="shared" si="219"/>
        <v>10216380500</v>
      </c>
      <c r="AM287" s="34">
        <f t="shared" si="219"/>
        <v>0</v>
      </c>
      <c r="AN287" s="305">
        <f>AN289</f>
        <v>0</v>
      </c>
      <c r="AO287" s="35">
        <f t="shared" si="219"/>
        <v>0</v>
      </c>
      <c r="AP287" s="35">
        <f t="shared" si="219"/>
        <v>0</v>
      </c>
      <c r="AQ287" s="35">
        <f t="shared" si="219"/>
        <v>0</v>
      </c>
    </row>
    <row r="288" spans="1:45" x14ac:dyDescent="0.3">
      <c r="A288" s="46"/>
      <c r="B288" s="27"/>
      <c r="C288" s="245"/>
      <c r="D288" s="228"/>
      <c r="E288" s="98"/>
      <c r="F288" s="175"/>
      <c r="G288" s="5"/>
      <c r="H288" s="5"/>
      <c r="I288" s="5"/>
      <c r="J288" s="5"/>
      <c r="K288" s="5"/>
      <c r="L288" s="1"/>
      <c r="M288" s="5"/>
      <c r="N288" s="5"/>
      <c r="O288" s="5"/>
      <c r="P288" s="5"/>
      <c r="Q288" s="365"/>
      <c r="R288" s="1"/>
      <c r="S288" s="1"/>
      <c r="T288" s="1"/>
      <c r="U288" s="1"/>
      <c r="V288" s="1"/>
      <c r="W288" s="1"/>
      <c r="X288" s="1"/>
      <c r="Y288" s="1"/>
      <c r="Z288" s="175"/>
      <c r="AA288" s="5"/>
      <c r="AB288" s="5"/>
      <c r="AC288" s="5"/>
      <c r="AD288" s="5"/>
      <c r="AE288" s="5"/>
      <c r="AF288" s="2">
        <f t="shared" ref="AF288:AF294" si="220">SUM(AG288:AI288)</f>
        <v>0</v>
      </c>
      <c r="AG288" s="344"/>
      <c r="AH288" s="35"/>
      <c r="AI288" s="35"/>
      <c r="AJ288" s="35"/>
      <c r="AK288" s="34"/>
      <c r="AL288" s="35"/>
      <c r="AM288" s="34"/>
      <c r="AN288" s="305"/>
      <c r="AO288" s="35"/>
      <c r="AP288" s="35"/>
      <c r="AQ288" s="35"/>
    </row>
    <row r="289" spans="1:43" ht="15.75" customHeight="1" x14ac:dyDescent="0.3">
      <c r="A289" s="40" t="s">
        <v>353</v>
      </c>
      <c r="B289" s="1929" t="s">
        <v>354</v>
      </c>
      <c r="C289" s="1919"/>
      <c r="D289" s="123">
        <f>SUM(D290:D293)</f>
        <v>10216380500</v>
      </c>
      <c r="E289" s="71">
        <f>SUM(E293)</f>
        <v>10216380500</v>
      </c>
      <c r="F289" s="175"/>
      <c r="G289" s="5"/>
      <c r="H289" s="5"/>
      <c r="I289" s="5"/>
      <c r="J289" s="5"/>
      <c r="K289" s="5"/>
      <c r="L289" s="1"/>
      <c r="M289" s="5"/>
      <c r="N289" s="5"/>
      <c r="O289" s="5"/>
      <c r="P289" s="5"/>
      <c r="Q289" s="365"/>
      <c r="R289" s="1"/>
      <c r="S289" s="1"/>
      <c r="T289" s="1"/>
      <c r="U289" s="1"/>
      <c r="V289" s="1"/>
      <c r="W289" s="1"/>
      <c r="X289" s="1"/>
      <c r="Y289" s="1"/>
      <c r="Z289" s="175"/>
      <c r="AA289" s="5"/>
      <c r="AB289" s="5"/>
      <c r="AC289" s="5"/>
      <c r="AD289" s="5"/>
      <c r="AE289" s="5"/>
      <c r="AF289" s="2">
        <f>SUM(AF293)</f>
        <v>0</v>
      </c>
      <c r="AG289" s="345">
        <f t="shared" ref="AG289:AQ289" si="221">SUM(AG290:AG293)</f>
        <v>0</v>
      </c>
      <c r="AH289" s="33">
        <f t="shared" si="221"/>
        <v>0</v>
      </c>
      <c r="AI289" s="33">
        <f t="shared" si="221"/>
        <v>0</v>
      </c>
      <c r="AJ289" s="33">
        <f t="shared" si="221"/>
        <v>0</v>
      </c>
      <c r="AK289" s="34">
        <f t="shared" si="221"/>
        <v>10216380500</v>
      </c>
      <c r="AL289" s="35">
        <f t="shared" si="221"/>
        <v>10216380500</v>
      </c>
      <c r="AM289" s="34">
        <f t="shared" si="221"/>
        <v>0</v>
      </c>
      <c r="AN289" s="305">
        <f>SUM(AN290:AN293)</f>
        <v>0</v>
      </c>
      <c r="AO289" s="35">
        <f t="shared" si="221"/>
        <v>0</v>
      </c>
      <c r="AP289" s="35">
        <f t="shared" si="221"/>
        <v>0</v>
      </c>
      <c r="AQ289" s="35">
        <f t="shared" si="221"/>
        <v>0</v>
      </c>
    </row>
    <row r="290" spans="1:43" ht="15" hidden="1" customHeight="1" x14ac:dyDescent="0.3">
      <c r="A290" s="46" t="s">
        <v>355</v>
      </c>
      <c r="B290" s="1927" t="s">
        <v>356</v>
      </c>
      <c r="C290" s="1928"/>
      <c r="D290" s="129">
        <f>+F290+Z290+AF290+AK290</f>
        <v>0</v>
      </c>
      <c r="E290" s="98">
        <f>SUM(F290+Z290+AF290+AK290)</f>
        <v>0</v>
      </c>
      <c r="F290" s="175"/>
      <c r="G290" s="5"/>
      <c r="H290" s="5"/>
      <c r="I290" s="5"/>
      <c r="J290" s="5"/>
      <c r="K290" s="5"/>
      <c r="L290" s="1"/>
      <c r="M290" s="5"/>
      <c r="N290" s="5"/>
      <c r="O290" s="5"/>
      <c r="P290" s="5"/>
      <c r="Q290" s="365"/>
      <c r="R290" s="1"/>
      <c r="S290" s="1"/>
      <c r="T290" s="1"/>
      <c r="U290" s="1"/>
      <c r="V290" s="1"/>
      <c r="W290" s="1"/>
      <c r="X290" s="1"/>
      <c r="Y290" s="1"/>
      <c r="Z290" s="175"/>
      <c r="AA290" s="5"/>
      <c r="AB290" s="5"/>
      <c r="AC290" s="5"/>
      <c r="AD290" s="5"/>
      <c r="AE290" s="5"/>
      <c r="AF290" s="2">
        <f t="shared" si="220"/>
        <v>0</v>
      </c>
      <c r="AG290" s="344">
        <v>0</v>
      </c>
      <c r="AH290" s="35">
        <v>0</v>
      </c>
      <c r="AI290" s="35">
        <v>0</v>
      </c>
      <c r="AJ290" s="35">
        <v>0</v>
      </c>
      <c r="AK290" s="34">
        <v>0</v>
      </c>
      <c r="AL290" s="35">
        <v>0</v>
      </c>
      <c r="AM290" s="34">
        <v>0</v>
      </c>
      <c r="AN290" s="305">
        <v>0</v>
      </c>
      <c r="AO290" s="35">
        <v>0</v>
      </c>
      <c r="AP290" s="35">
        <v>0</v>
      </c>
      <c r="AQ290" s="35">
        <v>0</v>
      </c>
    </row>
    <row r="291" spans="1:43" ht="15" hidden="1" customHeight="1" x14ac:dyDescent="0.3">
      <c r="A291" s="46" t="s">
        <v>357</v>
      </c>
      <c r="B291" s="1927" t="s">
        <v>358</v>
      </c>
      <c r="C291" s="1928"/>
      <c r="D291" s="129">
        <f>+F291+Z291+AF291+AK291</f>
        <v>0</v>
      </c>
      <c r="E291" s="98">
        <f>SUM(F291+Z291+AF291+AK291)</f>
        <v>0</v>
      </c>
      <c r="F291" s="175"/>
      <c r="G291" s="5"/>
      <c r="H291" s="5"/>
      <c r="I291" s="5"/>
      <c r="J291" s="5"/>
      <c r="K291" s="5"/>
      <c r="L291" s="1"/>
      <c r="M291" s="5"/>
      <c r="N291" s="5"/>
      <c r="O291" s="5"/>
      <c r="P291" s="5"/>
      <c r="Q291" s="365"/>
      <c r="R291" s="1"/>
      <c r="S291" s="1"/>
      <c r="T291" s="1"/>
      <c r="U291" s="1"/>
      <c r="V291" s="1"/>
      <c r="W291" s="1"/>
      <c r="X291" s="1"/>
      <c r="Y291" s="1"/>
      <c r="Z291" s="175"/>
      <c r="AA291" s="5"/>
      <c r="AB291" s="5"/>
      <c r="AC291" s="5"/>
      <c r="AD291" s="5"/>
      <c r="AE291" s="5"/>
      <c r="AF291" s="2">
        <f t="shared" si="220"/>
        <v>0</v>
      </c>
      <c r="AG291" s="344">
        <v>0</v>
      </c>
      <c r="AH291" s="35">
        <v>0</v>
      </c>
      <c r="AI291" s="35">
        <v>0</v>
      </c>
      <c r="AJ291" s="35">
        <v>0</v>
      </c>
      <c r="AK291" s="34">
        <v>0</v>
      </c>
      <c r="AL291" s="35">
        <v>0</v>
      </c>
      <c r="AM291" s="34">
        <v>0</v>
      </c>
      <c r="AN291" s="305">
        <v>0</v>
      </c>
      <c r="AO291" s="35">
        <v>0</v>
      </c>
      <c r="AP291" s="35">
        <v>0</v>
      </c>
      <c r="AQ291" s="35">
        <v>0</v>
      </c>
    </row>
    <row r="292" spans="1:43" ht="15" hidden="1" customHeight="1" x14ac:dyDescent="0.3">
      <c r="A292" s="46" t="s">
        <v>359</v>
      </c>
      <c r="B292" s="1927" t="s">
        <v>360</v>
      </c>
      <c r="C292" s="1928"/>
      <c r="D292" s="129">
        <f>+F292+Z292+AF292+AK292</f>
        <v>0</v>
      </c>
      <c r="E292" s="98">
        <f>SUM(F292+Z292+AF292+AK292)</f>
        <v>0</v>
      </c>
      <c r="F292" s="175"/>
      <c r="G292" s="5"/>
      <c r="H292" s="5"/>
      <c r="I292" s="5"/>
      <c r="J292" s="5"/>
      <c r="K292" s="5"/>
      <c r="L292" s="1"/>
      <c r="M292" s="5"/>
      <c r="N292" s="5"/>
      <c r="O292" s="5"/>
      <c r="P292" s="5"/>
      <c r="Q292" s="365"/>
      <c r="R292" s="1"/>
      <c r="S292" s="1"/>
      <c r="T292" s="1"/>
      <c r="U292" s="1"/>
      <c r="V292" s="1"/>
      <c r="W292" s="1"/>
      <c r="X292" s="1"/>
      <c r="Y292" s="1"/>
      <c r="Z292" s="175"/>
      <c r="AA292" s="5"/>
      <c r="AB292" s="5"/>
      <c r="AC292" s="5"/>
      <c r="AD292" s="5"/>
      <c r="AE292" s="5"/>
      <c r="AF292" s="2">
        <f t="shared" si="220"/>
        <v>0</v>
      </c>
      <c r="AG292" s="344">
        <v>0</v>
      </c>
      <c r="AH292" s="35">
        <v>0</v>
      </c>
      <c r="AI292" s="35">
        <v>0</v>
      </c>
      <c r="AJ292" s="35">
        <v>0</v>
      </c>
      <c r="AK292" s="34">
        <v>0</v>
      </c>
      <c r="AL292" s="35">
        <v>0</v>
      </c>
      <c r="AM292" s="34">
        <v>0</v>
      </c>
      <c r="AN292" s="305">
        <v>0</v>
      </c>
      <c r="AO292" s="35">
        <v>0</v>
      </c>
      <c r="AP292" s="35">
        <v>0</v>
      </c>
      <c r="AQ292" s="35">
        <v>0</v>
      </c>
    </row>
    <row r="293" spans="1:43" ht="15" customHeight="1" x14ac:dyDescent="0.3">
      <c r="A293" s="46" t="s">
        <v>361</v>
      </c>
      <c r="B293" s="1927" t="s">
        <v>362</v>
      </c>
      <c r="C293" s="1928"/>
      <c r="D293" s="129">
        <f>+F293+Z293+AF293+AK293</f>
        <v>10216380500</v>
      </c>
      <c r="E293" s="98">
        <f t="shared" ref="E293" si="222">SUM(G293+H293+I293+J293+K293+L293+M293+N293+O293+P293+Q293+R293+S293+T293+U293+V293+W293+X293+Y293+AA293+AB293+AC293+AD293+AE293+AG293+AH293+AI293+AJ293+AL293+AN293+AO293+AP293+AQ293)</f>
        <v>10216380500</v>
      </c>
      <c r="F293" s="175"/>
      <c r="G293" s="5"/>
      <c r="H293" s="5"/>
      <c r="I293" s="5"/>
      <c r="J293" s="5"/>
      <c r="K293" s="5"/>
      <c r="L293" s="1"/>
      <c r="M293" s="5"/>
      <c r="N293" s="5"/>
      <c r="O293" s="5"/>
      <c r="P293" s="5"/>
      <c r="Q293" s="365"/>
      <c r="R293" s="1"/>
      <c r="S293" s="1"/>
      <c r="T293" s="1"/>
      <c r="U293" s="1"/>
      <c r="V293" s="1"/>
      <c r="W293" s="1"/>
      <c r="X293" s="1"/>
      <c r="Y293" s="1"/>
      <c r="Z293" s="10">
        <f>SUM(AA293:AE293)</f>
        <v>0</v>
      </c>
      <c r="AA293" s="5"/>
      <c r="AB293" s="5"/>
      <c r="AC293" s="5"/>
      <c r="AD293" s="5"/>
      <c r="AE293" s="5"/>
      <c r="AF293" s="2">
        <f>SUM(AG293:AJ293)</f>
        <v>0</v>
      </c>
      <c r="AG293" s="344">
        <v>0</v>
      </c>
      <c r="AH293" s="35">
        <v>0</v>
      </c>
      <c r="AI293" s="35">
        <v>0</v>
      </c>
      <c r="AJ293" s="35">
        <v>0</v>
      </c>
      <c r="AK293" s="34">
        <f>SUM(AL293+AM293)</f>
        <v>10216380500</v>
      </c>
      <c r="AL293" s="35">
        <v>10216380500</v>
      </c>
      <c r="AM293" s="93">
        <f>SUM(AN293:AQ293)</f>
        <v>0</v>
      </c>
      <c r="AN293" s="305">
        <v>0</v>
      </c>
      <c r="AO293" s="35">
        <v>0</v>
      </c>
      <c r="AP293" s="35">
        <v>0</v>
      </c>
      <c r="AQ293" s="35">
        <v>0</v>
      </c>
    </row>
    <row r="294" spans="1:43" x14ac:dyDescent="0.3">
      <c r="A294" s="46"/>
      <c r="B294" s="27"/>
      <c r="C294" s="245"/>
      <c r="D294" s="5"/>
      <c r="E294" s="98"/>
      <c r="F294" s="175"/>
      <c r="G294" s="5"/>
      <c r="H294" s="5"/>
      <c r="I294" s="5"/>
      <c r="J294" s="5"/>
      <c r="K294" s="5"/>
      <c r="L294" s="1"/>
      <c r="M294" s="5"/>
      <c r="N294" s="5"/>
      <c r="O294" s="5"/>
      <c r="P294" s="5"/>
      <c r="Q294" s="365"/>
      <c r="R294" s="1"/>
      <c r="S294" s="1"/>
      <c r="T294" s="1"/>
      <c r="U294" s="1"/>
      <c r="V294" s="1"/>
      <c r="W294" s="1"/>
      <c r="X294" s="1"/>
      <c r="Y294" s="1"/>
      <c r="Z294" s="175"/>
      <c r="AA294" s="5"/>
      <c r="AB294" s="5"/>
      <c r="AC294" s="5"/>
      <c r="AD294" s="5"/>
      <c r="AE294" s="5"/>
      <c r="AF294" s="2">
        <f t="shared" si="220"/>
        <v>0</v>
      </c>
      <c r="AG294" s="344"/>
      <c r="AH294" s="35"/>
      <c r="AI294" s="35"/>
      <c r="AJ294" s="35"/>
      <c r="AK294" s="34"/>
      <c r="AL294" s="35"/>
      <c r="AM294" s="34"/>
      <c r="AN294" s="305"/>
      <c r="AO294" s="35"/>
      <c r="AP294" s="35"/>
      <c r="AQ294" s="35"/>
    </row>
    <row r="295" spans="1:43" ht="15.75" customHeight="1" x14ac:dyDescent="0.3">
      <c r="A295" s="69">
        <v>9</v>
      </c>
      <c r="B295" s="1909" t="s">
        <v>363</v>
      </c>
      <c r="C295" s="1928"/>
      <c r="D295" s="26">
        <f>+D297</f>
        <v>3350417504</v>
      </c>
      <c r="E295" s="71">
        <f>SUM(E297)</f>
        <v>3350417504</v>
      </c>
      <c r="F295" s="175">
        <f>SUM(F297)</f>
        <v>8400000</v>
      </c>
      <c r="G295" s="5"/>
      <c r="H295" s="5"/>
      <c r="I295" s="5"/>
      <c r="J295" s="5"/>
      <c r="K295" s="5"/>
      <c r="L295" s="1"/>
      <c r="M295" s="5"/>
      <c r="N295" s="5"/>
      <c r="O295" s="5"/>
      <c r="P295" s="5"/>
      <c r="Q295" s="365"/>
      <c r="R295" s="1"/>
      <c r="S295" s="1"/>
      <c r="T295" s="1"/>
      <c r="U295" s="1"/>
      <c r="V295" s="1"/>
      <c r="W295" s="1"/>
      <c r="X295" s="1"/>
      <c r="Y295" s="1"/>
      <c r="Z295" s="150">
        <f t="shared" ref="Z295:AE295" si="223">SUM(Z297)</f>
        <v>0</v>
      </c>
      <c r="AA295" s="150">
        <f t="shared" si="223"/>
        <v>0</v>
      </c>
      <c r="AB295" s="150">
        <f t="shared" si="223"/>
        <v>0</v>
      </c>
      <c r="AC295" s="150">
        <f t="shared" si="223"/>
        <v>0</v>
      </c>
      <c r="AD295" s="150">
        <f t="shared" si="223"/>
        <v>0</v>
      </c>
      <c r="AE295" s="150">
        <f t="shared" si="223"/>
        <v>0</v>
      </c>
      <c r="AF295" s="2">
        <f>SUM(AF297)</f>
        <v>673319938</v>
      </c>
      <c r="AG295" s="345">
        <f t="shared" ref="AG295:AQ295" si="224">AG297</f>
        <v>0</v>
      </c>
      <c r="AH295" s="33">
        <f t="shared" si="224"/>
        <v>0</v>
      </c>
      <c r="AI295" s="33">
        <f t="shared" si="224"/>
        <v>0</v>
      </c>
      <c r="AJ295" s="33">
        <f t="shared" si="224"/>
        <v>673319938</v>
      </c>
      <c r="AK295" s="34">
        <f t="shared" si="224"/>
        <v>2668697566</v>
      </c>
      <c r="AL295" s="35">
        <f t="shared" si="224"/>
        <v>2668697566</v>
      </c>
      <c r="AM295" s="34">
        <f t="shared" si="224"/>
        <v>0</v>
      </c>
      <c r="AN295" s="305">
        <f>AN297</f>
        <v>0</v>
      </c>
      <c r="AO295" s="35">
        <f t="shared" si="224"/>
        <v>0</v>
      </c>
      <c r="AP295" s="35">
        <f t="shared" si="224"/>
        <v>0</v>
      </c>
      <c r="AQ295" s="35">
        <f t="shared" si="224"/>
        <v>0</v>
      </c>
    </row>
    <row r="296" spans="1:43" x14ac:dyDescent="0.3">
      <c r="A296" s="69"/>
      <c r="B296" s="43"/>
      <c r="C296" s="245"/>
      <c r="D296" s="1"/>
      <c r="E296" s="98"/>
      <c r="F296" s="175"/>
      <c r="G296" s="5"/>
      <c r="H296" s="5"/>
      <c r="I296" s="5"/>
      <c r="J296" s="5"/>
      <c r="K296" s="5"/>
      <c r="L296" s="1"/>
      <c r="M296" s="5"/>
      <c r="N296" s="5"/>
      <c r="O296" s="5"/>
      <c r="P296" s="5"/>
      <c r="Q296" s="365"/>
      <c r="R296" s="1"/>
      <c r="S296" s="1"/>
      <c r="T296" s="1"/>
      <c r="U296" s="1"/>
      <c r="V296" s="1"/>
      <c r="W296" s="1"/>
      <c r="X296" s="1"/>
      <c r="Y296" s="1"/>
      <c r="Z296" s="236"/>
      <c r="AA296" s="366"/>
      <c r="AB296" s="366"/>
      <c r="AC296" s="366"/>
      <c r="AD296" s="366"/>
      <c r="AE296" s="366"/>
      <c r="AF296" s="2">
        <f>SUM(AG296:AI296)</f>
        <v>0</v>
      </c>
      <c r="AG296" s="345"/>
      <c r="AH296" s="33"/>
      <c r="AI296" s="33"/>
      <c r="AJ296" s="33"/>
      <c r="AK296" s="34"/>
      <c r="AL296" s="35"/>
      <c r="AM296" s="34"/>
      <c r="AN296" s="305"/>
      <c r="AO296" s="35"/>
      <c r="AP296" s="35"/>
      <c r="AQ296" s="35"/>
    </row>
    <row r="297" spans="1:43" ht="15.75" customHeight="1" x14ac:dyDescent="0.3">
      <c r="A297" s="40" t="s">
        <v>364</v>
      </c>
      <c r="B297" s="1909" t="s">
        <v>365</v>
      </c>
      <c r="C297" s="1928"/>
      <c r="D297" s="26">
        <f>+D298+D299</f>
        <v>3350417504</v>
      </c>
      <c r="E297" s="71">
        <f>SUM(E299)</f>
        <v>3350417504</v>
      </c>
      <c r="F297" s="175">
        <f>SUM(F299)</f>
        <v>8400000</v>
      </c>
      <c r="G297" s="5"/>
      <c r="H297" s="5"/>
      <c r="I297" s="5"/>
      <c r="J297" s="5"/>
      <c r="K297" s="5"/>
      <c r="L297" s="1"/>
      <c r="M297" s="5"/>
      <c r="N297" s="5"/>
      <c r="O297" s="5"/>
      <c r="P297" s="5"/>
      <c r="Q297" s="365"/>
      <c r="R297" s="1"/>
      <c r="S297" s="1"/>
      <c r="T297" s="1"/>
      <c r="U297" s="1"/>
      <c r="V297" s="1"/>
      <c r="W297" s="1"/>
      <c r="X297" s="1"/>
      <c r="Y297" s="1"/>
      <c r="Z297" s="150">
        <f t="shared" ref="Z297:AE297" si="225">SUM(Z299)</f>
        <v>0</v>
      </c>
      <c r="AA297" s="367">
        <f t="shared" si="225"/>
        <v>0</v>
      </c>
      <c r="AB297" s="367">
        <f t="shared" si="225"/>
        <v>0</v>
      </c>
      <c r="AC297" s="367">
        <f t="shared" si="225"/>
        <v>0</v>
      </c>
      <c r="AD297" s="367">
        <f t="shared" si="225"/>
        <v>0</v>
      </c>
      <c r="AE297" s="367">
        <f t="shared" si="225"/>
        <v>0</v>
      </c>
      <c r="AF297" s="2">
        <f t="shared" ref="AF297:AK297" si="226">SUM(AF298:AF299)</f>
        <v>673319938</v>
      </c>
      <c r="AG297" s="345">
        <f t="shared" si="226"/>
        <v>0</v>
      </c>
      <c r="AH297" s="33">
        <f t="shared" si="226"/>
        <v>0</v>
      </c>
      <c r="AI297" s="33">
        <f t="shared" si="226"/>
        <v>0</v>
      </c>
      <c r="AJ297" s="33">
        <f t="shared" si="226"/>
        <v>673319938</v>
      </c>
      <c r="AK297" s="34">
        <f t="shared" si="226"/>
        <v>2668697566</v>
      </c>
      <c r="AL297" s="35">
        <f t="shared" ref="AL297:AQ297" si="227">SUM(AL298:AL299)</f>
        <v>2668697566</v>
      </c>
      <c r="AM297" s="34">
        <f t="shared" si="227"/>
        <v>0</v>
      </c>
      <c r="AN297" s="305">
        <f t="shared" si="227"/>
        <v>0</v>
      </c>
      <c r="AO297" s="35">
        <f t="shared" si="227"/>
        <v>0</v>
      </c>
      <c r="AP297" s="35">
        <f t="shared" si="227"/>
        <v>0</v>
      </c>
      <c r="AQ297" s="35">
        <f t="shared" si="227"/>
        <v>0</v>
      </c>
    </row>
    <row r="298" spans="1:43" ht="15" hidden="1" customHeight="1" x14ac:dyDescent="0.3">
      <c r="A298" s="46" t="s">
        <v>366</v>
      </c>
      <c r="B298" s="1927" t="s">
        <v>367</v>
      </c>
      <c r="C298" s="1928"/>
      <c r="D298" s="129">
        <f>+F298+Z298+AF298+AK298</f>
        <v>0</v>
      </c>
      <c r="E298" s="98">
        <f>SUM(F298+Z298+AF298+AK298)</f>
        <v>0</v>
      </c>
      <c r="F298" s="175"/>
      <c r="G298" s="5"/>
      <c r="H298" s="5"/>
      <c r="I298" s="5"/>
      <c r="J298" s="5"/>
      <c r="K298" s="5"/>
      <c r="L298" s="1"/>
      <c r="M298" s="5"/>
      <c r="N298" s="5"/>
      <c r="O298" s="5"/>
      <c r="P298" s="5"/>
      <c r="Q298" s="365"/>
      <c r="R298" s="1"/>
      <c r="S298" s="1"/>
      <c r="T298" s="1"/>
      <c r="U298" s="1"/>
      <c r="V298" s="1"/>
      <c r="W298" s="1"/>
      <c r="X298" s="1"/>
      <c r="Y298" s="1"/>
      <c r="Z298" s="10">
        <f>SUM(AA298:AE298)</f>
        <v>0</v>
      </c>
      <c r="AA298" s="366"/>
      <c r="AB298" s="366"/>
      <c r="AC298" s="366"/>
      <c r="AD298" s="366"/>
      <c r="AE298" s="368"/>
      <c r="AF298" s="2">
        <f>SUM(AG298:AJ298)</f>
        <v>0</v>
      </c>
      <c r="AG298" s="344">
        <v>0</v>
      </c>
      <c r="AH298" s="35"/>
      <c r="AI298" s="35"/>
      <c r="AJ298" s="35"/>
      <c r="AK298" s="34">
        <f>SUM(AL298+AM298)</f>
        <v>0</v>
      </c>
      <c r="AL298" s="35"/>
      <c r="AM298" s="93">
        <f>SUM(AN298:AQ298)</f>
        <v>0</v>
      </c>
      <c r="AN298" s="305"/>
      <c r="AO298" s="35"/>
      <c r="AP298" s="35"/>
      <c r="AQ298" s="35"/>
    </row>
    <row r="299" spans="1:43" ht="16.2" thickBot="1" x14ac:dyDescent="0.35">
      <c r="A299" s="229" t="s">
        <v>368</v>
      </c>
      <c r="B299" s="1925" t="s">
        <v>369</v>
      </c>
      <c r="C299" s="1926"/>
      <c r="D299" s="230">
        <f>SUM(F299+Z299+AF299+AK299)</f>
        <v>3350417504</v>
      </c>
      <c r="E299" s="420">
        <f t="shared" ref="E299" si="228">SUM(G299+H299+I299+J299+K299+L299+M299+N299+O299+P299+Q299+R299+S299+T299+U299+V299+W299+X299+Y299+AA299+AB299+AC299+AD299+AE299+AG299+AH299+AI299+AJ299+AL299+AN299+AO299+AP299+AQ299)</f>
        <v>3350417504</v>
      </c>
      <c r="F299" s="282">
        <f>SUM(G299:Y299)</f>
        <v>8400000</v>
      </c>
      <c r="G299" s="230"/>
      <c r="H299" s="230"/>
      <c r="I299" s="230"/>
      <c r="J299" s="230"/>
      <c r="K299" s="230"/>
      <c r="L299" s="230"/>
      <c r="M299" s="230"/>
      <c r="N299" s="230"/>
      <c r="O299" s="230"/>
      <c r="P299" s="230"/>
      <c r="Q299" s="230"/>
      <c r="R299" s="230"/>
      <c r="S299" s="230"/>
      <c r="T299" s="230"/>
      <c r="U299" s="230"/>
      <c r="V299" s="230"/>
      <c r="W299" s="230">
        <v>8400000</v>
      </c>
      <c r="X299" s="230"/>
      <c r="Y299" s="230"/>
      <c r="Z299" s="237">
        <f>SUM(AA299:AE299)</f>
        <v>0</v>
      </c>
      <c r="AA299" s="230"/>
      <c r="AB299" s="230"/>
      <c r="AC299" s="230"/>
      <c r="AD299" s="230"/>
      <c r="AE299" s="230"/>
      <c r="AF299" s="369">
        <f>SUM(AG299:AJ299)</f>
        <v>673319938</v>
      </c>
      <c r="AG299" s="231"/>
      <c r="AH299" s="231"/>
      <c r="AI299" s="370"/>
      <c r="AJ299" s="371">
        <f>674678307-1358369</f>
        <v>673319938</v>
      </c>
      <c r="AK299" s="238">
        <f>SUM(AL299+AM299)</f>
        <v>2668697566</v>
      </c>
      <c r="AL299" s="231">
        <v>2668697566</v>
      </c>
      <c r="AM299" s="121">
        <f>SUM(AN299:AQ299)</f>
        <v>0</v>
      </c>
      <c r="AN299" s="331"/>
      <c r="AO299" s="331"/>
      <c r="AP299" s="331"/>
      <c r="AQ299" s="331"/>
    </row>
    <row r="301" spans="1:43" hidden="1" x14ac:dyDescent="0.3">
      <c r="D301" s="196" t="e">
        <f>#REF!</f>
        <v>#REF!</v>
      </c>
    </row>
    <row r="302" spans="1:43" hidden="1" x14ac:dyDescent="0.3">
      <c r="D302" s="246" t="e">
        <f>D301-1018175039.27</f>
        <v>#REF!</v>
      </c>
      <c r="N302" s="76">
        <f>8307069.48+1310160+4568888.21+438746.38</f>
        <v>14624864.070000002</v>
      </c>
      <c r="AK302" s="130">
        <f>50143080905.31-AK7-AK9</f>
        <v>-3528258283.6900024</v>
      </c>
    </row>
    <row r="303" spans="1:43" hidden="1" x14ac:dyDescent="0.3">
      <c r="D303" s="247"/>
      <c r="N303" s="76">
        <v>1197776.3700000001</v>
      </c>
      <c r="Z303" s="233"/>
      <c r="AA303" s="207"/>
      <c r="AB303" s="207"/>
      <c r="AC303" s="207"/>
      <c r="AD303" s="207"/>
      <c r="AE303" s="207"/>
    </row>
    <row r="304" spans="1:43" hidden="1" x14ac:dyDescent="0.3">
      <c r="D304" s="247"/>
      <c r="J304" s="76">
        <f>106600000+7400000+22000000</f>
        <v>136000000</v>
      </c>
      <c r="N304" s="76">
        <f>SUM(N302:N303)</f>
        <v>15822640.440000001</v>
      </c>
      <c r="AF304" s="130">
        <f>SUM(AF299+AK299+AB299)</f>
        <v>3342017504</v>
      </c>
    </row>
    <row r="305" spans="4:36" hidden="1" x14ac:dyDescent="0.3">
      <c r="D305" s="247"/>
      <c r="M305" s="76">
        <f>1900000+2000000+9000000+1500000</f>
        <v>14400000</v>
      </c>
      <c r="N305" s="76">
        <v>1318025.95</v>
      </c>
    </row>
    <row r="306" spans="4:36" hidden="1" x14ac:dyDescent="0.3">
      <c r="D306" s="247"/>
      <c r="N306" s="76">
        <v>4773690.6500000004</v>
      </c>
      <c r="Z306" s="233"/>
      <c r="AA306" s="207"/>
      <c r="AB306" s="207"/>
      <c r="AC306" s="207"/>
      <c r="AD306" s="207"/>
      <c r="AE306" s="207"/>
      <c r="AH306" s="76">
        <f>408174765.52-AH7</f>
        <v>-2765365048.48</v>
      </c>
    </row>
    <row r="307" spans="4:36" hidden="1" x14ac:dyDescent="0.3">
      <c r="D307" s="247"/>
      <c r="N307" s="76">
        <f>SUM(N304:N306)</f>
        <v>21914357.039999999</v>
      </c>
      <c r="U307" s="191">
        <f>136241812.06-87686812.06</f>
        <v>48555000</v>
      </c>
      <c r="V307" s="191">
        <f>136241812.06-87686812.06</f>
        <v>48555000</v>
      </c>
      <c r="W307" s="191">
        <f>136241812.06-87686812.06</f>
        <v>48555000</v>
      </c>
      <c r="X307" s="191">
        <f>136241812.06-87686812.06</f>
        <v>48555000</v>
      </c>
      <c r="AI307" s="76">
        <f>352945846.75-AI7</f>
        <v>243364009.75</v>
      </c>
      <c r="AJ307" s="76">
        <f>352945846.75-AJ7</f>
        <v>-2491398929.25</v>
      </c>
    </row>
    <row r="308" spans="4:36" hidden="1" x14ac:dyDescent="0.3">
      <c r="D308" s="247"/>
    </row>
    <row r="309" spans="4:36" hidden="1" x14ac:dyDescent="0.3">
      <c r="D309" s="247"/>
      <c r="M309" s="207">
        <f>546218499.96-157908103.24</f>
        <v>388310396.72000003</v>
      </c>
    </row>
    <row r="310" spans="4:36" hidden="1" x14ac:dyDescent="0.3">
      <c r="D310" s="247"/>
      <c r="M310" s="207">
        <v>488970253.60000002</v>
      </c>
      <c r="N310" s="76">
        <f>300000+100000+350000+100000+100000</f>
        <v>950000</v>
      </c>
    </row>
    <row r="311" spans="4:36" hidden="1" x14ac:dyDescent="0.3">
      <c r="D311" s="247"/>
      <c r="M311" s="207">
        <f>SUM(M309-M310)</f>
        <v>-100659856.88</v>
      </c>
      <c r="N311" s="76">
        <f>200000+150000+100000</f>
        <v>450000</v>
      </c>
    </row>
    <row r="312" spans="4:36" hidden="1" x14ac:dyDescent="0.3">
      <c r="D312" s="247"/>
      <c r="M312" s="207"/>
    </row>
    <row r="313" spans="4:36" hidden="1" x14ac:dyDescent="0.3">
      <c r="D313" s="247"/>
      <c r="M313" s="207"/>
      <c r="N313" s="76">
        <f>SUM(N310:N312)</f>
        <v>1400000</v>
      </c>
    </row>
    <row r="314" spans="4:36" hidden="1" x14ac:dyDescent="0.3">
      <c r="D314" s="247"/>
      <c r="M314" s="207"/>
    </row>
    <row r="315" spans="4:36" hidden="1" x14ac:dyDescent="0.3">
      <c r="D315" s="247"/>
    </row>
    <row r="316" spans="4:36" hidden="1" x14ac:dyDescent="0.3">
      <c r="M316" s="76">
        <f>198071455.44+14860364.4+182578576.88</f>
        <v>395510396.72000003</v>
      </c>
    </row>
    <row r="317" spans="4:36" hidden="1" x14ac:dyDescent="0.3">
      <c r="D317" s="76">
        <f>60944090829.37*2%</f>
        <v>1218881816.5874002</v>
      </c>
    </row>
    <row r="318" spans="4:36" hidden="1" x14ac:dyDescent="0.3">
      <c r="M318" s="76">
        <f>SUM(M309-M316)</f>
        <v>-7200000</v>
      </c>
    </row>
    <row r="319" spans="4:36" hidden="1" x14ac:dyDescent="0.3"/>
    <row r="320" spans="4:36" hidden="1" x14ac:dyDescent="0.3"/>
    <row r="321" spans="13:14" hidden="1" x14ac:dyDescent="0.3"/>
    <row r="322" spans="13:14" hidden="1" x14ac:dyDescent="0.3">
      <c r="M322" s="76">
        <f>70866.67+99424512+520000+1560000+1600000+94376076.8+520000</f>
        <v>198071455.47</v>
      </c>
    </row>
    <row r="323" spans="13:14" hidden="1" x14ac:dyDescent="0.3">
      <c r="M323" s="76">
        <f>260000+104000+2600000+2600000+520000+112000+120000+3810284.4+4326400+260000+147680</f>
        <v>14860364.4</v>
      </c>
    </row>
    <row r="324" spans="13:14" hidden="1" x14ac:dyDescent="0.3">
      <c r="M324" s="76">
        <f>6240000+4160000+55918720+15600000+93459856.88</f>
        <v>175378576.88</v>
      </c>
      <c r="N324" s="76">
        <v>182578576.88</v>
      </c>
    </row>
    <row r="325" spans="13:14" hidden="1" x14ac:dyDescent="0.3"/>
    <row r="326" spans="13:14" hidden="1" x14ac:dyDescent="0.3"/>
    <row r="327" spans="13:14" hidden="1" x14ac:dyDescent="0.3"/>
    <row r="328" spans="13:14" hidden="1" x14ac:dyDescent="0.3"/>
    <row r="329" spans="13:14" hidden="1" x14ac:dyDescent="0.3"/>
    <row r="330" spans="13:14" hidden="1" x14ac:dyDescent="0.3"/>
    <row r="331" spans="13:14" hidden="1" x14ac:dyDescent="0.3"/>
    <row r="332" spans="13:14" hidden="1" x14ac:dyDescent="0.3"/>
    <row r="333" spans="13:14" hidden="1" x14ac:dyDescent="0.3"/>
    <row r="334" spans="13:14" hidden="1" x14ac:dyDescent="0.3"/>
    <row r="335" spans="13:14" hidden="1" x14ac:dyDescent="0.3"/>
    <row r="336" spans="13:14" hidden="1" x14ac:dyDescent="0.3"/>
    <row r="337" hidden="1" x14ac:dyDescent="0.3"/>
    <row r="338" hidden="1" x14ac:dyDescent="0.3"/>
    <row r="339" hidden="1" x14ac:dyDescent="0.3"/>
    <row r="340" hidden="1" x14ac:dyDescent="0.3"/>
    <row r="341" hidden="1" x14ac:dyDescent="0.3"/>
    <row r="342" hidden="1" x14ac:dyDescent="0.3"/>
    <row r="343" hidden="1" x14ac:dyDescent="0.3"/>
    <row r="344" hidden="1" x14ac:dyDescent="0.3"/>
    <row r="345" hidden="1" x14ac:dyDescent="0.3"/>
    <row r="346" hidden="1" x14ac:dyDescent="0.3"/>
    <row r="347" hidden="1" x14ac:dyDescent="0.3"/>
    <row r="348" hidden="1" x14ac:dyDescent="0.3"/>
    <row r="349" hidden="1" x14ac:dyDescent="0.3"/>
    <row r="350" hidden="1" x14ac:dyDescent="0.3"/>
    <row r="351" hidden="1" x14ac:dyDescent="0.3"/>
    <row r="352" hidden="1" x14ac:dyDescent="0.3"/>
    <row r="353" hidden="1" x14ac:dyDescent="0.3"/>
    <row r="354" hidden="1" x14ac:dyDescent="0.3"/>
    <row r="355" hidden="1" x14ac:dyDescent="0.3"/>
    <row r="356" hidden="1" x14ac:dyDescent="0.3"/>
    <row r="357" hidden="1" x14ac:dyDescent="0.3"/>
    <row r="358" hidden="1" x14ac:dyDescent="0.3"/>
    <row r="359" hidden="1" x14ac:dyDescent="0.3"/>
    <row r="360" hidden="1" x14ac:dyDescent="0.3"/>
    <row r="361" hidden="1" x14ac:dyDescent="0.3"/>
    <row r="362" hidden="1" x14ac:dyDescent="0.3"/>
    <row r="363" hidden="1" x14ac:dyDescent="0.3"/>
    <row r="364" hidden="1" x14ac:dyDescent="0.3"/>
    <row r="365" hidden="1" x14ac:dyDescent="0.3"/>
    <row r="366" hidden="1" x14ac:dyDescent="0.3"/>
    <row r="367" hidden="1" x14ac:dyDescent="0.3"/>
    <row r="368" hidden="1" x14ac:dyDescent="0.3"/>
    <row r="369" hidden="1" x14ac:dyDescent="0.3"/>
    <row r="370" hidden="1" x14ac:dyDescent="0.3"/>
    <row r="371" hidden="1" x14ac:dyDescent="0.3"/>
    <row r="372" hidden="1" x14ac:dyDescent="0.3"/>
    <row r="373" hidden="1" x14ac:dyDescent="0.3"/>
    <row r="374" hidden="1" x14ac:dyDescent="0.3"/>
    <row r="375" hidden="1" x14ac:dyDescent="0.3"/>
    <row r="376" hidden="1" x14ac:dyDescent="0.3"/>
    <row r="377" hidden="1" x14ac:dyDescent="0.3"/>
    <row r="378" hidden="1" x14ac:dyDescent="0.3"/>
    <row r="379" hidden="1" x14ac:dyDescent="0.3"/>
    <row r="380" hidden="1" x14ac:dyDescent="0.3"/>
    <row r="381" hidden="1" x14ac:dyDescent="0.3"/>
    <row r="382" hidden="1" x14ac:dyDescent="0.3"/>
    <row r="383" hidden="1" x14ac:dyDescent="0.3"/>
    <row r="384" hidden="1" x14ac:dyDescent="0.3"/>
    <row r="385" hidden="1" x14ac:dyDescent="0.3"/>
    <row r="386" hidden="1" x14ac:dyDescent="0.3"/>
    <row r="387" hidden="1" x14ac:dyDescent="0.3"/>
    <row r="388" hidden="1" x14ac:dyDescent="0.3"/>
    <row r="389" hidden="1" x14ac:dyDescent="0.3"/>
    <row r="390" hidden="1" x14ac:dyDescent="0.3"/>
    <row r="391" hidden="1" x14ac:dyDescent="0.3"/>
    <row r="392" hidden="1" x14ac:dyDescent="0.3"/>
    <row r="393" hidden="1" x14ac:dyDescent="0.3"/>
    <row r="394" hidden="1" x14ac:dyDescent="0.3"/>
    <row r="395" hidden="1" x14ac:dyDescent="0.3"/>
    <row r="396" hidden="1" x14ac:dyDescent="0.3"/>
    <row r="397" hidden="1" x14ac:dyDescent="0.3"/>
    <row r="398" hidden="1" x14ac:dyDescent="0.3"/>
    <row r="399" hidden="1" x14ac:dyDescent="0.3"/>
    <row r="400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3" spans="5:42" x14ac:dyDescent="0.3">
      <c r="E433" s="76">
        <f>SUM(E295+E287+E269+E246+E194+E182+E168+E133+E61+E9)</f>
        <v>65065338341</v>
      </c>
    </row>
    <row r="435" spans="5:42" x14ac:dyDescent="0.3">
      <c r="AL435" s="130"/>
    </row>
    <row r="436" spans="5:42" x14ac:dyDescent="0.3">
      <c r="E436" s="76">
        <f>SUM(D433-E433)</f>
        <v>-65065338341</v>
      </c>
      <c r="AL436" s="130"/>
    </row>
    <row r="443" spans="5:42" x14ac:dyDescent="0.3">
      <c r="AP443" s="332"/>
    </row>
    <row r="914" hidden="1" x14ac:dyDescent="0.3"/>
    <row r="915" hidden="1" x14ac:dyDescent="0.3"/>
    <row r="916" hidden="1" x14ac:dyDescent="0.3"/>
    <row r="917" hidden="1" x14ac:dyDescent="0.3"/>
    <row r="918" hidden="1" x14ac:dyDescent="0.3"/>
    <row r="919" hidden="1" x14ac:dyDescent="0.3"/>
    <row r="920" hidden="1" x14ac:dyDescent="0.3"/>
    <row r="921" hidden="1" x14ac:dyDescent="0.3"/>
    <row r="922" hidden="1" x14ac:dyDescent="0.3"/>
    <row r="923" hidden="1" x14ac:dyDescent="0.3"/>
    <row r="924" hidden="1" x14ac:dyDescent="0.3"/>
    <row r="925" hidden="1" x14ac:dyDescent="0.3"/>
    <row r="926" hidden="1" x14ac:dyDescent="0.3"/>
    <row r="927" hidden="1" x14ac:dyDescent="0.3"/>
    <row r="928" hidden="1" x14ac:dyDescent="0.3"/>
    <row r="929" hidden="1" x14ac:dyDescent="0.3"/>
    <row r="930" hidden="1" x14ac:dyDescent="0.3"/>
    <row r="931" hidden="1" x14ac:dyDescent="0.3"/>
    <row r="932" hidden="1" x14ac:dyDescent="0.3"/>
    <row r="933" hidden="1" x14ac:dyDescent="0.3"/>
    <row r="934" hidden="1" x14ac:dyDescent="0.3"/>
    <row r="935" hidden="1" x14ac:dyDescent="0.3"/>
    <row r="936" hidden="1" x14ac:dyDescent="0.3"/>
    <row r="937" hidden="1" x14ac:dyDescent="0.3"/>
    <row r="938" hidden="1" x14ac:dyDescent="0.3"/>
    <row r="939" hidden="1" x14ac:dyDescent="0.3"/>
    <row r="940" hidden="1" x14ac:dyDescent="0.3"/>
    <row r="941" hidden="1" x14ac:dyDescent="0.3"/>
    <row r="942" hidden="1" x14ac:dyDescent="0.3"/>
    <row r="943" hidden="1" x14ac:dyDescent="0.3"/>
    <row r="944" hidden="1" x14ac:dyDescent="0.3"/>
    <row r="945" hidden="1" x14ac:dyDescent="0.3"/>
    <row r="946" hidden="1" x14ac:dyDescent="0.3"/>
    <row r="947" hidden="1" x14ac:dyDescent="0.3"/>
    <row r="948" hidden="1" x14ac:dyDescent="0.3"/>
    <row r="949" hidden="1" x14ac:dyDescent="0.3"/>
    <row r="950" hidden="1" x14ac:dyDescent="0.3"/>
    <row r="951" hidden="1" x14ac:dyDescent="0.3"/>
    <row r="952" hidden="1" x14ac:dyDescent="0.3"/>
    <row r="953" hidden="1" x14ac:dyDescent="0.3"/>
    <row r="954" hidden="1" x14ac:dyDescent="0.3"/>
    <row r="955" hidden="1" x14ac:dyDescent="0.3"/>
    <row r="956" hidden="1" x14ac:dyDescent="0.3"/>
    <row r="957" hidden="1" x14ac:dyDescent="0.3"/>
    <row r="958" hidden="1" x14ac:dyDescent="0.3"/>
    <row r="959" hidden="1" x14ac:dyDescent="0.3"/>
    <row r="960" hidden="1" x14ac:dyDescent="0.3"/>
    <row r="961" hidden="1" x14ac:dyDescent="0.3"/>
    <row r="962" hidden="1" x14ac:dyDescent="0.3"/>
    <row r="963" hidden="1" x14ac:dyDescent="0.3"/>
    <row r="964" hidden="1" x14ac:dyDescent="0.3"/>
    <row r="965" hidden="1" x14ac:dyDescent="0.3"/>
    <row r="966" hidden="1" x14ac:dyDescent="0.3"/>
    <row r="967" hidden="1" x14ac:dyDescent="0.3"/>
    <row r="968" hidden="1" x14ac:dyDescent="0.3"/>
    <row r="969" hidden="1" x14ac:dyDescent="0.3"/>
    <row r="970" hidden="1" x14ac:dyDescent="0.3"/>
    <row r="971" hidden="1" x14ac:dyDescent="0.3"/>
    <row r="972" hidden="1" x14ac:dyDescent="0.3"/>
    <row r="973" hidden="1" x14ac:dyDescent="0.3"/>
    <row r="974" hidden="1" x14ac:dyDescent="0.3"/>
    <row r="975" hidden="1" x14ac:dyDescent="0.3"/>
    <row r="976" hidden="1" x14ac:dyDescent="0.3"/>
    <row r="977" hidden="1" x14ac:dyDescent="0.3"/>
    <row r="978" hidden="1" x14ac:dyDescent="0.3"/>
    <row r="979" hidden="1" x14ac:dyDescent="0.3"/>
    <row r="980" hidden="1" x14ac:dyDescent="0.3"/>
    <row r="981" hidden="1" x14ac:dyDescent="0.3"/>
    <row r="982" hidden="1" x14ac:dyDescent="0.3"/>
    <row r="983" hidden="1" x14ac:dyDescent="0.3"/>
    <row r="984" hidden="1" x14ac:dyDescent="0.3"/>
    <row r="985" hidden="1" x14ac:dyDescent="0.3"/>
    <row r="986" hidden="1" x14ac:dyDescent="0.3"/>
    <row r="987" hidden="1" x14ac:dyDescent="0.3"/>
    <row r="988" hidden="1" x14ac:dyDescent="0.3"/>
    <row r="989" hidden="1" x14ac:dyDescent="0.3"/>
    <row r="990" hidden="1" x14ac:dyDescent="0.3"/>
    <row r="991" hidden="1" x14ac:dyDescent="0.3"/>
    <row r="992" hidden="1" x14ac:dyDescent="0.3"/>
    <row r="993" hidden="1" x14ac:dyDescent="0.3"/>
    <row r="994" hidden="1" x14ac:dyDescent="0.3"/>
    <row r="995" hidden="1" x14ac:dyDescent="0.3"/>
    <row r="996" hidden="1" x14ac:dyDescent="0.3"/>
    <row r="997" hidden="1" x14ac:dyDescent="0.3"/>
    <row r="998" hidden="1" x14ac:dyDescent="0.3"/>
    <row r="999" hidden="1" x14ac:dyDescent="0.3"/>
    <row r="1000" hidden="1" x14ac:dyDescent="0.3"/>
    <row r="1001" hidden="1" x14ac:dyDescent="0.3"/>
    <row r="1002" hidden="1" x14ac:dyDescent="0.3"/>
    <row r="1003" hidden="1" x14ac:dyDescent="0.3"/>
    <row r="1004" hidden="1" x14ac:dyDescent="0.3"/>
    <row r="1005" hidden="1" x14ac:dyDescent="0.3"/>
    <row r="1006" hidden="1" x14ac:dyDescent="0.3"/>
    <row r="1007" hidden="1" x14ac:dyDescent="0.3"/>
    <row r="1008" hidden="1" x14ac:dyDescent="0.3"/>
    <row r="1009" hidden="1" x14ac:dyDescent="0.3"/>
    <row r="1010" hidden="1" x14ac:dyDescent="0.3"/>
    <row r="1011" hidden="1" x14ac:dyDescent="0.3"/>
    <row r="1012" hidden="1" x14ac:dyDescent="0.3"/>
    <row r="1013" hidden="1" x14ac:dyDescent="0.3"/>
    <row r="1014" hidden="1" x14ac:dyDescent="0.3"/>
    <row r="1015" hidden="1" x14ac:dyDescent="0.3"/>
    <row r="1016" hidden="1" x14ac:dyDescent="0.3"/>
    <row r="1017" hidden="1" x14ac:dyDescent="0.3"/>
    <row r="1018" hidden="1" x14ac:dyDescent="0.3"/>
    <row r="1019" hidden="1" x14ac:dyDescent="0.3"/>
    <row r="1020" hidden="1" x14ac:dyDescent="0.3"/>
    <row r="1021" hidden="1" x14ac:dyDescent="0.3"/>
    <row r="1022" hidden="1" x14ac:dyDescent="0.3"/>
    <row r="1023" hidden="1" x14ac:dyDescent="0.3"/>
    <row r="1024" hidden="1" x14ac:dyDescent="0.3"/>
    <row r="1025" hidden="1" x14ac:dyDescent="0.3"/>
    <row r="1026" hidden="1" x14ac:dyDescent="0.3"/>
  </sheetData>
  <mergeCells count="184">
    <mergeCell ref="A3:AM3"/>
    <mergeCell ref="B299:C299"/>
    <mergeCell ref="B275:C275"/>
    <mergeCell ref="B298:C298"/>
    <mergeCell ref="B297:C297"/>
    <mergeCell ref="B289:C289"/>
    <mergeCell ref="B276:C276"/>
    <mergeCell ref="B290:C290"/>
    <mergeCell ref="B291:C291"/>
    <mergeCell ref="B295:C295"/>
    <mergeCell ref="B292:C292"/>
    <mergeCell ref="B262:C262"/>
    <mergeCell ref="B264:C264"/>
    <mergeCell ref="B287:C287"/>
    <mergeCell ref="B266:C266"/>
    <mergeCell ref="B269:C269"/>
    <mergeCell ref="B263:C263"/>
    <mergeCell ref="B267:C267"/>
    <mergeCell ref="B293:C293"/>
    <mergeCell ref="B271:C271"/>
    <mergeCell ref="B185:C185"/>
    <mergeCell ref="B204:C204"/>
    <mergeCell ref="B197:C197"/>
    <mergeCell ref="B194:C194"/>
    <mergeCell ref="B196:C196"/>
    <mergeCell ref="B241:C241"/>
    <mergeCell ref="B202:C202"/>
    <mergeCell ref="B206:C206"/>
    <mergeCell ref="B234:C234"/>
    <mergeCell ref="B236:C236"/>
    <mergeCell ref="B201:C201"/>
    <mergeCell ref="B240:C240"/>
    <mergeCell ref="B198:C198"/>
    <mergeCell ref="B199:C199"/>
    <mergeCell ref="B200:C200"/>
    <mergeCell ref="B237:C237"/>
    <mergeCell ref="B232:C232"/>
    <mergeCell ref="B258:C258"/>
    <mergeCell ref="B259:C259"/>
    <mergeCell ref="B249:C249"/>
    <mergeCell ref="B246:C246"/>
    <mergeCell ref="B250:C250"/>
    <mergeCell ref="B235:C235"/>
    <mergeCell ref="B248:C248"/>
    <mergeCell ref="B256:C256"/>
    <mergeCell ref="B255:C255"/>
    <mergeCell ref="B254:C254"/>
    <mergeCell ref="B253:C253"/>
    <mergeCell ref="B184:C184"/>
    <mergeCell ref="B182:C182"/>
    <mergeCell ref="B171:C171"/>
    <mergeCell ref="B175:C175"/>
    <mergeCell ref="B180:C180"/>
    <mergeCell ref="B165:C165"/>
    <mergeCell ref="B164:C164"/>
    <mergeCell ref="B155:C155"/>
    <mergeCell ref="B161:C161"/>
    <mergeCell ref="B160:C160"/>
    <mergeCell ref="B173:C173"/>
    <mergeCell ref="B170:C170"/>
    <mergeCell ref="B172:C172"/>
    <mergeCell ref="B174:C174"/>
    <mergeCell ref="B168:C168"/>
    <mergeCell ref="B177:C177"/>
    <mergeCell ref="B176:C176"/>
    <mergeCell ref="B179:C179"/>
    <mergeCell ref="B141:C141"/>
    <mergeCell ref="B145:C145"/>
    <mergeCell ref="B142:C142"/>
    <mergeCell ref="B163:C163"/>
    <mergeCell ref="B158:C158"/>
    <mergeCell ref="B162:C162"/>
    <mergeCell ref="B153:C153"/>
    <mergeCell ref="B150:C150"/>
    <mergeCell ref="B148:C148"/>
    <mergeCell ref="B146:C146"/>
    <mergeCell ref="B144:C144"/>
    <mergeCell ref="B154:C154"/>
    <mergeCell ref="B149:C149"/>
    <mergeCell ref="B151:C151"/>
    <mergeCell ref="B147:C147"/>
    <mergeCell ref="B157:C157"/>
    <mergeCell ref="B125:C125"/>
    <mergeCell ref="B108:C108"/>
    <mergeCell ref="B105:C105"/>
    <mergeCell ref="B115:C115"/>
    <mergeCell ref="B118:C118"/>
    <mergeCell ref="B107:C107"/>
    <mergeCell ref="B91:C91"/>
    <mergeCell ref="B138:C138"/>
    <mergeCell ref="B139:C139"/>
    <mergeCell ref="B102:C102"/>
    <mergeCell ref="B68:C68"/>
    <mergeCell ref="B87:C87"/>
    <mergeCell ref="B85:C85"/>
    <mergeCell ref="B83:C83"/>
    <mergeCell ref="B97:C97"/>
    <mergeCell ref="B98:C98"/>
    <mergeCell ref="B121:C121"/>
    <mergeCell ref="B137:C137"/>
    <mergeCell ref="B135:C135"/>
    <mergeCell ref="B88:C88"/>
    <mergeCell ref="B119:C119"/>
    <mergeCell ref="B95:C95"/>
    <mergeCell ref="B94:C94"/>
    <mergeCell ref="B92:C92"/>
    <mergeCell ref="B100:C100"/>
    <mergeCell ref="B113:C113"/>
    <mergeCell ref="B106:C106"/>
    <mergeCell ref="B136:C136"/>
    <mergeCell ref="B130:C130"/>
    <mergeCell ref="B128:C128"/>
    <mergeCell ref="B126:C126"/>
    <mergeCell ref="B133:C133"/>
    <mergeCell ref="B131:C131"/>
    <mergeCell ref="B124:C124"/>
    <mergeCell ref="B74:C74"/>
    <mergeCell ref="B75:C75"/>
    <mergeCell ref="B77:C77"/>
    <mergeCell ref="B72:C72"/>
    <mergeCell ref="B66:C66"/>
    <mergeCell ref="B63:C63"/>
    <mergeCell ref="B65:C65"/>
    <mergeCell ref="B129:C129"/>
    <mergeCell ref="B61:C61"/>
    <mergeCell ref="B82:C82"/>
    <mergeCell ref="B70:C70"/>
    <mergeCell ref="B116:C116"/>
    <mergeCell ref="B103:C103"/>
    <mergeCell ref="B73:C73"/>
    <mergeCell ref="B86:C86"/>
    <mergeCell ref="B89:C89"/>
    <mergeCell ref="B96:C96"/>
    <mergeCell ref="B101:C101"/>
    <mergeCell ref="B90:C90"/>
    <mergeCell ref="B120:C120"/>
    <mergeCell ref="B122:C122"/>
    <mergeCell ref="B81:C81"/>
    <mergeCell ref="B80:C80"/>
    <mergeCell ref="B79:C79"/>
    <mergeCell ref="B51:C51"/>
    <mergeCell ref="B50:C50"/>
    <mergeCell ref="B54:C54"/>
    <mergeCell ref="B36:C36"/>
    <mergeCell ref="B35:C35"/>
    <mergeCell ref="B17:C17"/>
    <mergeCell ref="B19:C19"/>
    <mergeCell ref="B23:C23"/>
    <mergeCell ref="B39:C39"/>
    <mergeCell ref="B33:C33"/>
    <mergeCell ref="B38:C38"/>
    <mergeCell ref="B37:C37"/>
    <mergeCell ref="B40:C40"/>
    <mergeCell ref="B43:C43"/>
    <mergeCell ref="B53:C53"/>
    <mergeCell ref="B47:C47"/>
    <mergeCell ref="B46:C46"/>
    <mergeCell ref="B45:C45"/>
    <mergeCell ref="B48:C48"/>
    <mergeCell ref="B44:C44"/>
    <mergeCell ref="A1:AM1"/>
    <mergeCell ref="A2:AM2"/>
    <mergeCell ref="B64:C64"/>
    <mergeCell ref="B71:C71"/>
    <mergeCell ref="B78:C78"/>
    <mergeCell ref="A4:AK4"/>
    <mergeCell ref="B9:C9"/>
    <mergeCell ref="B13:C13"/>
    <mergeCell ref="B7:C7"/>
    <mergeCell ref="B20:C20"/>
    <mergeCell ref="B32:C32"/>
    <mergeCell ref="B26:C26"/>
    <mergeCell ref="B24:C24"/>
    <mergeCell ref="B14:C14"/>
    <mergeCell ref="B12:C12"/>
    <mergeCell ref="B6:C6"/>
    <mergeCell ref="B28:C28"/>
    <mergeCell ref="B30:C30"/>
    <mergeCell ref="B29:C29"/>
    <mergeCell ref="B25:C25"/>
    <mergeCell ref="B11:C11"/>
    <mergeCell ref="B15:C15"/>
    <mergeCell ref="B18:C18"/>
    <mergeCell ref="B21:C21"/>
  </mergeCells>
  <phoneticPr fontId="10" type="noConversion"/>
  <printOptions verticalCentered="1"/>
  <pageMargins left="0" right="0" top="0" bottom="0.23622047244094491" header="0" footer="0"/>
  <pageSetup scale="5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G121"/>
  <sheetViews>
    <sheetView workbookViewId="0">
      <selection activeCell="I10" sqref="I10"/>
    </sheetView>
  </sheetViews>
  <sheetFormatPr baseColWidth="10" defaultRowHeight="13.2" x14ac:dyDescent="0.25"/>
  <cols>
    <col min="1" max="1" width="45.88671875" style="177" customWidth="1"/>
    <col min="2" max="3" width="18.33203125" style="177" customWidth="1"/>
    <col min="4" max="4" width="13.88671875" style="177" customWidth="1"/>
    <col min="5" max="5" width="22.6640625" style="177" hidden="1" customWidth="1"/>
    <col min="6" max="6" width="11.5546875" style="177"/>
    <col min="7" max="7" width="13.33203125" style="177" bestFit="1" customWidth="1"/>
    <col min="8" max="16384" width="11.5546875" style="177"/>
  </cols>
  <sheetData>
    <row r="1" spans="1:7" x14ac:dyDescent="0.25">
      <c r="A1" s="1931" t="s">
        <v>816</v>
      </c>
      <c r="B1" s="1931"/>
      <c r="C1" s="1931"/>
      <c r="D1" s="1931"/>
      <c r="E1" s="1931"/>
    </row>
    <row r="2" spans="1:7" x14ac:dyDescent="0.25">
      <c r="A2" s="1931" t="s">
        <v>817</v>
      </c>
      <c r="B2" s="1931"/>
      <c r="C2" s="1931"/>
      <c r="D2" s="1931"/>
      <c r="E2" s="1931"/>
    </row>
    <row r="3" spans="1:7" ht="13.8" thickBot="1" x14ac:dyDescent="0.3">
      <c r="A3" s="1931" t="s">
        <v>818</v>
      </c>
      <c r="B3" s="1931"/>
      <c r="C3" s="1931"/>
      <c r="D3" s="1931"/>
      <c r="E3" s="1931"/>
    </row>
    <row r="4" spans="1:7" ht="13.8" thickBot="1" x14ac:dyDescent="0.3">
      <c r="A4" s="1400" t="s">
        <v>0</v>
      </c>
      <c r="B4" s="1396" t="s">
        <v>819</v>
      </c>
      <c r="C4" s="1397" t="s">
        <v>820</v>
      </c>
      <c r="D4" s="1398" t="s">
        <v>821</v>
      </c>
      <c r="E4" s="1399" t="s">
        <v>822</v>
      </c>
      <c r="G4" s="176"/>
    </row>
    <row r="5" spans="1:7" x14ac:dyDescent="0.25">
      <c r="A5" s="465" t="s">
        <v>823</v>
      </c>
      <c r="B5" s="466"/>
      <c r="C5" s="1401"/>
      <c r="D5" s="1402"/>
      <c r="E5" s="399"/>
    </row>
    <row r="6" spans="1:7" x14ac:dyDescent="0.25">
      <c r="A6" s="467"/>
      <c r="B6" s="468"/>
      <c r="C6" s="1401"/>
      <c r="D6" s="1402"/>
      <c r="E6" s="399"/>
      <c r="G6" s="176"/>
    </row>
    <row r="7" spans="1:7" x14ac:dyDescent="0.25">
      <c r="A7" s="469" t="s">
        <v>824</v>
      </c>
      <c r="B7" s="470">
        <f>SUM(B8)</f>
        <v>19572167.504000001</v>
      </c>
      <c r="C7" s="471">
        <f>SUM(C8)</f>
        <v>16925212.617999997</v>
      </c>
      <c r="D7" s="472">
        <f>((B7-C7)/C7)</f>
        <v>0.15639123393847129</v>
      </c>
      <c r="E7" s="1403"/>
      <c r="F7" s="176"/>
    </row>
    <row r="8" spans="1:7" x14ac:dyDescent="0.25">
      <c r="A8" s="473" t="s">
        <v>825</v>
      </c>
      <c r="B8" s="474">
        <f>SUM(B10+B12+B52+B59)</f>
        <v>19572167.504000001</v>
      </c>
      <c r="C8" s="475">
        <f>SUM(C10+C12+C52+C59)</f>
        <v>16925212.617999997</v>
      </c>
      <c r="D8" s="472">
        <f>((B8-C8)/C8)</f>
        <v>0.15639123393847129</v>
      </c>
      <c r="E8" s="1403"/>
    </row>
    <row r="9" spans="1:7" x14ac:dyDescent="0.25">
      <c r="A9" s="467"/>
      <c r="B9" s="476"/>
      <c r="C9" s="1404"/>
      <c r="D9" s="487"/>
      <c r="E9" s="1403"/>
      <c r="G9" s="176"/>
    </row>
    <row r="10" spans="1:7" x14ac:dyDescent="0.25">
      <c r="A10" s="467" t="s">
        <v>826</v>
      </c>
      <c r="B10" s="477">
        <f>(3040322530/1000)</f>
        <v>3040322.53</v>
      </c>
      <c r="C10" s="1404">
        <f>(2661622528/1000)</f>
        <v>2661622.5279999999</v>
      </c>
      <c r="D10" s="487">
        <f>((B10-C10)/C10)</f>
        <v>0.14228163385908937</v>
      </c>
      <c r="E10" s="1403"/>
    </row>
    <row r="11" spans="1:7" x14ac:dyDescent="0.25">
      <c r="A11" s="467"/>
      <c r="B11" s="477"/>
      <c r="C11" s="1405"/>
      <c r="D11" s="487"/>
      <c r="E11" s="1403"/>
    </row>
    <row r="12" spans="1:7" x14ac:dyDescent="0.25">
      <c r="A12" s="467" t="s">
        <v>827</v>
      </c>
      <c r="B12" s="478">
        <f>SUM(B14+B15+B49)</f>
        <v>14996603.342</v>
      </c>
      <c r="C12" s="478">
        <f>SUM(C14+C15+C49)</f>
        <v>10872900.159</v>
      </c>
      <c r="D12" s="472">
        <f>((B12-C12)/C12)</f>
        <v>0.3792643289919867</v>
      </c>
      <c r="E12" s="1403"/>
    </row>
    <row r="13" spans="1:7" x14ac:dyDescent="0.25">
      <c r="A13" s="479"/>
      <c r="B13" s="480"/>
      <c r="C13" s="1404"/>
      <c r="D13" s="487"/>
      <c r="E13" s="1403"/>
    </row>
    <row r="14" spans="1:7" x14ac:dyDescent="0.25">
      <c r="A14" s="467" t="s">
        <v>828</v>
      </c>
      <c r="B14" s="480">
        <f>(7226261433/1000)</f>
        <v>7226261.4330000002</v>
      </c>
      <c r="C14" s="1404">
        <f>(5186247848/1000)</f>
        <v>5186247.8480000002</v>
      </c>
      <c r="D14" s="487">
        <f t="shared" ref="D14:D50" si="0">((B14-C14)/C14)</f>
        <v>0.393350577293891</v>
      </c>
      <c r="E14" s="1403"/>
    </row>
    <row r="15" spans="1:7" x14ac:dyDescent="0.25">
      <c r="A15" s="467" t="s">
        <v>829</v>
      </c>
      <c r="B15" s="480">
        <f>(7511661908/1000)</f>
        <v>7511661.9079999998</v>
      </c>
      <c r="C15" s="1404">
        <f>(5678484493/1000)</f>
        <v>5678484.4929999998</v>
      </c>
      <c r="D15" s="487">
        <f t="shared" si="0"/>
        <v>0.32282863803886419</v>
      </c>
      <c r="E15" s="1403"/>
    </row>
    <row r="16" spans="1:7" hidden="1" x14ac:dyDescent="0.25">
      <c r="A16" s="481" t="s">
        <v>830</v>
      </c>
      <c r="B16" s="482"/>
      <c r="C16" s="1404"/>
      <c r="D16" s="487" t="e">
        <f t="shared" si="0"/>
        <v>#DIV/0!</v>
      </c>
      <c r="E16" s="1403"/>
    </row>
    <row r="17" spans="1:5" hidden="1" x14ac:dyDescent="0.25">
      <c r="A17" s="483" t="s">
        <v>831</v>
      </c>
      <c r="B17" s="480"/>
      <c r="C17" s="1404"/>
      <c r="D17" s="487" t="e">
        <f t="shared" si="0"/>
        <v>#DIV/0!</v>
      </c>
      <c r="E17" s="1403"/>
    </row>
    <row r="18" spans="1:5" hidden="1" x14ac:dyDescent="0.25">
      <c r="A18" s="483" t="s">
        <v>408</v>
      </c>
      <c r="B18" s="480"/>
      <c r="C18" s="1404"/>
      <c r="D18" s="487" t="e">
        <f t="shared" si="0"/>
        <v>#DIV/0!</v>
      </c>
      <c r="E18" s="1403"/>
    </row>
    <row r="19" spans="1:5" hidden="1" x14ac:dyDescent="0.25">
      <c r="A19" s="483" t="s">
        <v>409</v>
      </c>
      <c r="B19" s="480"/>
      <c r="C19" s="1404"/>
      <c r="D19" s="487" t="e">
        <f t="shared" si="0"/>
        <v>#DIV/0!</v>
      </c>
      <c r="E19" s="1403"/>
    </row>
    <row r="20" spans="1:5" hidden="1" x14ac:dyDescent="0.25">
      <c r="A20" s="483" t="s">
        <v>832</v>
      </c>
      <c r="B20" s="480"/>
      <c r="C20" s="1404"/>
      <c r="D20" s="487" t="e">
        <f t="shared" si="0"/>
        <v>#DIV/0!</v>
      </c>
      <c r="E20" s="1403"/>
    </row>
    <row r="21" spans="1:5" hidden="1" x14ac:dyDescent="0.25">
      <c r="A21" s="483" t="s">
        <v>410</v>
      </c>
      <c r="B21" s="480"/>
      <c r="C21" s="1404"/>
      <c r="D21" s="487" t="e">
        <f t="shared" si="0"/>
        <v>#DIV/0!</v>
      </c>
      <c r="E21" s="1403"/>
    </row>
    <row r="22" spans="1:5" hidden="1" x14ac:dyDescent="0.25">
      <c r="A22" s="467"/>
      <c r="B22" s="480"/>
      <c r="C22" s="1404"/>
      <c r="D22" s="487" t="e">
        <f t="shared" si="0"/>
        <v>#DIV/0!</v>
      </c>
      <c r="E22" s="1403"/>
    </row>
    <row r="23" spans="1:5" hidden="1" x14ac:dyDescent="0.25">
      <c r="A23" s="467" t="s">
        <v>833</v>
      </c>
      <c r="B23" s="480"/>
      <c r="C23" s="1404"/>
      <c r="D23" s="487" t="e">
        <f t="shared" si="0"/>
        <v>#DIV/0!</v>
      </c>
      <c r="E23" s="1403"/>
    </row>
    <row r="24" spans="1:5" hidden="1" x14ac:dyDescent="0.25">
      <c r="A24" s="481" t="s">
        <v>834</v>
      </c>
      <c r="B24" s="482"/>
      <c r="C24" s="1404"/>
      <c r="D24" s="487" t="e">
        <f t="shared" si="0"/>
        <v>#DIV/0!</v>
      </c>
      <c r="E24" s="1403"/>
    </row>
    <row r="25" spans="1:5" hidden="1" x14ac:dyDescent="0.25">
      <c r="A25" s="481" t="s">
        <v>835</v>
      </c>
      <c r="B25" s="482"/>
      <c r="C25" s="1404"/>
      <c r="D25" s="487" t="e">
        <f t="shared" si="0"/>
        <v>#DIV/0!</v>
      </c>
      <c r="E25" s="1403"/>
    </row>
    <row r="26" spans="1:5" hidden="1" x14ac:dyDescent="0.25">
      <c r="A26" s="481" t="s">
        <v>836</v>
      </c>
      <c r="B26" s="482"/>
      <c r="C26" s="1404"/>
      <c r="D26" s="487" t="e">
        <f t="shared" si="0"/>
        <v>#DIV/0!</v>
      </c>
      <c r="E26" s="1403"/>
    </row>
    <row r="27" spans="1:5" hidden="1" x14ac:dyDescent="0.25">
      <c r="A27" s="481" t="s">
        <v>837</v>
      </c>
      <c r="B27" s="482"/>
      <c r="C27" s="1404"/>
      <c r="D27" s="487" t="e">
        <f t="shared" si="0"/>
        <v>#DIV/0!</v>
      </c>
      <c r="E27" s="1403"/>
    </row>
    <row r="28" spans="1:5" hidden="1" x14ac:dyDescent="0.25">
      <c r="A28" s="481" t="s">
        <v>413</v>
      </c>
      <c r="B28" s="482"/>
      <c r="C28" s="1404"/>
      <c r="D28" s="487" t="e">
        <f t="shared" si="0"/>
        <v>#DIV/0!</v>
      </c>
      <c r="E28" s="1403"/>
    </row>
    <row r="29" spans="1:5" hidden="1" x14ac:dyDescent="0.25">
      <c r="A29" s="481" t="s">
        <v>838</v>
      </c>
      <c r="B29" s="482"/>
      <c r="C29" s="1404"/>
      <c r="D29" s="487" t="e">
        <f t="shared" si="0"/>
        <v>#DIV/0!</v>
      </c>
      <c r="E29" s="1403"/>
    </row>
    <row r="30" spans="1:5" hidden="1" x14ac:dyDescent="0.25">
      <c r="A30" s="483" t="s">
        <v>839</v>
      </c>
      <c r="B30" s="480"/>
      <c r="C30" s="1404"/>
      <c r="D30" s="487" t="e">
        <f t="shared" si="0"/>
        <v>#DIV/0!</v>
      </c>
      <c r="E30" s="1403"/>
    </row>
    <row r="31" spans="1:5" hidden="1" x14ac:dyDescent="0.25">
      <c r="A31" s="481" t="s">
        <v>840</v>
      </c>
      <c r="B31" s="482"/>
      <c r="C31" s="1404"/>
      <c r="D31" s="487" t="e">
        <f t="shared" si="0"/>
        <v>#DIV/0!</v>
      </c>
      <c r="E31" s="1403"/>
    </row>
    <row r="32" spans="1:5" hidden="1" x14ac:dyDescent="0.25">
      <c r="A32" s="481" t="s">
        <v>841</v>
      </c>
      <c r="B32" s="482"/>
      <c r="C32" s="1404"/>
      <c r="D32" s="487" t="e">
        <f t="shared" si="0"/>
        <v>#DIV/0!</v>
      </c>
      <c r="E32" s="1403"/>
    </row>
    <row r="33" spans="1:5" hidden="1" x14ac:dyDescent="0.25">
      <c r="A33" s="481" t="s">
        <v>842</v>
      </c>
      <c r="B33" s="482"/>
      <c r="C33" s="1404"/>
      <c r="D33" s="487" t="e">
        <f t="shared" si="0"/>
        <v>#DIV/0!</v>
      </c>
      <c r="E33" s="1403"/>
    </row>
    <row r="34" spans="1:5" hidden="1" x14ac:dyDescent="0.25">
      <c r="A34" s="481" t="s">
        <v>843</v>
      </c>
      <c r="B34" s="482"/>
      <c r="C34" s="1404"/>
      <c r="D34" s="487" t="e">
        <f t="shared" si="0"/>
        <v>#DIV/0!</v>
      </c>
      <c r="E34" s="1403"/>
    </row>
    <row r="35" spans="1:5" hidden="1" x14ac:dyDescent="0.25">
      <c r="A35" s="467" t="s">
        <v>844</v>
      </c>
      <c r="B35" s="480"/>
      <c r="C35" s="1404"/>
      <c r="D35" s="487" t="e">
        <f t="shared" si="0"/>
        <v>#DIV/0!</v>
      </c>
      <c r="E35" s="1403"/>
    </row>
    <row r="36" spans="1:5" hidden="1" x14ac:dyDescent="0.25">
      <c r="A36" s="467" t="s">
        <v>845</v>
      </c>
      <c r="B36" s="480"/>
      <c r="C36" s="1404"/>
      <c r="D36" s="487" t="e">
        <f t="shared" si="0"/>
        <v>#DIV/0!</v>
      </c>
      <c r="E36" s="1403"/>
    </row>
    <row r="37" spans="1:5" hidden="1" x14ac:dyDescent="0.25">
      <c r="A37" s="467" t="s">
        <v>846</v>
      </c>
      <c r="B37" s="480"/>
      <c r="C37" s="1404"/>
      <c r="D37" s="487" t="e">
        <f t="shared" si="0"/>
        <v>#DIV/0!</v>
      </c>
      <c r="E37" s="1403"/>
    </row>
    <row r="38" spans="1:5" hidden="1" x14ac:dyDescent="0.25">
      <c r="A38" s="467" t="s">
        <v>847</v>
      </c>
      <c r="B38" s="480"/>
      <c r="C38" s="1404"/>
      <c r="D38" s="487" t="e">
        <f t="shared" si="0"/>
        <v>#DIV/0!</v>
      </c>
      <c r="E38" s="1403"/>
    </row>
    <row r="39" spans="1:5" hidden="1" x14ac:dyDescent="0.25">
      <c r="A39" s="467" t="s">
        <v>848</v>
      </c>
      <c r="B39" s="480"/>
      <c r="C39" s="1404"/>
      <c r="D39" s="487" t="e">
        <f t="shared" si="0"/>
        <v>#DIV/0!</v>
      </c>
      <c r="E39" s="1403"/>
    </row>
    <row r="40" spans="1:5" hidden="1" x14ac:dyDescent="0.25">
      <c r="A40" s="467" t="s">
        <v>849</v>
      </c>
      <c r="B40" s="480"/>
      <c r="C40" s="1404"/>
      <c r="D40" s="487" t="e">
        <f t="shared" si="0"/>
        <v>#DIV/0!</v>
      </c>
      <c r="E40" s="1403"/>
    </row>
    <row r="41" spans="1:5" hidden="1" x14ac:dyDescent="0.25">
      <c r="A41" s="467"/>
      <c r="B41" s="480"/>
      <c r="C41" s="1404"/>
      <c r="D41" s="487" t="e">
        <f t="shared" si="0"/>
        <v>#DIV/0!</v>
      </c>
      <c r="E41" s="1403"/>
    </row>
    <row r="42" spans="1:5" hidden="1" x14ac:dyDescent="0.25">
      <c r="A42" s="483" t="s">
        <v>850</v>
      </c>
      <c r="B42" s="484" t="e">
        <f>'[1]PRESINGRESOS  2011 MILES ¢'!#REF!</f>
        <v>#REF!</v>
      </c>
      <c r="C42" s="1404" t="e">
        <f>'[1]PRESINGRESOS  2011 MILES ¢'!#REF!</f>
        <v>#REF!</v>
      </c>
      <c r="D42" s="487" t="e">
        <f t="shared" si="0"/>
        <v>#REF!</v>
      </c>
      <c r="E42" s="1403"/>
    </row>
    <row r="43" spans="1:5" hidden="1" x14ac:dyDescent="0.25">
      <c r="A43" s="483" t="s">
        <v>831</v>
      </c>
      <c r="B43" s="480"/>
      <c r="C43" s="1404"/>
      <c r="D43" s="487" t="e">
        <f t="shared" si="0"/>
        <v>#DIV/0!</v>
      </c>
      <c r="E43" s="1403"/>
    </row>
    <row r="44" spans="1:5" hidden="1" x14ac:dyDescent="0.25">
      <c r="A44" s="483" t="s">
        <v>408</v>
      </c>
      <c r="B44" s="480"/>
      <c r="C44" s="1404"/>
      <c r="D44" s="487" t="e">
        <f t="shared" si="0"/>
        <v>#DIV/0!</v>
      </c>
      <c r="E44" s="1403"/>
    </row>
    <row r="45" spans="1:5" hidden="1" x14ac:dyDescent="0.25">
      <c r="A45" s="483" t="s">
        <v>409</v>
      </c>
      <c r="B45" s="480"/>
      <c r="C45" s="1404"/>
      <c r="D45" s="487" t="e">
        <f t="shared" si="0"/>
        <v>#DIV/0!</v>
      </c>
      <c r="E45" s="1403"/>
    </row>
    <row r="46" spans="1:5" hidden="1" x14ac:dyDescent="0.25">
      <c r="A46" s="483" t="s">
        <v>832</v>
      </c>
      <c r="B46" s="480"/>
      <c r="C46" s="1404"/>
      <c r="D46" s="487" t="e">
        <f t="shared" si="0"/>
        <v>#DIV/0!</v>
      </c>
      <c r="E46" s="1403"/>
    </row>
    <row r="47" spans="1:5" hidden="1" x14ac:dyDescent="0.25">
      <c r="A47" s="483" t="s">
        <v>410</v>
      </c>
      <c r="B47" s="480"/>
      <c r="C47" s="1404"/>
      <c r="D47" s="487" t="e">
        <f t="shared" si="0"/>
        <v>#DIV/0!</v>
      </c>
      <c r="E47" s="1403"/>
    </row>
    <row r="48" spans="1:5" hidden="1" x14ac:dyDescent="0.25">
      <c r="A48" s="481"/>
      <c r="B48" s="482"/>
      <c r="C48" s="1404"/>
      <c r="D48" s="487" t="e">
        <f t="shared" si="0"/>
        <v>#DIV/0!</v>
      </c>
      <c r="E48" s="1403"/>
    </row>
    <row r="49" spans="1:5" x14ac:dyDescent="0.25">
      <c r="A49" s="467" t="s">
        <v>851</v>
      </c>
      <c r="B49" s="480">
        <f>(258680001/1000)</f>
        <v>258680.00099999999</v>
      </c>
      <c r="C49" s="1404">
        <f>(8167818/1000)</f>
        <v>8167.8180000000002</v>
      </c>
      <c r="D49" s="487">
        <f t="shared" si="0"/>
        <v>30.670637249752623</v>
      </c>
      <c r="E49" s="1403"/>
    </row>
    <row r="50" spans="1:5" hidden="1" x14ac:dyDescent="0.25">
      <c r="A50" s="473"/>
      <c r="B50" s="478"/>
      <c r="C50" s="1404"/>
      <c r="D50" s="487" t="e">
        <f t="shared" si="0"/>
        <v>#DIV/0!</v>
      </c>
      <c r="E50" s="1403"/>
    </row>
    <row r="51" spans="1:5" x14ac:dyDescent="0.25">
      <c r="A51" s="473"/>
      <c r="B51" s="478"/>
      <c r="C51" s="1404"/>
      <c r="D51" s="487"/>
      <c r="E51" s="1403"/>
    </row>
    <row r="52" spans="1:5" x14ac:dyDescent="0.25">
      <c r="A52" s="485" t="s">
        <v>852</v>
      </c>
      <c r="B52" s="480">
        <f>1418226671/1000</f>
        <v>1418226.6710000001</v>
      </c>
      <c r="C52" s="1404">
        <f>2218001165/1000</f>
        <v>2218001.165</v>
      </c>
      <c r="D52" s="487">
        <f>((B52-C52)/C52)</f>
        <v>-0.36058344180355734</v>
      </c>
      <c r="E52" s="1403"/>
    </row>
    <row r="53" spans="1:5" x14ac:dyDescent="0.25">
      <c r="A53" s="467"/>
      <c r="B53" s="480"/>
      <c r="C53" s="1404"/>
      <c r="D53" s="487"/>
      <c r="E53" s="1403"/>
    </row>
    <row r="54" spans="1:5" hidden="1" x14ac:dyDescent="0.25">
      <c r="A54" s="481"/>
      <c r="B54" s="482"/>
      <c r="C54" s="1404"/>
      <c r="D54" s="487" t="e">
        <f t="shared" ref="D54:D60" si="1">((B54-C54)/C54)</f>
        <v>#DIV/0!</v>
      </c>
      <c r="E54" s="1403"/>
    </row>
    <row r="55" spans="1:5" hidden="1" x14ac:dyDescent="0.25">
      <c r="A55" s="467"/>
      <c r="B55" s="480"/>
      <c r="C55" s="1404"/>
      <c r="D55" s="487" t="e">
        <f t="shared" si="1"/>
        <v>#DIV/0!</v>
      </c>
      <c r="E55" s="1403"/>
    </row>
    <row r="56" spans="1:5" hidden="1" x14ac:dyDescent="0.25">
      <c r="A56" s="467"/>
      <c r="B56" s="480"/>
      <c r="C56" s="1404"/>
      <c r="D56" s="487" t="e">
        <f t="shared" si="1"/>
        <v>#DIV/0!</v>
      </c>
      <c r="E56" s="1403"/>
    </row>
    <row r="57" spans="1:5" hidden="1" x14ac:dyDescent="0.25">
      <c r="A57" s="467" t="s">
        <v>853</v>
      </c>
      <c r="B57" s="480"/>
      <c r="C57" s="1404"/>
      <c r="D57" s="487" t="e">
        <f t="shared" si="1"/>
        <v>#DIV/0!</v>
      </c>
      <c r="E57" s="1403"/>
    </row>
    <row r="58" spans="1:5" hidden="1" x14ac:dyDescent="0.25">
      <c r="A58" s="467"/>
      <c r="B58" s="480"/>
      <c r="C58" s="1404"/>
      <c r="D58" s="487" t="e">
        <f t="shared" si="1"/>
        <v>#DIV/0!</v>
      </c>
      <c r="E58" s="1403"/>
    </row>
    <row r="59" spans="1:5" x14ac:dyDescent="0.25">
      <c r="A59" s="473" t="s">
        <v>854</v>
      </c>
      <c r="B59" s="478">
        <f>SUM(B60:B62)</f>
        <v>117014.961</v>
      </c>
      <c r="C59" s="478">
        <f>SUM(C60:C62)</f>
        <v>1172688.7660000001</v>
      </c>
      <c r="D59" s="472">
        <f t="shared" si="1"/>
        <v>-0.90021652428791166</v>
      </c>
      <c r="E59" s="1403"/>
    </row>
    <row r="60" spans="1:5" x14ac:dyDescent="0.25">
      <c r="A60" s="467" t="s">
        <v>855</v>
      </c>
      <c r="B60" s="486">
        <f>(0/1000)</f>
        <v>0</v>
      </c>
      <c r="C60" s="1404">
        <f>(1000000000/1000)</f>
        <v>1000000</v>
      </c>
      <c r="D60" s="487">
        <f t="shared" si="1"/>
        <v>-1</v>
      </c>
      <c r="E60" s="1403"/>
    </row>
    <row r="61" spans="1:5" hidden="1" x14ac:dyDescent="0.25">
      <c r="A61" s="467" t="s">
        <v>856</v>
      </c>
      <c r="B61" s="486"/>
      <c r="C61" s="1404"/>
      <c r="D61" s="487"/>
      <c r="E61" s="1403"/>
    </row>
    <row r="62" spans="1:5" x14ac:dyDescent="0.25">
      <c r="A62" s="467" t="s">
        <v>857</v>
      </c>
      <c r="B62" s="486">
        <f>(117014961/1000)</f>
        <v>117014.961</v>
      </c>
      <c r="C62" s="1404">
        <f>(172688766/1000)</f>
        <v>172688.766</v>
      </c>
      <c r="D62" s="487">
        <f>((B62-C62)/C62)</f>
        <v>-0.32239390140757623</v>
      </c>
      <c r="E62" s="1403"/>
    </row>
    <row r="63" spans="1:5" x14ac:dyDescent="0.25">
      <c r="A63" s="467"/>
      <c r="B63" s="486"/>
      <c r="C63" s="1404"/>
      <c r="D63" s="487"/>
      <c r="E63" s="1403"/>
    </row>
    <row r="64" spans="1:5" hidden="1" x14ac:dyDescent="0.25">
      <c r="A64" s="467"/>
      <c r="B64" s="486"/>
      <c r="C64" s="1406"/>
      <c r="D64" s="487" t="e">
        <f>((B64-C64)/C64)</f>
        <v>#DIV/0!</v>
      </c>
      <c r="E64" s="1403"/>
    </row>
    <row r="65" spans="1:5" x14ac:dyDescent="0.25">
      <c r="A65" s="488" t="s">
        <v>858</v>
      </c>
      <c r="B65" s="489">
        <f>SUM(B67+B75+B104)</f>
        <v>21768629.677000001</v>
      </c>
      <c r="C65" s="471">
        <f>SUM(C67+C75+C104)</f>
        <v>25745014.700999998</v>
      </c>
      <c r="D65" s="472">
        <f>((B65-C65)/C65)</f>
        <v>-0.15445262200007773</v>
      </c>
      <c r="E65" s="1403"/>
    </row>
    <row r="66" spans="1:5" x14ac:dyDescent="0.25">
      <c r="A66" s="467"/>
      <c r="B66" s="486"/>
      <c r="C66" s="1404"/>
      <c r="D66" s="487"/>
      <c r="E66" s="1403"/>
    </row>
    <row r="67" spans="1:5" x14ac:dyDescent="0.25">
      <c r="A67" s="467" t="s">
        <v>859</v>
      </c>
      <c r="B67" s="486">
        <f>(1143717011/1000)</f>
        <v>1143717.0109999999</v>
      </c>
      <c r="C67" s="1404">
        <f>(1369000000/1000)</f>
        <v>1369000</v>
      </c>
      <c r="D67" s="487">
        <f t="shared" ref="D67:D73" si="2">((B67-C67)/C67)</f>
        <v>-0.16456025493060633</v>
      </c>
      <c r="E67" s="1403"/>
    </row>
    <row r="68" spans="1:5" hidden="1" x14ac:dyDescent="0.25">
      <c r="A68" s="467" t="s">
        <v>860</v>
      </c>
      <c r="B68" s="486"/>
      <c r="C68" s="1404"/>
      <c r="D68" s="487" t="e">
        <f t="shared" si="2"/>
        <v>#DIV/0!</v>
      </c>
      <c r="E68" s="1403"/>
    </row>
    <row r="69" spans="1:5" hidden="1" x14ac:dyDescent="0.25">
      <c r="A69" s="467" t="s">
        <v>861</v>
      </c>
      <c r="B69" s="486"/>
      <c r="C69" s="1404"/>
      <c r="D69" s="487" t="e">
        <f t="shared" si="2"/>
        <v>#DIV/0!</v>
      </c>
      <c r="E69" s="1403"/>
    </row>
    <row r="70" spans="1:5" hidden="1" x14ac:dyDescent="0.25">
      <c r="A70" s="467"/>
      <c r="B70" s="486"/>
      <c r="C70" s="1404"/>
      <c r="D70" s="487" t="e">
        <f t="shared" si="2"/>
        <v>#DIV/0!</v>
      </c>
      <c r="E70" s="1403"/>
    </row>
    <row r="71" spans="1:5" hidden="1" x14ac:dyDescent="0.25">
      <c r="A71" s="467" t="s">
        <v>862</v>
      </c>
      <c r="B71" s="486"/>
      <c r="C71" s="1404"/>
      <c r="D71" s="487" t="e">
        <f t="shared" si="2"/>
        <v>#DIV/0!</v>
      </c>
      <c r="E71" s="1403"/>
    </row>
    <row r="72" spans="1:5" hidden="1" x14ac:dyDescent="0.25">
      <c r="A72" s="467" t="s">
        <v>863</v>
      </c>
      <c r="B72" s="486"/>
      <c r="C72" s="1404"/>
      <c r="D72" s="487" t="e">
        <f t="shared" si="2"/>
        <v>#DIV/0!</v>
      </c>
      <c r="E72" s="1403"/>
    </row>
    <row r="73" spans="1:5" hidden="1" x14ac:dyDescent="0.25">
      <c r="A73" s="490" t="s">
        <v>527</v>
      </c>
      <c r="B73" s="486"/>
      <c r="C73" s="1404"/>
      <c r="D73" s="487" t="e">
        <f t="shared" si="2"/>
        <v>#DIV/0!</v>
      </c>
      <c r="E73" s="1403"/>
    </row>
    <row r="74" spans="1:5" hidden="1" x14ac:dyDescent="0.25">
      <c r="A74" s="467"/>
      <c r="B74" s="486"/>
      <c r="C74" s="1404"/>
      <c r="D74" s="487"/>
      <c r="E74" s="1403"/>
    </row>
    <row r="75" spans="1:5" x14ac:dyDescent="0.25">
      <c r="A75" s="467" t="s">
        <v>864</v>
      </c>
      <c r="B75" s="486">
        <f>(16129202018/1000)</f>
        <v>16129202.017999999</v>
      </c>
      <c r="C75" s="1404">
        <f>(17380615998/1000)</f>
        <v>17380615.998</v>
      </c>
      <c r="D75" s="487">
        <f t="shared" ref="D75:D102" si="3">((B75-C75)/C75)</f>
        <v>-7.2000553958732047E-2</v>
      </c>
      <c r="E75" s="1403"/>
    </row>
    <row r="76" spans="1:5" hidden="1" x14ac:dyDescent="0.25">
      <c r="A76" s="467" t="s">
        <v>865</v>
      </c>
      <c r="B76" s="486"/>
      <c r="C76" s="1404"/>
      <c r="D76" s="487" t="e">
        <f t="shared" si="3"/>
        <v>#DIV/0!</v>
      </c>
      <c r="E76" s="1403"/>
    </row>
    <row r="77" spans="1:5" hidden="1" x14ac:dyDescent="0.25">
      <c r="A77" s="481" t="s">
        <v>866</v>
      </c>
      <c r="B77" s="491"/>
      <c r="C77" s="1404"/>
      <c r="D77" s="487" t="e">
        <f t="shared" si="3"/>
        <v>#DIV/0!</v>
      </c>
      <c r="E77" s="1403"/>
    </row>
    <row r="78" spans="1:5" hidden="1" x14ac:dyDescent="0.25">
      <c r="A78" s="467" t="s">
        <v>867</v>
      </c>
      <c r="B78" s="486"/>
      <c r="C78" s="1404"/>
      <c r="D78" s="487" t="e">
        <f t="shared" si="3"/>
        <v>#DIV/0!</v>
      </c>
      <c r="E78" s="1403"/>
    </row>
    <row r="79" spans="1:5" hidden="1" x14ac:dyDescent="0.25">
      <c r="A79" s="481" t="s">
        <v>868</v>
      </c>
      <c r="B79" s="491"/>
      <c r="C79" s="1404"/>
      <c r="D79" s="487" t="e">
        <f t="shared" si="3"/>
        <v>#DIV/0!</v>
      </c>
      <c r="E79" s="1403"/>
    </row>
    <row r="80" spans="1:5" hidden="1" x14ac:dyDescent="0.25">
      <c r="A80" s="481" t="s">
        <v>869</v>
      </c>
      <c r="B80" s="491"/>
      <c r="C80" s="1404"/>
      <c r="D80" s="487" t="e">
        <f t="shared" si="3"/>
        <v>#DIV/0!</v>
      </c>
      <c r="E80" s="1403"/>
    </row>
    <row r="81" spans="1:5" hidden="1" x14ac:dyDescent="0.25">
      <c r="A81" s="467" t="s">
        <v>437</v>
      </c>
      <c r="B81" s="486"/>
      <c r="C81" s="1404"/>
      <c r="D81" s="487" t="e">
        <f t="shared" si="3"/>
        <v>#DIV/0!</v>
      </c>
      <c r="E81" s="1403"/>
    </row>
    <row r="82" spans="1:5" hidden="1" x14ac:dyDescent="0.25">
      <c r="A82" s="467" t="s">
        <v>438</v>
      </c>
      <c r="B82" s="486"/>
      <c r="C82" s="1404"/>
      <c r="D82" s="487" t="e">
        <f t="shared" si="3"/>
        <v>#DIV/0!</v>
      </c>
      <c r="E82" s="1403"/>
    </row>
    <row r="83" spans="1:5" hidden="1" x14ac:dyDescent="0.25">
      <c r="A83" s="481" t="s">
        <v>870</v>
      </c>
      <c r="B83" s="491"/>
      <c r="C83" s="1404"/>
      <c r="D83" s="487" t="e">
        <f t="shared" si="3"/>
        <v>#DIV/0!</v>
      </c>
      <c r="E83" s="1403"/>
    </row>
    <row r="84" spans="1:5" hidden="1" x14ac:dyDescent="0.25">
      <c r="A84" s="481" t="s">
        <v>871</v>
      </c>
      <c r="B84" s="491"/>
      <c r="C84" s="1404"/>
      <c r="D84" s="487" t="e">
        <f t="shared" si="3"/>
        <v>#DIV/0!</v>
      </c>
      <c r="E84" s="1403"/>
    </row>
    <row r="85" spans="1:5" hidden="1" x14ac:dyDescent="0.25">
      <c r="A85" s="467" t="s">
        <v>872</v>
      </c>
      <c r="B85" s="486"/>
      <c r="C85" s="1404"/>
      <c r="D85" s="487" t="e">
        <f t="shared" si="3"/>
        <v>#DIV/0!</v>
      </c>
      <c r="E85" s="1403"/>
    </row>
    <row r="86" spans="1:5" hidden="1" x14ac:dyDescent="0.25">
      <c r="A86" s="467" t="s">
        <v>873</v>
      </c>
      <c r="B86" s="486"/>
      <c r="C86" s="1404"/>
      <c r="D86" s="487" t="e">
        <f t="shared" si="3"/>
        <v>#DIV/0!</v>
      </c>
      <c r="E86" s="1403"/>
    </row>
    <row r="87" spans="1:5" hidden="1" x14ac:dyDescent="0.25">
      <c r="A87" s="467" t="s">
        <v>874</v>
      </c>
      <c r="B87" s="486"/>
      <c r="C87" s="1404"/>
      <c r="D87" s="487" t="e">
        <f t="shared" si="3"/>
        <v>#DIV/0!</v>
      </c>
      <c r="E87" s="1403"/>
    </row>
    <row r="88" spans="1:5" hidden="1" x14ac:dyDescent="0.25">
      <c r="A88" s="481" t="s">
        <v>875</v>
      </c>
      <c r="B88" s="491"/>
      <c r="C88" s="1404"/>
      <c r="D88" s="487" t="e">
        <f t="shared" si="3"/>
        <v>#DIV/0!</v>
      </c>
      <c r="E88" s="1403"/>
    </row>
    <row r="89" spans="1:5" hidden="1" x14ac:dyDescent="0.25">
      <c r="A89" s="467" t="s">
        <v>876</v>
      </c>
      <c r="B89" s="486"/>
      <c r="C89" s="1404"/>
      <c r="D89" s="487" t="e">
        <f t="shared" si="3"/>
        <v>#DIV/0!</v>
      </c>
      <c r="E89" s="1403"/>
    </row>
    <row r="90" spans="1:5" hidden="1" x14ac:dyDescent="0.25">
      <c r="A90" s="467" t="s">
        <v>877</v>
      </c>
      <c r="B90" s="486"/>
      <c r="C90" s="1404"/>
      <c r="D90" s="487" t="e">
        <f t="shared" si="3"/>
        <v>#DIV/0!</v>
      </c>
      <c r="E90" s="1403"/>
    </row>
    <row r="91" spans="1:5" hidden="1" x14ac:dyDescent="0.25">
      <c r="A91" s="467" t="s">
        <v>878</v>
      </c>
      <c r="B91" s="486"/>
      <c r="C91" s="1404"/>
      <c r="D91" s="487" t="e">
        <f t="shared" si="3"/>
        <v>#DIV/0!</v>
      </c>
      <c r="E91" s="1403"/>
    </row>
    <row r="92" spans="1:5" hidden="1" x14ac:dyDescent="0.25">
      <c r="A92" s="467" t="s">
        <v>879</v>
      </c>
      <c r="B92" s="486"/>
      <c r="C92" s="1404"/>
      <c r="D92" s="487" t="e">
        <f t="shared" si="3"/>
        <v>#DIV/0!</v>
      </c>
      <c r="E92" s="1403"/>
    </row>
    <row r="93" spans="1:5" hidden="1" x14ac:dyDescent="0.25">
      <c r="A93" s="467" t="s">
        <v>880</v>
      </c>
      <c r="B93" s="486"/>
      <c r="C93" s="1404"/>
      <c r="D93" s="487" t="e">
        <f t="shared" si="3"/>
        <v>#DIV/0!</v>
      </c>
      <c r="E93" s="1403"/>
    </row>
    <row r="94" spans="1:5" hidden="1" x14ac:dyDescent="0.25">
      <c r="A94" s="467" t="s">
        <v>881</v>
      </c>
      <c r="B94" s="486"/>
      <c r="C94" s="1404"/>
      <c r="D94" s="487" t="e">
        <f t="shared" si="3"/>
        <v>#DIV/0!</v>
      </c>
      <c r="E94" s="1403"/>
    </row>
    <row r="95" spans="1:5" hidden="1" x14ac:dyDescent="0.25">
      <c r="A95" s="467" t="s">
        <v>882</v>
      </c>
      <c r="B95" s="486"/>
      <c r="C95" s="1404"/>
      <c r="D95" s="487" t="e">
        <f t="shared" si="3"/>
        <v>#DIV/0!</v>
      </c>
      <c r="E95" s="1403"/>
    </row>
    <row r="96" spans="1:5" hidden="1" x14ac:dyDescent="0.25">
      <c r="A96" s="467" t="s">
        <v>883</v>
      </c>
      <c r="B96" s="486"/>
      <c r="C96" s="1404"/>
      <c r="D96" s="487" t="e">
        <f t="shared" si="3"/>
        <v>#DIV/0!</v>
      </c>
      <c r="E96" s="1403"/>
    </row>
    <row r="97" spans="1:5" hidden="1" x14ac:dyDescent="0.25">
      <c r="A97" s="467"/>
      <c r="B97" s="486"/>
      <c r="C97" s="1404"/>
      <c r="D97" s="487" t="e">
        <f t="shared" si="3"/>
        <v>#DIV/0!</v>
      </c>
      <c r="E97" s="1403"/>
    </row>
    <row r="98" spans="1:5" hidden="1" x14ac:dyDescent="0.25">
      <c r="A98" s="467"/>
      <c r="B98" s="486"/>
      <c r="C98" s="1404"/>
      <c r="D98" s="487" t="e">
        <f t="shared" si="3"/>
        <v>#DIV/0!</v>
      </c>
      <c r="E98" s="1403"/>
    </row>
    <row r="99" spans="1:5" hidden="1" x14ac:dyDescent="0.25">
      <c r="A99" s="467" t="s">
        <v>884</v>
      </c>
      <c r="B99" s="486">
        <v>0</v>
      </c>
      <c r="C99" s="1404">
        <v>0</v>
      </c>
      <c r="D99" s="487" t="e">
        <f t="shared" si="3"/>
        <v>#DIV/0!</v>
      </c>
      <c r="E99" s="1403"/>
    </row>
    <row r="100" spans="1:5" hidden="1" x14ac:dyDescent="0.25">
      <c r="A100" s="467" t="s">
        <v>885</v>
      </c>
      <c r="B100" s="486"/>
      <c r="C100" s="1404"/>
      <c r="D100" s="487" t="e">
        <f t="shared" si="3"/>
        <v>#DIV/0!</v>
      </c>
      <c r="E100" s="1403"/>
    </row>
    <row r="101" spans="1:5" hidden="1" x14ac:dyDescent="0.25">
      <c r="A101" s="467" t="s">
        <v>886</v>
      </c>
      <c r="B101" s="486"/>
      <c r="C101" s="1404"/>
      <c r="D101" s="487" t="e">
        <f t="shared" si="3"/>
        <v>#DIV/0!</v>
      </c>
      <c r="E101" s="1403"/>
    </row>
    <row r="102" spans="1:5" hidden="1" x14ac:dyDescent="0.25">
      <c r="A102" s="467" t="s">
        <v>887</v>
      </c>
      <c r="B102" s="486"/>
      <c r="C102" s="1404"/>
      <c r="D102" s="487" t="e">
        <f t="shared" si="3"/>
        <v>#DIV/0!</v>
      </c>
      <c r="E102" s="1403"/>
    </row>
    <row r="103" spans="1:5" x14ac:dyDescent="0.25">
      <c r="A103" s="467"/>
      <c r="B103" s="486"/>
      <c r="C103" s="1404"/>
      <c r="D103" s="487"/>
      <c r="E103" s="1403"/>
    </row>
    <row r="104" spans="1:5" x14ac:dyDescent="0.25">
      <c r="A104" s="473" t="s">
        <v>888</v>
      </c>
      <c r="B104" s="492">
        <f>SUM(B108:B108)</f>
        <v>4495710.648</v>
      </c>
      <c r="C104" s="492">
        <f>SUM(C108:C108)</f>
        <v>6995398.7029999997</v>
      </c>
      <c r="D104" s="472">
        <f t="shared" ref="D104:D109" si="4">((B104-C104)/C104)</f>
        <v>-0.35733317872618187</v>
      </c>
      <c r="E104" s="1403"/>
    </row>
    <row r="105" spans="1:5" hidden="1" x14ac:dyDescent="0.25">
      <c r="A105" s="490" t="s">
        <v>889</v>
      </c>
      <c r="B105" s="486"/>
      <c r="C105" s="1404"/>
      <c r="D105" s="487" t="e">
        <f t="shared" si="4"/>
        <v>#DIV/0!</v>
      </c>
      <c r="E105" s="1403"/>
    </row>
    <row r="106" spans="1:5" hidden="1" x14ac:dyDescent="0.25">
      <c r="A106" s="493" t="s">
        <v>890</v>
      </c>
      <c r="B106" s="486"/>
      <c r="C106" s="1404"/>
      <c r="D106" s="487" t="e">
        <f t="shared" si="4"/>
        <v>#DIV/0!</v>
      </c>
      <c r="E106" s="1403"/>
    </row>
    <row r="107" spans="1:5" hidden="1" x14ac:dyDescent="0.25">
      <c r="A107" s="493" t="s">
        <v>891</v>
      </c>
      <c r="B107" s="486"/>
      <c r="C107" s="1404"/>
      <c r="D107" s="487" t="e">
        <f t="shared" si="4"/>
        <v>#DIV/0!</v>
      </c>
      <c r="E107" s="1403"/>
    </row>
    <row r="108" spans="1:5" x14ac:dyDescent="0.25">
      <c r="A108" s="494" t="s">
        <v>892</v>
      </c>
      <c r="B108" s="486">
        <f>(4495710648/1000)</f>
        <v>4495710.648</v>
      </c>
      <c r="C108" s="1404">
        <f>(6995398703/1000)</f>
        <v>6995398.7029999997</v>
      </c>
      <c r="D108" s="487">
        <f t="shared" si="4"/>
        <v>-0.35733317872618187</v>
      </c>
      <c r="E108" s="1403"/>
    </row>
    <row r="109" spans="1:5" hidden="1" x14ac:dyDescent="0.25">
      <c r="A109" s="493" t="s">
        <v>1045</v>
      </c>
      <c r="B109" s="486"/>
      <c r="C109" s="1404"/>
      <c r="D109" s="487" t="e">
        <f t="shared" si="4"/>
        <v>#DIV/0!</v>
      </c>
      <c r="E109" s="1403"/>
    </row>
    <row r="110" spans="1:5" x14ac:dyDescent="0.25">
      <c r="A110" s="493"/>
      <c r="B110" s="486"/>
      <c r="C110" s="1404"/>
      <c r="D110" s="487"/>
      <c r="E110" s="1403"/>
    </row>
    <row r="111" spans="1:5" x14ac:dyDescent="0.25">
      <c r="A111" s="488" t="s">
        <v>893</v>
      </c>
      <c r="B111" s="492">
        <f>SUM(B113:B114)</f>
        <v>23724541.16</v>
      </c>
      <c r="C111" s="492">
        <f>SUM(C113:C114)</f>
        <v>23914803.723999999</v>
      </c>
      <c r="D111" s="472">
        <f>((B111-C111)/C111)</f>
        <v>-7.9558488623119646E-3</v>
      </c>
      <c r="E111" s="1403"/>
    </row>
    <row r="112" spans="1:5" x14ac:dyDescent="0.25">
      <c r="A112" s="493"/>
      <c r="B112" s="486"/>
      <c r="C112" s="1404"/>
      <c r="D112" s="487"/>
      <c r="E112" s="1403"/>
    </row>
    <row r="113" spans="1:5" x14ac:dyDescent="0.25">
      <c r="A113" s="494" t="s">
        <v>894</v>
      </c>
      <c r="B113" s="486">
        <f>(11550533130/1000)</f>
        <v>11550533.130000001</v>
      </c>
      <c r="C113" s="1404">
        <f>(13968891990/1000)</f>
        <v>13968891.99</v>
      </c>
      <c r="D113" s="487">
        <f>((B113-C113)/C113)</f>
        <v>-0.17312460155975473</v>
      </c>
      <c r="E113" s="1403"/>
    </row>
    <row r="114" spans="1:5" x14ac:dyDescent="0.25">
      <c r="A114" s="494" t="s">
        <v>1046</v>
      </c>
      <c r="B114" s="486">
        <f>(12174008030/1000)</f>
        <v>12174008.029999999</v>
      </c>
      <c r="C114" s="1404">
        <f>(9945911734/1000)</f>
        <v>9945911.7339999992</v>
      </c>
      <c r="D114" s="487">
        <f>((B114-C114)/C114)</f>
        <v>0.22402132208586523</v>
      </c>
      <c r="E114" s="1403"/>
    </row>
    <row r="115" spans="1:5" x14ac:dyDescent="0.25">
      <c r="A115" s="493"/>
      <c r="B115" s="486"/>
      <c r="C115" s="1404"/>
      <c r="D115" s="487"/>
      <c r="E115" s="1403"/>
    </row>
    <row r="116" spans="1:5" x14ac:dyDescent="0.25">
      <c r="A116" s="495" t="s">
        <v>895</v>
      </c>
      <c r="B116" s="492">
        <f>SUM(B7+B65+B111)</f>
        <v>65065338.341000006</v>
      </c>
      <c r="C116" s="492">
        <f>SUM(C7+C65+C111)</f>
        <v>66585031.04299999</v>
      </c>
      <c r="D116" s="472">
        <f>((B116-C116)/C116)</f>
        <v>-2.2823338492079119E-2</v>
      </c>
      <c r="E116" s="1403"/>
    </row>
    <row r="117" spans="1:5" ht="13.8" thickBot="1" x14ac:dyDescent="0.3">
      <c r="A117" s="496"/>
      <c r="B117" s="497"/>
      <c r="C117" s="1407"/>
      <c r="D117" s="1408"/>
      <c r="E117" s="1409"/>
    </row>
    <row r="118" spans="1:5" s="180" customFormat="1" x14ac:dyDescent="0.25">
      <c r="A118" s="499"/>
      <c r="B118" s="1410"/>
      <c r="C118" s="1411"/>
      <c r="D118" s="1410"/>
      <c r="E118" s="1412"/>
    </row>
    <row r="121" spans="1:5" x14ac:dyDescent="0.25">
      <c r="C121" s="1413"/>
    </row>
  </sheetData>
  <mergeCells count="3">
    <mergeCell ref="A2:E2"/>
    <mergeCell ref="A3:E3"/>
    <mergeCell ref="A1:E1"/>
  </mergeCells>
  <pageMargins left="0.74803149606299213" right="0.74803149606299213" top="0.98425196850393704" bottom="0.98425196850393704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K155"/>
  <sheetViews>
    <sheetView workbookViewId="0">
      <selection activeCell="M10" sqref="M10"/>
    </sheetView>
  </sheetViews>
  <sheetFormatPr baseColWidth="10" defaultColWidth="10.33203125" defaultRowHeight="13.2" x14ac:dyDescent="0.25"/>
  <cols>
    <col min="1" max="1" width="47.109375" style="500" customWidth="1"/>
    <col min="2" max="2" width="20" style="500" bestFit="1" customWidth="1"/>
    <col min="3" max="3" width="22.33203125" style="500" hidden="1" customWidth="1"/>
    <col min="4" max="4" width="6.5546875" style="846" bestFit="1" customWidth="1"/>
    <col min="5" max="5" width="22.33203125" style="500" customWidth="1"/>
    <col min="6" max="6" width="5.44140625" style="500" bestFit="1" customWidth="1"/>
    <col min="7" max="7" width="11.6640625" style="500" bestFit="1" customWidth="1"/>
    <col min="8" max="8" width="21.109375" style="500" customWidth="1"/>
    <col min="9" max="9" width="6.5546875" style="500" bestFit="1" customWidth="1"/>
    <col min="10" max="10" width="11.6640625" style="500" bestFit="1" customWidth="1"/>
    <col min="11" max="11" width="15.88671875" style="500" bestFit="1" customWidth="1"/>
    <col min="12" max="12" width="13.33203125" style="500" bestFit="1" customWidth="1"/>
    <col min="13" max="13" width="14.33203125" style="500" bestFit="1" customWidth="1"/>
    <col min="14" max="16384" width="10.33203125" style="500"/>
  </cols>
  <sheetData>
    <row r="1" spans="1:11" ht="13.8" thickBot="1" x14ac:dyDescent="0.3">
      <c r="A1" s="1934" t="s">
        <v>0</v>
      </c>
      <c r="B1" s="1934"/>
      <c r="C1" s="1934"/>
      <c r="D1" s="1934"/>
      <c r="E1" s="1934"/>
      <c r="F1" s="1934"/>
      <c r="G1" s="1934"/>
      <c r="H1" s="1934"/>
    </row>
    <row r="2" spans="1:11" ht="15.6" x14ac:dyDescent="0.3">
      <c r="A2" s="1935" t="s">
        <v>920</v>
      </c>
      <c r="B2" s="1936"/>
      <c r="C2" s="1936"/>
      <c r="D2" s="1936"/>
      <c r="E2" s="1936"/>
      <c r="F2" s="1936"/>
      <c r="G2" s="1936"/>
      <c r="H2" s="1936"/>
      <c r="I2" s="1936"/>
      <c r="J2" s="1937"/>
    </row>
    <row r="3" spans="1:11" ht="15.6" x14ac:dyDescent="0.3">
      <c r="A3" s="1938" t="s">
        <v>975</v>
      </c>
      <c r="B3" s="1939"/>
      <c r="C3" s="1939"/>
      <c r="D3" s="1939"/>
      <c r="E3" s="1939"/>
      <c r="F3" s="1939"/>
      <c r="G3" s="1939"/>
      <c r="H3" s="1939"/>
      <c r="I3" s="1939"/>
      <c r="J3" s="1940"/>
    </row>
    <row r="4" spans="1:11" ht="15.6" x14ac:dyDescent="0.3">
      <c r="A4" s="1938" t="s">
        <v>974</v>
      </c>
      <c r="B4" s="1939"/>
      <c r="C4" s="1939"/>
      <c r="D4" s="1939"/>
      <c r="E4" s="1939"/>
      <c r="F4" s="1939"/>
      <c r="G4" s="1939"/>
      <c r="H4" s="1939"/>
      <c r="I4" s="1939"/>
      <c r="J4" s="1940"/>
    </row>
    <row r="5" spans="1:11" ht="15.6" x14ac:dyDescent="0.3">
      <c r="A5" s="1938" t="s">
        <v>917</v>
      </c>
      <c r="B5" s="1939"/>
      <c r="C5" s="1939"/>
      <c r="D5" s="1939"/>
      <c r="E5" s="1939"/>
      <c r="F5" s="1939"/>
      <c r="G5" s="1939"/>
      <c r="H5" s="1939"/>
      <c r="I5" s="1939"/>
      <c r="J5" s="1940"/>
    </row>
    <row r="6" spans="1:11" ht="13.8" thickBot="1" x14ac:dyDescent="0.3">
      <c r="A6" s="1414"/>
      <c r="B6" s="1415"/>
      <c r="C6" s="1415"/>
      <c r="D6" s="1416"/>
      <c r="E6" s="1415"/>
      <c r="F6" s="1415"/>
      <c r="G6" s="1415"/>
      <c r="H6" s="1415"/>
      <c r="I6" s="1415"/>
      <c r="J6" s="1417"/>
    </row>
    <row r="7" spans="1:11" ht="75" customHeight="1" thickBot="1" x14ac:dyDescent="0.35">
      <c r="A7" s="1395" t="s">
        <v>0</v>
      </c>
      <c r="B7" s="1418" t="s">
        <v>973</v>
      </c>
      <c r="C7" s="1419">
        <v>2008</v>
      </c>
      <c r="D7" s="1420" t="s">
        <v>486</v>
      </c>
      <c r="E7" s="1421" t="s">
        <v>972</v>
      </c>
      <c r="F7" s="1420" t="s">
        <v>486</v>
      </c>
      <c r="G7" s="1422" t="s">
        <v>971</v>
      </c>
      <c r="H7" s="1421" t="s">
        <v>970</v>
      </c>
      <c r="I7" s="1420" t="s">
        <v>486</v>
      </c>
      <c r="J7" s="1423" t="s">
        <v>969</v>
      </c>
    </row>
    <row r="8" spans="1:11" ht="13.8" x14ac:dyDescent="0.25">
      <c r="A8" s="464"/>
      <c r="B8" s="552"/>
      <c r="C8" s="551"/>
      <c r="D8" s="868"/>
      <c r="E8" s="551"/>
      <c r="F8" s="868"/>
      <c r="G8" s="868"/>
      <c r="H8" s="552"/>
      <c r="I8" s="868"/>
      <c r="J8" s="867"/>
    </row>
    <row r="9" spans="1:11" x14ac:dyDescent="0.25">
      <c r="A9" s="465" t="s">
        <v>823</v>
      </c>
      <c r="B9" s="549"/>
      <c r="C9" s="466"/>
      <c r="D9" s="866"/>
      <c r="E9" s="466"/>
      <c r="F9" s="866"/>
      <c r="G9" s="866"/>
      <c r="H9" s="549"/>
      <c r="I9" s="866"/>
      <c r="J9" s="856"/>
    </row>
    <row r="10" spans="1:11" x14ac:dyDescent="0.25">
      <c r="A10" s="467"/>
      <c r="B10" s="547"/>
      <c r="C10" s="546"/>
      <c r="D10" s="865"/>
      <c r="E10" s="546"/>
      <c r="F10" s="865"/>
      <c r="G10" s="865"/>
      <c r="H10" s="547"/>
      <c r="I10" s="865"/>
      <c r="J10" s="858"/>
    </row>
    <row r="11" spans="1:11" x14ac:dyDescent="0.25">
      <c r="A11" s="469" t="s">
        <v>824</v>
      </c>
      <c r="B11" s="543">
        <f>SUM(B12)</f>
        <v>19572167.504000001</v>
      </c>
      <c r="C11" s="543"/>
      <c r="D11" s="61">
        <f>B11/$B$138</f>
        <v>0.30080789561754839</v>
      </c>
      <c r="E11" s="543">
        <f>SUM(E12)</f>
        <v>16876347.805820003</v>
      </c>
      <c r="F11" s="61">
        <f>E11/$E$138</f>
        <v>0.35314585773419277</v>
      </c>
      <c r="G11" s="61">
        <f>D11-F11</f>
        <v>-5.2337962116644376E-2</v>
      </c>
      <c r="H11" s="543">
        <f>SUM(H12)</f>
        <v>15282211.03703</v>
      </c>
      <c r="I11" s="61">
        <f>H11/$H$138</f>
        <v>0.1524391637138531</v>
      </c>
      <c r="J11" s="856">
        <f>F11-I11</f>
        <v>0.20070669402033967</v>
      </c>
    </row>
    <row r="12" spans="1:11" x14ac:dyDescent="0.25">
      <c r="A12" s="473" t="s">
        <v>825</v>
      </c>
      <c r="B12" s="542">
        <f>SUM(B14+B30+B70+B80)</f>
        <v>19572167.504000001</v>
      </c>
      <c r="C12" s="543"/>
      <c r="D12" s="61">
        <f>B12/$B$138</f>
        <v>0.30080789561754839</v>
      </c>
      <c r="E12" s="542">
        <f>SUM(E14+E30+E70+E80)</f>
        <v>16876347.805820003</v>
      </c>
      <c r="F12" s="61">
        <f>E12/$E$138</f>
        <v>0.35314585773419277</v>
      </c>
      <c r="G12" s="61">
        <f>D12-F12</f>
        <v>-5.2337962116644376E-2</v>
      </c>
      <c r="H12" s="542">
        <f>SUM(H14+H15+H30+H70+H80)</f>
        <v>15282211.03703</v>
      </c>
      <c r="I12" s="61">
        <f>H12/$H$138</f>
        <v>0.1524391637138531</v>
      </c>
      <c r="J12" s="856">
        <f>F12-I12</f>
        <v>0.20070669402033967</v>
      </c>
    </row>
    <row r="13" spans="1:11" s="536" customFormat="1" x14ac:dyDescent="0.25">
      <c r="A13" s="467"/>
      <c r="B13" s="539"/>
      <c r="C13" s="540"/>
      <c r="D13" s="857"/>
      <c r="E13" s="539"/>
      <c r="F13" s="857"/>
      <c r="G13" s="857"/>
      <c r="H13" s="539"/>
      <c r="I13" s="857"/>
      <c r="J13" s="858"/>
    </row>
    <row r="14" spans="1:11" x14ac:dyDescent="0.25">
      <c r="A14" s="467" t="s">
        <v>826</v>
      </c>
      <c r="B14" s="512">
        <f>(3040322530/1000)</f>
        <v>3040322.53</v>
      </c>
      <c r="C14" s="537"/>
      <c r="D14" s="857">
        <f>B14/$B$138</f>
        <v>4.6727222320216283E-2</v>
      </c>
      <c r="E14" s="512">
        <f>((1032844180.18/6)*12/1000)</f>
        <v>2065688.3603599998</v>
      </c>
      <c r="F14" s="857">
        <f>E14/$E$138</f>
        <v>4.322554241145099E-2</v>
      </c>
      <c r="G14" s="857">
        <f>D14-F14</f>
        <v>3.5016799087652928E-3</v>
      </c>
      <c r="H14" s="512">
        <v>2075278</v>
      </c>
      <c r="I14" s="857">
        <f>H14/$H$138</f>
        <v>2.0700777003223415E-2</v>
      </c>
      <c r="J14" s="858">
        <f>F14-I14</f>
        <v>2.2524765408227575E-2</v>
      </c>
    </row>
    <row r="15" spans="1:11" hidden="1" x14ac:dyDescent="0.25">
      <c r="A15" s="467" t="s">
        <v>913</v>
      </c>
      <c r="B15" s="523"/>
      <c r="C15" s="524"/>
      <c r="D15" s="857"/>
      <c r="E15" s="523"/>
      <c r="F15" s="857"/>
      <c r="G15" s="864"/>
      <c r="H15" s="523">
        <v>0</v>
      </c>
      <c r="I15" s="857"/>
      <c r="J15" s="858"/>
    </row>
    <row r="16" spans="1:11" x14ac:dyDescent="0.25">
      <c r="A16" s="467"/>
      <c r="B16" s="523"/>
      <c r="C16" s="524"/>
      <c r="D16" s="857"/>
      <c r="E16" s="523"/>
      <c r="F16" s="857"/>
      <c r="G16" s="864"/>
      <c r="H16" s="523"/>
      <c r="I16" s="857"/>
      <c r="J16" s="858"/>
      <c r="K16" s="863"/>
    </row>
    <row r="17" spans="1:10" ht="13.5" hidden="1" customHeight="1" x14ac:dyDescent="0.25">
      <c r="A17" s="467" t="s">
        <v>912</v>
      </c>
      <c r="B17" s="523"/>
      <c r="C17" s="524"/>
      <c r="D17" s="857"/>
      <c r="E17" s="523"/>
      <c r="F17" s="857"/>
      <c r="G17" s="857"/>
      <c r="H17" s="523"/>
      <c r="I17" s="857"/>
      <c r="J17" s="858"/>
    </row>
    <row r="18" spans="1:10" hidden="1" x14ac:dyDescent="0.25">
      <c r="A18" s="467"/>
      <c r="B18" s="523"/>
      <c r="C18" s="524"/>
      <c r="D18" s="857"/>
      <c r="E18" s="523"/>
      <c r="F18" s="857"/>
      <c r="G18" s="857"/>
      <c r="H18" s="523"/>
      <c r="I18" s="857"/>
      <c r="J18" s="858"/>
    </row>
    <row r="19" spans="1:10" s="536" customFormat="1" hidden="1" x14ac:dyDescent="0.25">
      <c r="A19" s="467" t="s">
        <v>911</v>
      </c>
      <c r="B19" s="523"/>
      <c r="C19" s="524"/>
      <c r="D19" s="857"/>
      <c r="E19" s="523"/>
      <c r="F19" s="857"/>
      <c r="G19" s="857"/>
      <c r="H19" s="523"/>
      <c r="I19" s="857"/>
      <c r="J19" s="858"/>
    </row>
    <row r="20" spans="1:10" hidden="1" x14ac:dyDescent="0.25">
      <c r="A20" s="481" t="s">
        <v>910</v>
      </c>
      <c r="B20" s="526"/>
      <c r="C20" s="527"/>
      <c r="D20" s="860"/>
      <c r="E20" s="526"/>
      <c r="F20" s="860"/>
      <c r="G20" s="860"/>
      <c r="H20" s="526"/>
      <c r="I20" s="860"/>
      <c r="J20" s="859"/>
    </row>
    <row r="21" spans="1:10" hidden="1" x14ac:dyDescent="0.25">
      <c r="A21" s="483" t="s">
        <v>909</v>
      </c>
      <c r="B21" s="533"/>
      <c r="C21" s="532"/>
      <c r="D21" s="857"/>
      <c r="E21" s="533"/>
      <c r="F21" s="857"/>
      <c r="G21" s="857"/>
      <c r="H21" s="533"/>
      <c r="I21" s="857"/>
      <c r="J21" s="858"/>
    </row>
    <row r="22" spans="1:10" hidden="1" x14ac:dyDescent="0.25">
      <c r="A22" s="467"/>
      <c r="B22" s="523"/>
      <c r="C22" s="524"/>
      <c r="D22" s="857"/>
      <c r="E22" s="523"/>
      <c r="F22" s="857"/>
      <c r="G22" s="857"/>
      <c r="H22" s="523"/>
      <c r="I22" s="857"/>
      <c r="J22" s="858"/>
    </row>
    <row r="23" spans="1:10" hidden="1" x14ac:dyDescent="0.25">
      <c r="A23" s="467" t="s">
        <v>908</v>
      </c>
      <c r="B23" s="523"/>
      <c r="C23" s="524"/>
      <c r="D23" s="857"/>
      <c r="E23" s="523"/>
      <c r="F23" s="857"/>
      <c r="G23" s="857"/>
      <c r="H23" s="523"/>
      <c r="I23" s="857"/>
      <c r="J23" s="858"/>
    </row>
    <row r="24" spans="1:10" hidden="1" x14ac:dyDescent="0.25">
      <c r="A24" s="483" t="s">
        <v>907</v>
      </c>
      <c r="B24" s="533"/>
      <c r="C24" s="532"/>
      <c r="D24" s="857"/>
      <c r="E24" s="533"/>
      <c r="F24" s="857"/>
      <c r="G24" s="857"/>
      <c r="H24" s="533"/>
      <c r="I24" s="857"/>
      <c r="J24" s="858"/>
    </row>
    <row r="25" spans="1:10" hidden="1" x14ac:dyDescent="0.25">
      <c r="A25" s="467" t="s">
        <v>906</v>
      </c>
      <c r="B25" s="523"/>
      <c r="C25" s="524"/>
      <c r="D25" s="857"/>
      <c r="E25" s="523"/>
      <c r="F25" s="857"/>
      <c r="G25" s="857"/>
      <c r="H25" s="523"/>
      <c r="I25" s="857"/>
      <c r="J25" s="858"/>
    </row>
    <row r="26" spans="1:10" hidden="1" x14ac:dyDescent="0.25">
      <c r="A26" s="467"/>
      <c r="B26" s="523"/>
      <c r="C26" s="524"/>
      <c r="D26" s="857"/>
      <c r="E26" s="523"/>
      <c r="F26" s="857"/>
      <c r="G26" s="857"/>
      <c r="H26" s="523"/>
      <c r="I26" s="857"/>
      <c r="J26" s="858"/>
    </row>
    <row r="27" spans="1:10" hidden="1" x14ac:dyDescent="0.25">
      <c r="A27" s="467" t="s">
        <v>905</v>
      </c>
      <c r="B27" s="523"/>
      <c r="C27" s="524"/>
      <c r="D27" s="857"/>
      <c r="E27" s="523"/>
      <c r="F27" s="857"/>
      <c r="G27" s="857"/>
      <c r="H27" s="523"/>
      <c r="I27" s="857"/>
      <c r="J27" s="858"/>
    </row>
    <row r="28" spans="1:10" hidden="1" x14ac:dyDescent="0.25">
      <c r="A28" s="467" t="s">
        <v>904</v>
      </c>
      <c r="B28" s="523"/>
      <c r="C28" s="524"/>
      <c r="D28" s="857"/>
      <c r="E28" s="523"/>
      <c r="F28" s="857"/>
      <c r="G28" s="857"/>
      <c r="H28" s="523"/>
      <c r="I28" s="857"/>
      <c r="J28" s="858"/>
    </row>
    <row r="29" spans="1:10" hidden="1" x14ac:dyDescent="0.25">
      <c r="A29" s="481" t="s">
        <v>903</v>
      </c>
      <c r="B29" s="526"/>
      <c r="C29" s="527"/>
      <c r="D29" s="860"/>
      <c r="E29" s="526"/>
      <c r="F29" s="860"/>
      <c r="G29" s="860"/>
      <c r="H29" s="526"/>
      <c r="I29" s="860"/>
      <c r="J29" s="859"/>
    </row>
    <row r="30" spans="1:10" x14ac:dyDescent="0.25">
      <c r="A30" s="467" t="s">
        <v>827</v>
      </c>
      <c r="B30" s="520">
        <f>SUM(B32+B33+B67)</f>
        <v>14996603.342</v>
      </c>
      <c r="C30" s="521"/>
      <c r="D30" s="61">
        <f>SUM(D32+D33+D67)</f>
        <v>0.23048528947017097</v>
      </c>
      <c r="E30" s="520">
        <f>SUM(E32+E33+E67)</f>
        <v>12185336.259800002</v>
      </c>
      <c r="F30" s="61">
        <f>SUM(F32+F33+F67)</f>
        <v>0.25498413962306599</v>
      </c>
      <c r="G30" s="61">
        <f>D30-F30</f>
        <v>-2.4498850152895019E-2</v>
      </c>
      <c r="H30" s="520">
        <f>SUM(H32+H33+H67)</f>
        <v>10641113.060000001</v>
      </c>
      <c r="I30" s="61">
        <f>SUM(I32+I33+I67)</f>
        <v>0.10614448209885535</v>
      </c>
      <c r="J30" s="856">
        <f>G30-I30</f>
        <v>-0.13064333225175037</v>
      </c>
    </row>
    <row r="31" spans="1:10" x14ac:dyDescent="0.25">
      <c r="A31" s="479"/>
      <c r="B31" s="523">
        <f>'[1]Compar.Ing.2009-11'!B18</f>
        <v>0</v>
      </c>
      <c r="C31" s="524"/>
      <c r="D31" s="857"/>
      <c r="E31" s="523"/>
      <c r="F31" s="857"/>
      <c r="G31" s="857"/>
      <c r="H31" s="523"/>
      <c r="I31" s="857"/>
      <c r="J31" s="858"/>
    </row>
    <row r="32" spans="1:10" x14ac:dyDescent="0.25">
      <c r="A32" s="467" t="s">
        <v>828</v>
      </c>
      <c r="B32" s="523">
        <f>(7226261433/1000)</f>
        <v>7226261.4330000002</v>
      </c>
      <c r="C32" s="524"/>
      <c r="D32" s="857">
        <f t="shared" ref="D32:D68" si="0">B32/$B$138</f>
        <v>0.11106161309925093</v>
      </c>
      <c r="E32" s="512">
        <f>(2602878340.01/6)*12/1000</f>
        <v>5205756.6800200008</v>
      </c>
      <c r="F32" s="857">
        <f t="shared" ref="F32:F67" si="1">E32/$E$138</f>
        <v>0.10893301258505565</v>
      </c>
      <c r="G32" s="857">
        <f t="shared" ref="G32:G68" si="2">D32-F32</f>
        <v>2.128600514195278E-3</v>
      </c>
      <c r="H32" s="523">
        <v>4156901.47</v>
      </c>
      <c r="I32" s="857">
        <f t="shared" ref="I32:I68" si="3">H32/$H$138</f>
        <v>4.1464849699578372E-2</v>
      </c>
      <c r="J32" s="858">
        <f t="shared" ref="J32:J68" si="4">F32-I32</f>
        <v>6.7468162885477273E-2</v>
      </c>
    </row>
    <row r="33" spans="1:11" x14ac:dyDescent="0.25">
      <c r="A33" s="467" t="s">
        <v>829</v>
      </c>
      <c r="B33" s="523">
        <f>(7511661908/1000)</f>
        <v>7511661.9079999998</v>
      </c>
      <c r="C33" s="524"/>
      <c r="D33" s="857">
        <f t="shared" si="0"/>
        <v>0.11544798043825175</v>
      </c>
      <c r="E33" s="512">
        <f>(3488796872.61/6)*12/1000</f>
        <v>6977593.7452200009</v>
      </c>
      <c r="F33" s="857">
        <f t="shared" si="1"/>
        <v>0.14600957247554944</v>
      </c>
      <c r="G33" s="857">
        <f t="shared" si="2"/>
        <v>-3.0561592037297691E-2</v>
      </c>
      <c r="H33" s="523">
        <v>6484740.6900000004</v>
      </c>
      <c r="I33" s="857">
        <f t="shared" si="3"/>
        <v>6.4684910140915652E-2</v>
      </c>
      <c r="J33" s="858">
        <f t="shared" si="4"/>
        <v>8.1324662334633785E-2</v>
      </c>
      <c r="K33" s="863"/>
    </row>
    <row r="34" spans="1:11" hidden="1" x14ac:dyDescent="0.25">
      <c r="A34" s="481" t="s">
        <v>830</v>
      </c>
      <c r="B34" s="526"/>
      <c r="C34" s="527"/>
      <c r="D34" s="857">
        <f t="shared" si="0"/>
        <v>0</v>
      </c>
      <c r="E34" s="512">
        <f t="shared" ref="E34:E66" si="5">(3734803.6/8)*12</f>
        <v>5602205.4000000004</v>
      </c>
      <c r="F34" s="857">
        <f t="shared" si="1"/>
        <v>0.11722889655686368</v>
      </c>
      <c r="G34" s="857">
        <f t="shared" si="2"/>
        <v>-0.11722889655686368</v>
      </c>
      <c r="H34" s="526"/>
      <c r="I34" s="857">
        <f t="shared" si="3"/>
        <v>0</v>
      </c>
      <c r="J34" s="858">
        <f t="shared" si="4"/>
        <v>0.11722889655686368</v>
      </c>
    </row>
    <row r="35" spans="1:11" hidden="1" x14ac:dyDescent="0.25">
      <c r="A35" s="483" t="s">
        <v>831</v>
      </c>
      <c r="B35" s="533"/>
      <c r="C35" s="532"/>
      <c r="D35" s="857">
        <f t="shared" si="0"/>
        <v>0</v>
      </c>
      <c r="E35" s="512">
        <f t="shared" si="5"/>
        <v>5602205.4000000004</v>
      </c>
      <c r="F35" s="857">
        <f t="shared" si="1"/>
        <v>0.11722889655686368</v>
      </c>
      <c r="G35" s="857">
        <f t="shared" si="2"/>
        <v>-0.11722889655686368</v>
      </c>
      <c r="H35" s="533"/>
      <c r="I35" s="857">
        <f t="shared" si="3"/>
        <v>0</v>
      </c>
      <c r="J35" s="858">
        <f t="shared" si="4"/>
        <v>0.11722889655686368</v>
      </c>
    </row>
    <row r="36" spans="1:11" hidden="1" x14ac:dyDescent="0.25">
      <c r="A36" s="483" t="s">
        <v>408</v>
      </c>
      <c r="B36" s="533"/>
      <c r="C36" s="532"/>
      <c r="D36" s="857">
        <f t="shared" si="0"/>
        <v>0</v>
      </c>
      <c r="E36" s="512">
        <f t="shared" si="5"/>
        <v>5602205.4000000004</v>
      </c>
      <c r="F36" s="857">
        <f t="shared" si="1"/>
        <v>0.11722889655686368</v>
      </c>
      <c r="G36" s="857">
        <f t="shared" si="2"/>
        <v>-0.11722889655686368</v>
      </c>
      <c r="H36" s="533"/>
      <c r="I36" s="857">
        <f t="shared" si="3"/>
        <v>0</v>
      </c>
      <c r="J36" s="858">
        <f t="shared" si="4"/>
        <v>0.11722889655686368</v>
      </c>
    </row>
    <row r="37" spans="1:11" hidden="1" x14ac:dyDescent="0.25">
      <c r="A37" s="483" t="s">
        <v>409</v>
      </c>
      <c r="B37" s="533"/>
      <c r="C37" s="532"/>
      <c r="D37" s="857">
        <f t="shared" si="0"/>
        <v>0</v>
      </c>
      <c r="E37" s="512">
        <f t="shared" si="5"/>
        <v>5602205.4000000004</v>
      </c>
      <c r="F37" s="857">
        <f t="shared" si="1"/>
        <v>0.11722889655686368</v>
      </c>
      <c r="G37" s="857">
        <f t="shared" si="2"/>
        <v>-0.11722889655686368</v>
      </c>
      <c r="H37" s="533"/>
      <c r="I37" s="857">
        <f t="shared" si="3"/>
        <v>0</v>
      </c>
      <c r="J37" s="858">
        <f t="shared" si="4"/>
        <v>0.11722889655686368</v>
      </c>
    </row>
    <row r="38" spans="1:11" hidden="1" x14ac:dyDescent="0.25">
      <c r="A38" s="483" t="s">
        <v>832</v>
      </c>
      <c r="B38" s="533"/>
      <c r="C38" s="532"/>
      <c r="D38" s="857">
        <f t="shared" si="0"/>
        <v>0</v>
      </c>
      <c r="E38" s="512">
        <f t="shared" si="5"/>
        <v>5602205.4000000004</v>
      </c>
      <c r="F38" s="857">
        <f t="shared" si="1"/>
        <v>0.11722889655686368</v>
      </c>
      <c r="G38" s="857">
        <f t="shared" si="2"/>
        <v>-0.11722889655686368</v>
      </c>
      <c r="H38" s="533"/>
      <c r="I38" s="857">
        <f t="shared" si="3"/>
        <v>0</v>
      </c>
      <c r="J38" s="858">
        <f t="shared" si="4"/>
        <v>0.11722889655686368</v>
      </c>
    </row>
    <row r="39" spans="1:11" hidden="1" x14ac:dyDescent="0.25">
      <c r="A39" s="483" t="s">
        <v>410</v>
      </c>
      <c r="B39" s="533"/>
      <c r="C39" s="532"/>
      <c r="D39" s="857">
        <f t="shared" si="0"/>
        <v>0</v>
      </c>
      <c r="E39" s="512">
        <f t="shared" si="5"/>
        <v>5602205.4000000004</v>
      </c>
      <c r="F39" s="857">
        <f t="shared" si="1"/>
        <v>0.11722889655686368</v>
      </c>
      <c r="G39" s="857">
        <f t="shared" si="2"/>
        <v>-0.11722889655686368</v>
      </c>
      <c r="H39" s="533"/>
      <c r="I39" s="857">
        <f t="shared" si="3"/>
        <v>0</v>
      </c>
      <c r="J39" s="858">
        <f t="shared" si="4"/>
        <v>0.11722889655686368</v>
      </c>
    </row>
    <row r="40" spans="1:11" hidden="1" x14ac:dyDescent="0.25">
      <c r="A40" s="467"/>
      <c r="B40" s="523"/>
      <c r="C40" s="524"/>
      <c r="D40" s="857">
        <f t="shared" si="0"/>
        <v>0</v>
      </c>
      <c r="E40" s="512">
        <f t="shared" si="5"/>
        <v>5602205.4000000004</v>
      </c>
      <c r="F40" s="857">
        <f t="shared" si="1"/>
        <v>0.11722889655686368</v>
      </c>
      <c r="G40" s="857">
        <f t="shared" si="2"/>
        <v>-0.11722889655686368</v>
      </c>
      <c r="H40" s="523"/>
      <c r="I40" s="857">
        <f t="shared" si="3"/>
        <v>0</v>
      </c>
      <c r="J40" s="858">
        <f t="shared" si="4"/>
        <v>0.11722889655686368</v>
      </c>
    </row>
    <row r="41" spans="1:11" hidden="1" x14ac:dyDescent="0.25">
      <c r="A41" s="467" t="s">
        <v>833</v>
      </c>
      <c r="B41" s="523"/>
      <c r="C41" s="524"/>
      <c r="D41" s="857">
        <f t="shared" si="0"/>
        <v>0</v>
      </c>
      <c r="E41" s="512">
        <f t="shared" si="5"/>
        <v>5602205.4000000004</v>
      </c>
      <c r="F41" s="857">
        <f t="shared" si="1"/>
        <v>0.11722889655686368</v>
      </c>
      <c r="G41" s="857">
        <f t="shared" si="2"/>
        <v>-0.11722889655686368</v>
      </c>
      <c r="H41" s="523"/>
      <c r="I41" s="857">
        <f t="shared" si="3"/>
        <v>0</v>
      </c>
      <c r="J41" s="858">
        <f t="shared" si="4"/>
        <v>0.11722889655686368</v>
      </c>
    </row>
    <row r="42" spans="1:11" hidden="1" x14ac:dyDescent="0.25">
      <c r="A42" s="481" t="s">
        <v>834</v>
      </c>
      <c r="B42" s="526"/>
      <c r="C42" s="527"/>
      <c r="D42" s="857">
        <f t="shared" si="0"/>
        <v>0</v>
      </c>
      <c r="E42" s="512">
        <f t="shared" si="5"/>
        <v>5602205.4000000004</v>
      </c>
      <c r="F42" s="857">
        <f t="shared" si="1"/>
        <v>0.11722889655686368</v>
      </c>
      <c r="G42" s="857">
        <f t="shared" si="2"/>
        <v>-0.11722889655686368</v>
      </c>
      <c r="H42" s="526"/>
      <c r="I42" s="857">
        <f t="shared" si="3"/>
        <v>0</v>
      </c>
      <c r="J42" s="858">
        <f t="shared" si="4"/>
        <v>0.11722889655686368</v>
      </c>
    </row>
    <row r="43" spans="1:11" hidden="1" x14ac:dyDescent="0.25">
      <c r="A43" s="481" t="s">
        <v>835</v>
      </c>
      <c r="B43" s="526"/>
      <c r="C43" s="527"/>
      <c r="D43" s="857">
        <f t="shared" si="0"/>
        <v>0</v>
      </c>
      <c r="E43" s="512">
        <f t="shared" si="5"/>
        <v>5602205.4000000004</v>
      </c>
      <c r="F43" s="857">
        <f t="shared" si="1"/>
        <v>0.11722889655686368</v>
      </c>
      <c r="G43" s="857">
        <f t="shared" si="2"/>
        <v>-0.11722889655686368</v>
      </c>
      <c r="H43" s="526"/>
      <c r="I43" s="857">
        <f t="shared" si="3"/>
        <v>0</v>
      </c>
      <c r="J43" s="858">
        <f t="shared" si="4"/>
        <v>0.11722889655686368</v>
      </c>
    </row>
    <row r="44" spans="1:11" hidden="1" x14ac:dyDescent="0.25">
      <c r="A44" s="481" t="s">
        <v>836</v>
      </c>
      <c r="B44" s="526"/>
      <c r="C44" s="527"/>
      <c r="D44" s="857">
        <f t="shared" si="0"/>
        <v>0</v>
      </c>
      <c r="E44" s="512">
        <f t="shared" si="5"/>
        <v>5602205.4000000004</v>
      </c>
      <c r="F44" s="857">
        <f t="shared" si="1"/>
        <v>0.11722889655686368</v>
      </c>
      <c r="G44" s="857">
        <f t="shared" si="2"/>
        <v>-0.11722889655686368</v>
      </c>
      <c r="H44" s="526"/>
      <c r="I44" s="857">
        <f t="shared" si="3"/>
        <v>0</v>
      </c>
      <c r="J44" s="858">
        <f t="shared" si="4"/>
        <v>0.11722889655686368</v>
      </c>
    </row>
    <row r="45" spans="1:11" hidden="1" x14ac:dyDescent="0.25">
      <c r="A45" s="481" t="s">
        <v>837</v>
      </c>
      <c r="B45" s="526"/>
      <c r="C45" s="527"/>
      <c r="D45" s="857">
        <f t="shared" si="0"/>
        <v>0</v>
      </c>
      <c r="E45" s="512">
        <f t="shared" si="5"/>
        <v>5602205.4000000004</v>
      </c>
      <c r="F45" s="857">
        <f t="shared" si="1"/>
        <v>0.11722889655686368</v>
      </c>
      <c r="G45" s="857">
        <f t="shared" si="2"/>
        <v>-0.11722889655686368</v>
      </c>
      <c r="H45" s="526"/>
      <c r="I45" s="857">
        <f t="shared" si="3"/>
        <v>0</v>
      </c>
      <c r="J45" s="858">
        <f t="shared" si="4"/>
        <v>0.11722889655686368</v>
      </c>
    </row>
    <row r="46" spans="1:11" hidden="1" x14ac:dyDescent="0.25">
      <c r="A46" s="481" t="s">
        <v>413</v>
      </c>
      <c r="B46" s="526"/>
      <c r="C46" s="527"/>
      <c r="D46" s="857">
        <f t="shared" si="0"/>
        <v>0</v>
      </c>
      <c r="E46" s="512">
        <f t="shared" si="5"/>
        <v>5602205.4000000004</v>
      </c>
      <c r="F46" s="857">
        <f t="shared" si="1"/>
        <v>0.11722889655686368</v>
      </c>
      <c r="G46" s="857">
        <f t="shared" si="2"/>
        <v>-0.11722889655686368</v>
      </c>
      <c r="H46" s="526"/>
      <c r="I46" s="857">
        <f t="shared" si="3"/>
        <v>0</v>
      </c>
      <c r="J46" s="858">
        <f t="shared" si="4"/>
        <v>0.11722889655686368</v>
      </c>
    </row>
    <row r="47" spans="1:11" hidden="1" x14ac:dyDescent="0.25">
      <c r="A47" s="481" t="s">
        <v>838</v>
      </c>
      <c r="B47" s="526"/>
      <c r="C47" s="527"/>
      <c r="D47" s="857">
        <f t="shared" si="0"/>
        <v>0</v>
      </c>
      <c r="E47" s="512">
        <f t="shared" si="5"/>
        <v>5602205.4000000004</v>
      </c>
      <c r="F47" s="857">
        <f t="shared" si="1"/>
        <v>0.11722889655686368</v>
      </c>
      <c r="G47" s="857">
        <f t="shared" si="2"/>
        <v>-0.11722889655686368</v>
      </c>
      <c r="H47" s="526"/>
      <c r="I47" s="857">
        <f t="shared" si="3"/>
        <v>0</v>
      </c>
      <c r="J47" s="858">
        <f t="shared" si="4"/>
        <v>0.11722889655686368</v>
      </c>
    </row>
    <row r="48" spans="1:11" hidden="1" x14ac:dyDescent="0.25">
      <c r="A48" s="483" t="s">
        <v>839</v>
      </c>
      <c r="B48" s="533"/>
      <c r="C48" s="532"/>
      <c r="D48" s="857">
        <f t="shared" si="0"/>
        <v>0</v>
      </c>
      <c r="E48" s="512">
        <f t="shared" si="5"/>
        <v>5602205.4000000004</v>
      </c>
      <c r="F48" s="857">
        <f t="shared" si="1"/>
        <v>0.11722889655686368</v>
      </c>
      <c r="G48" s="857">
        <f t="shared" si="2"/>
        <v>-0.11722889655686368</v>
      </c>
      <c r="H48" s="533"/>
      <c r="I48" s="857">
        <f t="shared" si="3"/>
        <v>0</v>
      </c>
      <c r="J48" s="858">
        <f t="shared" si="4"/>
        <v>0.11722889655686368</v>
      </c>
    </row>
    <row r="49" spans="1:10" hidden="1" x14ac:dyDescent="0.25">
      <c r="A49" s="481" t="s">
        <v>840</v>
      </c>
      <c r="B49" s="526"/>
      <c r="C49" s="527"/>
      <c r="D49" s="857">
        <f t="shared" si="0"/>
        <v>0</v>
      </c>
      <c r="E49" s="512">
        <f t="shared" si="5"/>
        <v>5602205.4000000004</v>
      </c>
      <c r="F49" s="857">
        <f t="shared" si="1"/>
        <v>0.11722889655686368</v>
      </c>
      <c r="G49" s="857">
        <f t="shared" si="2"/>
        <v>-0.11722889655686368</v>
      </c>
      <c r="H49" s="526"/>
      <c r="I49" s="857">
        <f t="shared" si="3"/>
        <v>0</v>
      </c>
      <c r="J49" s="858">
        <f t="shared" si="4"/>
        <v>0.11722889655686368</v>
      </c>
    </row>
    <row r="50" spans="1:10" hidden="1" x14ac:dyDescent="0.25">
      <c r="A50" s="481" t="s">
        <v>841</v>
      </c>
      <c r="B50" s="526"/>
      <c r="C50" s="527"/>
      <c r="D50" s="857">
        <f t="shared" si="0"/>
        <v>0</v>
      </c>
      <c r="E50" s="512">
        <f t="shared" si="5"/>
        <v>5602205.4000000004</v>
      </c>
      <c r="F50" s="857">
        <f t="shared" si="1"/>
        <v>0.11722889655686368</v>
      </c>
      <c r="G50" s="857">
        <f t="shared" si="2"/>
        <v>-0.11722889655686368</v>
      </c>
      <c r="H50" s="526"/>
      <c r="I50" s="857">
        <f t="shared" si="3"/>
        <v>0</v>
      </c>
      <c r="J50" s="858">
        <f t="shared" si="4"/>
        <v>0.11722889655686368</v>
      </c>
    </row>
    <row r="51" spans="1:10" hidden="1" x14ac:dyDescent="0.25">
      <c r="A51" s="481" t="s">
        <v>842</v>
      </c>
      <c r="B51" s="526"/>
      <c r="C51" s="527"/>
      <c r="D51" s="857">
        <f t="shared" si="0"/>
        <v>0</v>
      </c>
      <c r="E51" s="512">
        <f t="shared" si="5"/>
        <v>5602205.4000000004</v>
      </c>
      <c r="F51" s="857">
        <f t="shared" si="1"/>
        <v>0.11722889655686368</v>
      </c>
      <c r="G51" s="857">
        <f t="shared" si="2"/>
        <v>-0.11722889655686368</v>
      </c>
      <c r="H51" s="526"/>
      <c r="I51" s="857">
        <f t="shared" si="3"/>
        <v>0</v>
      </c>
      <c r="J51" s="858">
        <f t="shared" si="4"/>
        <v>0.11722889655686368</v>
      </c>
    </row>
    <row r="52" spans="1:10" hidden="1" x14ac:dyDescent="0.25">
      <c r="A52" s="481" t="s">
        <v>843</v>
      </c>
      <c r="B52" s="526"/>
      <c r="C52" s="527"/>
      <c r="D52" s="857">
        <f t="shared" si="0"/>
        <v>0</v>
      </c>
      <c r="E52" s="512">
        <f t="shared" si="5"/>
        <v>5602205.4000000004</v>
      </c>
      <c r="F52" s="857">
        <f t="shared" si="1"/>
        <v>0.11722889655686368</v>
      </c>
      <c r="G52" s="857">
        <f t="shared" si="2"/>
        <v>-0.11722889655686368</v>
      </c>
      <c r="H52" s="526"/>
      <c r="I52" s="857">
        <f t="shared" si="3"/>
        <v>0</v>
      </c>
      <c r="J52" s="858">
        <f t="shared" si="4"/>
        <v>0.11722889655686368</v>
      </c>
    </row>
    <row r="53" spans="1:10" hidden="1" x14ac:dyDescent="0.25">
      <c r="A53" s="467" t="s">
        <v>844</v>
      </c>
      <c r="B53" s="523"/>
      <c r="C53" s="524"/>
      <c r="D53" s="857">
        <f t="shared" si="0"/>
        <v>0</v>
      </c>
      <c r="E53" s="512">
        <f t="shared" si="5"/>
        <v>5602205.4000000004</v>
      </c>
      <c r="F53" s="857">
        <f t="shared" si="1"/>
        <v>0.11722889655686368</v>
      </c>
      <c r="G53" s="857">
        <f t="shared" si="2"/>
        <v>-0.11722889655686368</v>
      </c>
      <c r="H53" s="523"/>
      <c r="I53" s="857">
        <f t="shared" si="3"/>
        <v>0</v>
      </c>
      <c r="J53" s="858">
        <f t="shared" si="4"/>
        <v>0.11722889655686368</v>
      </c>
    </row>
    <row r="54" spans="1:10" hidden="1" x14ac:dyDescent="0.25">
      <c r="A54" s="467" t="s">
        <v>845</v>
      </c>
      <c r="B54" s="523"/>
      <c r="C54" s="524"/>
      <c r="D54" s="857">
        <f t="shared" si="0"/>
        <v>0</v>
      </c>
      <c r="E54" s="512">
        <f t="shared" si="5"/>
        <v>5602205.4000000004</v>
      </c>
      <c r="F54" s="857">
        <f t="shared" si="1"/>
        <v>0.11722889655686368</v>
      </c>
      <c r="G54" s="857">
        <f t="shared" si="2"/>
        <v>-0.11722889655686368</v>
      </c>
      <c r="H54" s="523"/>
      <c r="I54" s="857">
        <f t="shared" si="3"/>
        <v>0</v>
      </c>
      <c r="J54" s="858">
        <f t="shared" si="4"/>
        <v>0.11722889655686368</v>
      </c>
    </row>
    <row r="55" spans="1:10" hidden="1" x14ac:dyDescent="0.25">
      <c r="A55" s="467" t="s">
        <v>846</v>
      </c>
      <c r="B55" s="523"/>
      <c r="C55" s="524"/>
      <c r="D55" s="857">
        <f t="shared" si="0"/>
        <v>0</v>
      </c>
      <c r="E55" s="512">
        <f t="shared" si="5"/>
        <v>5602205.4000000004</v>
      </c>
      <c r="F55" s="857">
        <f t="shared" si="1"/>
        <v>0.11722889655686368</v>
      </c>
      <c r="G55" s="857">
        <f t="shared" si="2"/>
        <v>-0.11722889655686368</v>
      </c>
      <c r="H55" s="523"/>
      <c r="I55" s="857">
        <f t="shared" si="3"/>
        <v>0</v>
      </c>
      <c r="J55" s="858">
        <f t="shared" si="4"/>
        <v>0.11722889655686368</v>
      </c>
    </row>
    <row r="56" spans="1:10" hidden="1" x14ac:dyDescent="0.25">
      <c r="A56" s="467" t="s">
        <v>847</v>
      </c>
      <c r="B56" s="523"/>
      <c r="C56" s="524"/>
      <c r="D56" s="857">
        <f t="shared" si="0"/>
        <v>0</v>
      </c>
      <c r="E56" s="512">
        <f t="shared" si="5"/>
        <v>5602205.4000000004</v>
      </c>
      <c r="F56" s="857">
        <f t="shared" si="1"/>
        <v>0.11722889655686368</v>
      </c>
      <c r="G56" s="857">
        <f t="shared" si="2"/>
        <v>-0.11722889655686368</v>
      </c>
      <c r="H56" s="523"/>
      <c r="I56" s="857">
        <f t="shared" si="3"/>
        <v>0</v>
      </c>
      <c r="J56" s="858">
        <f t="shared" si="4"/>
        <v>0.11722889655686368</v>
      </c>
    </row>
    <row r="57" spans="1:10" hidden="1" x14ac:dyDescent="0.25">
      <c r="A57" s="467" t="s">
        <v>848</v>
      </c>
      <c r="B57" s="523"/>
      <c r="C57" s="524"/>
      <c r="D57" s="857">
        <f t="shared" si="0"/>
        <v>0</v>
      </c>
      <c r="E57" s="512">
        <f t="shared" si="5"/>
        <v>5602205.4000000004</v>
      </c>
      <c r="F57" s="857">
        <f t="shared" si="1"/>
        <v>0.11722889655686368</v>
      </c>
      <c r="G57" s="857">
        <f t="shared" si="2"/>
        <v>-0.11722889655686368</v>
      </c>
      <c r="H57" s="523"/>
      <c r="I57" s="857">
        <f t="shared" si="3"/>
        <v>0</v>
      </c>
      <c r="J57" s="858">
        <f t="shared" si="4"/>
        <v>0.11722889655686368</v>
      </c>
    </row>
    <row r="58" spans="1:10" hidden="1" x14ac:dyDescent="0.25">
      <c r="A58" s="467" t="s">
        <v>849</v>
      </c>
      <c r="B58" s="523"/>
      <c r="C58" s="524"/>
      <c r="D58" s="857">
        <f t="shared" si="0"/>
        <v>0</v>
      </c>
      <c r="E58" s="512">
        <f t="shared" si="5"/>
        <v>5602205.4000000004</v>
      </c>
      <c r="F58" s="857">
        <f t="shared" si="1"/>
        <v>0.11722889655686368</v>
      </c>
      <c r="G58" s="857">
        <f t="shared" si="2"/>
        <v>-0.11722889655686368</v>
      </c>
      <c r="H58" s="523"/>
      <c r="I58" s="857">
        <f t="shared" si="3"/>
        <v>0</v>
      </c>
      <c r="J58" s="858">
        <f t="shared" si="4"/>
        <v>0.11722889655686368</v>
      </c>
    </row>
    <row r="59" spans="1:10" hidden="1" x14ac:dyDescent="0.25">
      <c r="A59" s="467"/>
      <c r="B59" s="523"/>
      <c r="C59" s="524"/>
      <c r="D59" s="857">
        <f t="shared" si="0"/>
        <v>0</v>
      </c>
      <c r="E59" s="512">
        <f t="shared" si="5"/>
        <v>5602205.4000000004</v>
      </c>
      <c r="F59" s="857">
        <f t="shared" si="1"/>
        <v>0.11722889655686368</v>
      </c>
      <c r="G59" s="857">
        <f t="shared" si="2"/>
        <v>-0.11722889655686368</v>
      </c>
      <c r="H59" s="523"/>
      <c r="I59" s="857">
        <f t="shared" si="3"/>
        <v>0</v>
      </c>
      <c r="J59" s="858">
        <f t="shared" si="4"/>
        <v>0.11722889655686368</v>
      </c>
    </row>
    <row r="60" spans="1:10" hidden="1" x14ac:dyDescent="0.25">
      <c r="A60" s="483" t="s">
        <v>850</v>
      </c>
      <c r="B60" s="498" t="e">
        <f>'[1]PRESINGRESOS  2011 MILES ¢'!#REF!</f>
        <v>#REF!</v>
      </c>
      <c r="C60" s="498"/>
      <c r="D60" s="857" t="e">
        <f t="shared" si="0"/>
        <v>#REF!</v>
      </c>
      <c r="E60" s="512">
        <f t="shared" si="5"/>
        <v>5602205.4000000004</v>
      </c>
      <c r="F60" s="857">
        <f t="shared" si="1"/>
        <v>0.11722889655686368</v>
      </c>
      <c r="G60" s="857" t="e">
        <f t="shared" si="2"/>
        <v>#REF!</v>
      </c>
      <c r="H60" s="498" t="e">
        <f>'[1]PRESINGRESOS  2011 MILES ¢'!#REF!</f>
        <v>#REF!</v>
      </c>
      <c r="I60" s="857" t="e">
        <f t="shared" si="3"/>
        <v>#REF!</v>
      </c>
      <c r="J60" s="858" t="e">
        <f t="shared" si="4"/>
        <v>#REF!</v>
      </c>
    </row>
    <row r="61" spans="1:10" hidden="1" x14ac:dyDescent="0.25">
      <c r="A61" s="483" t="s">
        <v>831</v>
      </c>
      <c r="B61" s="533"/>
      <c r="C61" s="532"/>
      <c r="D61" s="857">
        <f t="shared" si="0"/>
        <v>0</v>
      </c>
      <c r="E61" s="512">
        <f t="shared" si="5"/>
        <v>5602205.4000000004</v>
      </c>
      <c r="F61" s="857">
        <f t="shared" si="1"/>
        <v>0.11722889655686368</v>
      </c>
      <c r="G61" s="857">
        <f t="shared" si="2"/>
        <v>-0.11722889655686368</v>
      </c>
      <c r="H61" s="533"/>
      <c r="I61" s="857">
        <f t="shared" si="3"/>
        <v>0</v>
      </c>
      <c r="J61" s="858">
        <f t="shared" si="4"/>
        <v>0.11722889655686368</v>
      </c>
    </row>
    <row r="62" spans="1:10" hidden="1" x14ac:dyDescent="0.25">
      <c r="A62" s="483" t="s">
        <v>408</v>
      </c>
      <c r="B62" s="533"/>
      <c r="C62" s="532"/>
      <c r="D62" s="857">
        <f t="shared" si="0"/>
        <v>0</v>
      </c>
      <c r="E62" s="512">
        <f t="shared" si="5"/>
        <v>5602205.4000000004</v>
      </c>
      <c r="F62" s="857">
        <f t="shared" si="1"/>
        <v>0.11722889655686368</v>
      </c>
      <c r="G62" s="857">
        <f t="shared" si="2"/>
        <v>-0.11722889655686368</v>
      </c>
      <c r="H62" s="533"/>
      <c r="I62" s="857">
        <f t="shared" si="3"/>
        <v>0</v>
      </c>
      <c r="J62" s="858">
        <f t="shared" si="4"/>
        <v>0.11722889655686368</v>
      </c>
    </row>
    <row r="63" spans="1:10" hidden="1" x14ac:dyDescent="0.25">
      <c r="A63" s="483" t="s">
        <v>409</v>
      </c>
      <c r="B63" s="533"/>
      <c r="C63" s="532"/>
      <c r="D63" s="857">
        <f t="shared" si="0"/>
        <v>0</v>
      </c>
      <c r="E63" s="512">
        <f t="shared" si="5"/>
        <v>5602205.4000000004</v>
      </c>
      <c r="F63" s="857">
        <f t="shared" si="1"/>
        <v>0.11722889655686368</v>
      </c>
      <c r="G63" s="857">
        <f t="shared" si="2"/>
        <v>-0.11722889655686368</v>
      </c>
      <c r="H63" s="533"/>
      <c r="I63" s="857">
        <f t="shared" si="3"/>
        <v>0</v>
      </c>
      <c r="J63" s="858">
        <f t="shared" si="4"/>
        <v>0.11722889655686368</v>
      </c>
    </row>
    <row r="64" spans="1:10" hidden="1" x14ac:dyDescent="0.25">
      <c r="A64" s="483" t="s">
        <v>832</v>
      </c>
      <c r="B64" s="533"/>
      <c r="C64" s="532"/>
      <c r="D64" s="857">
        <f t="shared" si="0"/>
        <v>0</v>
      </c>
      <c r="E64" s="512">
        <f t="shared" si="5"/>
        <v>5602205.4000000004</v>
      </c>
      <c r="F64" s="857">
        <f t="shared" si="1"/>
        <v>0.11722889655686368</v>
      </c>
      <c r="G64" s="857">
        <f t="shared" si="2"/>
        <v>-0.11722889655686368</v>
      </c>
      <c r="H64" s="533"/>
      <c r="I64" s="857">
        <f t="shared" si="3"/>
        <v>0</v>
      </c>
      <c r="J64" s="858">
        <f t="shared" si="4"/>
        <v>0.11722889655686368</v>
      </c>
    </row>
    <row r="65" spans="1:10" hidden="1" x14ac:dyDescent="0.25">
      <c r="A65" s="483" t="s">
        <v>410</v>
      </c>
      <c r="B65" s="533"/>
      <c r="C65" s="532"/>
      <c r="D65" s="857">
        <f t="shared" si="0"/>
        <v>0</v>
      </c>
      <c r="E65" s="512">
        <f t="shared" si="5"/>
        <v>5602205.4000000004</v>
      </c>
      <c r="F65" s="857">
        <f t="shared" si="1"/>
        <v>0.11722889655686368</v>
      </c>
      <c r="G65" s="857">
        <f t="shared" si="2"/>
        <v>-0.11722889655686368</v>
      </c>
      <c r="H65" s="533"/>
      <c r="I65" s="857">
        <f t="shared" si="3"/>
        <v>0</v>
      </c>
      <c r="J65" s="858">
        <f t="shared" si="4"/>
        <v>0.11722889655686368</v>
      </c>
    </row>
    <row r="66" spans="1:10" hidden="1" x14ac:dyDescent="0.25">
      <c r="A66" s="481"/>
      <c r="B66" s="526"/>
      <c r="C66" s="527"/>
      <c r="D66" s="857">
        <f t="shared" si="0"/>
        <v>0</v>
      </c>
      <c r="E66" s="512">
        <f t="shared" si="5"/>
        <v>5602205.4000000004</v>
      </c>
      <c r="F66" s="857">
        <f t="shared" si="1"/>
        <v>0.11722889655686368</v>
      </c>
      <c r="G66" s="857">
        <f t="shared" si="2"/>
        <v>-0.11722889655686368</v>
      </c>
      <c r="H66" s="526"/>
      <c r="I66" s="857">
        <f t="shared" si="3"/>
        <v>0</v>
      </c>
      <c r="J66" s="858">
        <f t="shared" si="4"/>
        <v>0.11722889655686368</v>
      </c>
    </row>
    <row r="67" spans="1:10" x14ac:dyDescent="0.25">
      <c r="A67" s="467" t="s">
        <v>851</v>
      </c>
      <c r="B67" s="523">
        <f>(258680001/1000)</f>
        <v>258680.00099999999</v>
      </c>
      <c r="C67" s="524"/>
      <c r="D67" s="857">
        <f t="shared" si="0"/>
        <v>3.975695932668292E-3</v>
      </c>
      <c r="E67" s="512">
        <f>(992917.28/6)*12/1000</f>
        <v>1985.83456</v>
      </c>
      <c r="F67" s="857">
        <f t="shared" si="1"/>
        <v>4.155456246093456E-5</v>
      </c>
      <c r="G67" s="857">
        <f t="shared" si="2"/>
        <v>3.9341413702073573E-3</v>
      </c>
      <c r="H67" s="523">
        <v>-529.1</v>
      </c>
      <c r="I67" s="857">
        <f t="shared" si="3"/>
        <v>-5.2777416386650411E-6</v>
      </c>
      <c r="J67" s="858">
        <f t="shared" si="4"/>
        <v>4.6832304099599602E-5</v>
      </c>
    </row>
    <row r="68" spans="1:10" hidden="1" x14ac:dyDescent="0.25">
      <c r="A68" s="473"/>
      <c r="B68" s="520"/>
      <c r="C68" s="521"/>
      <c r="D68" s="857">
        <f t="shared" si="0"/>
        <v>0</v>
      </c>
      <c r="E68" s="520"/>
      <c r="F68" s="857">
        <f>D68/$B$138</f>
        <v>0</v>
      </c>
      <c r="G68" s="857">
        <f t="shared" si="2"/>
        <v>0</v>
      </c>
      <c r="H68" s="520"/>
      <c r="I68" s="857">
        <f t="shared" si="3"/>
        <v>0</v>
      </c>
      <c r="J68" s="858">
        <f t="shared" si="4"/>
        <v>0</v>
      </c>
    </row>
    <row r="69" spans="1:10" x14ac:dyDescent="0.25">
      <c r="A69" s="473"/>
      <c r="B69" s="520"/>
      <c r="C69" s="521"/>
      <c r="D69" s="857"/>
      <c r="E69" s="520"/>
      <c r="F69" s="857"/>
      <c r="G69" s="857"/>
      <c r="H69" s="520"/>
      <c r="I69" s="857"/>
      <c r="J69" s="858"/>
    </row>
    <row r="70" spans="1:10" x14ac:dyDescent="0.25">
      <c r="A70" s="485" t="s">
        <v>852</v>
      </c>
      <c r="B70" s="533">
        <f>1418226671/1000</f>
        <v>1418226.6710000001</v>
      </c>
      <c r="C70" s="532"/>
      <c r="D70" s="857">
        <f>B70/$B$138</f>
        <v>2.1796961441547205E-2</v>
      </c>
      <c r="E70" s="512">
        <f>(1012661592.83/6)*12/1000</f>
        <v>2025323.1856600004</v>
      </c>
      <c r="F70" s="857">
        <f>E70/$E$138</f>
        <v>4.2380881326834929E-2</v>
      </c>
      <c r="G70" s="857">
        <f>D70-F70</f>
        <v>-2.0583919885287724E-2</v>
      </c>
      <c r="H70" s="533">
        <f>1560219088.09/1000</f>
        <v>1560219.08809</v>
      </c>
      <c r="I70" s="857">
        <f>H70/$H$138</f>
        <v>1.5563094399267797E-2</v>
      </c>
      <c r="J70" s="858">
        <f>F70-I70</f>
        <v>2.681778692756713E-2</v>
      </c>
    </row>
    <row r="71" spans="1:10" hidden="1" x14ac:dyDescent="0.25">
      <c r="A71" s="467"/>
      <c r="B71" s="523"/>
      <c r="C71" s="524"/>
      <c r="D71" s="857"/>
      <c r="E71" s="523"/>
      <c r="F71" s="857"/>
      <c r="G71" s="857"/>
      <c r="H71" s="523"/>
      <c r="I71" s="857"/>
      <c r="J71" s="858"/>
    </row>
    <row r="72" spans="1:10" hidden="1" x14ac:dyDescent="0.25">
      <c r="A72" s="481" t="s">
        <v>901</v>
      </c>
      <c r="B72" s="526"/>
      <c r="C72" s="527"/>
      <c r="D72" s="860"/>
      <c r="E72" s="526"/>
      <c r="F72" s="860"/>
      <c r="G72" s="857">
        <f t="shared" ref="G72:G77" si="6">D72-F72</f>
        <v>0</v>
      </c>
      <c r="H72" s="526"/>
      <c r="I72" s="860"/>
      <c r="J72" s="858">
        <f t="shared" ref="J72:J77" si="7">G72-I72</f>
        <v>0</v>
      </c>
    </row>
    <row r="73" spans="1:10" hidden="1" x14ac:dyDescent="0.25">
      <c r="A73" s="531"/>
      <c r="B73" s="526"/>
      <c r="C73" s="527"/>
      <c r="D73" s="860"/>
      <c r="E73" s="526"/>
      <c r="F73" s="860"/>
      <c r="G73" s="857">
        <f t="shared" si="6"/>
        <v>0</v>
      </c>
      <c r="H73" s="526"/>
      <c r="I73" s="860"/>
      <c r="J73" s="858">
        <f t="shared" si="7"/>
        <v>0</v>
      </c>
    </row>
    <row r="74" spans="1:10" hidden="1" x14ac:dyDescent="0.25">
      <c r="A74" s="481"/>
      <c r="B74" s="526"/>
      <c r="C74" s="527"/>
      <c r="D74" s="860"/>
      <c r="E74" s="526"/>
      <c r="F74" s="860"/>
      <c r="G74" s="857">
        <f t="shared" si="6"/>
        <v>0</v>
      </c>
      <c r="H74" s="526"/>
      <c r="I74" s="860"/>
      <c r="J74" s="858">
        <f t="shared" si="7"/>
        <v>0</v>
      </c>
    </row>
    <row r="75" spans="1:10" hidden="1" x14ac:dyDescent="0.25">
      <c r="A75" s="467"/>
      <c r="B75" s="523"/>
      <c r="C75" s="524"/>
      <c r="D75" s="857"/>
      <c r="E75" s="523"/>
      <c r="F75" s="857"/>
      <c r="G75" s="857">
        <f t="shared" si="6"/>
        <v>0</v>
      </c>
      <c r="H75" s="523"/>
      <c r="I75" s="857"/>
      <c r="J75" s="858">
        <f t="shared" si="7"/>
        <v>0</v>
      </c>
    </row>
    <row r="76" spans="1:10" hidden="1" x14ac:dyDescent="0.25">
      <c r="A76" s="467"/>
      <c r="B76" s="523"/>
      <c r="C76" s="524"/>
      <c r="D76" s="857"/>
      <c r="E76" s="523"/>
      <c r="F76" s="857"/>
      <c r="G76" s="857">
        <f t="shared" si="6"/>
        <v>0</v>
      </c>
      <c r="H76" s="523"/>
      <c r="I76" s="857"/>
      <c r="J76" s="858">
        <f t="shared" si="7"/>
        <v>0</v>
      </c>
    </row>
    <row r="77" spans="1:10" hidden="1" x14ac:dyDescent="0.25">
      <c r="A77" s="467" t="s">
        <v>853</v>
      </c>
      <c r="B77" s="523"/>
      <c r="C77" s="524"/>
      <c r="D77" s="857"/>
      <c r="E77" s="523"/>
      <c r="F77" s="857"/>
      <c r="G77" s="857">
        <f t="shared" si="6"/>
        <v>0</v>
      </c>
      <c r="H77" s="523"/>
      <c r="I77" s="857"/>
      <c r="J77" s="858">
        <f t="shared" si="7"/>
        <v>0</v>
      </c>
    </row>
    <row r="78" spans="1:10" hidden="1" x14ac:dyDescent="0.25">
      <c r="A78" s="467"/>
      <c r="B78" s="523"/>
      <c r="C78" s="524"/>
      <c r="D78" s="857"/>
      <c r="E78" s="523"/>
      <c r="F78" s="857"/>
      <c r="G78" s="857"/>
      <c r="H78" s="523"/>
      <c r="I78" s="857"/>
      <c r="J78" s="858"/>
    </row>
    <row r="79" spans="1:10" x14ac:dyDescent="0.25">
      <c r="A79" s="467"/>
      <c r="B79" s="523"/>
      <c r="C79" s="524"/>
      <c r="D79" s="857"/>
      <c r="E79" s="523"/>
      <c r="F79" s="857"/>
      <c r="G79" s="857"/>
      <c r="H79" s="523"/>
      <c r="I79" s="857"/>
      <c r="J79" s="858"/>
    </row>
    <row r="80" spans="1:10" x14ac:dyDescent="0.25">
      <c r="A80" s="473" t="s">
        <v>854</v>
      </c>
      <c r="B80" s="520">
        <f>SUM(B81:B83)</f>
        <v>117014.961</v>
      </c>
      <c r="C80" s="524"/>
      <c r="D80" s="61">
        <f>SUM(D81:D83)</f>
        <v>1.7984223856139495E-3</v>
      </c>
      <c r="E80" s="520">
        <f>SUM(E81:E83)</f>
        <v>600000</v>
      </c>
      <c r="F80" s="61">
        <f>SUM(F81:F83)</f>
        <v>0</v>
      </c>
      <c r="G80" s="61">
        <f>D80-F80</f>
        <v>1.7984223856139495E-3</v>
      </c>
      <c r="H80" s="520">
        <f>SUM(H81:H83)</f>
        <v>1005600.88894</v>
      </c>
      <c r="I80" s="61">
        <f>SUM(I81:I83)</f>
        <v>1.0030810212506552E-2</v>
      </c>
      <c r="J80" s="856">
        <f>G80-I80</f>
        <v>-8.232387826892602E-3</v>
      </c>
    </row>
    <row r="81" spans="1:10" x14ac:dyDescent="0.25">
      <c r="A81" s="467" t="s">
        <v>855</v>
      </c>
      <c r="B81" s="523"/>
      <c r="C81" s="524"/>
      <c r="D81" s="857">
        <f>B81/$B$138</f>
        <v>0</v>
      </c>
      <c r="E81" s="512">
        <f>(300000000/6)*12/1000</f>
        <v>600000</v>
      </c>
      <c r="F81" s="857"/>
      <c r="G81" s="857"/>
      <c r="H81" s="523">
        <v>1000000</v>
      </c>
      <c r="I81" s="857">
        <f>H81/$H$138</f>
        <v>9.9749416720185981E-3</v>
      </c>
      <c r="J81" s="858">
        <f>F81-I81</f>
        <v>-9.9749416720185981E-3</v>
      </c>
    </row>
    <row r="82" spans="1:10" hidden="1" x14ac:dyDescent="0.25">
      <c r="A82" s="467" t="s">
        <v>856</v>
      </c>
      <c r="B82" s="523"/>
      <c r="C82" s="524"/>
      <c r="D82" s="857"/>
      <c r="E82" s="523"/>
      <c r="F82" s="857"/>
      <c r="G82" s="857"/>
      <c r="H82" s="523">
        <f>0/1000</f>
        <v>0</v>
      </c>
      <c r="I82" s="857">
        <f>H82/$H$138</f>
        <v>0</v>
      </c>
      <c r="J82" s="858">
        <f>F82-I82</f>
        <v>0</v>
      </c>
    </row>
    <row r="83" spans="1:10" x14ac:dyDescent="0.25">
      <c r="A83" s="467" t="s">
        <v>900</v>
      </c>
      <c r="B83" s="523">
        <f>117014961/1000</f>
        <v>117014.961</v>
      </c>
      <c r="C83" s="524"/>
      <c r="D83" s="857">
        <f>B83/$B$138</f>
        <v>1.7984223856139495E-3</v>
      </c>
      <c r="E83" s="512">
        <f>(0/6)*12/1000</f>
        <v>0</v>
      </c>
      <c r="F83" s="857">
        <f>E83/$E$138</f>
        <v>0</v>
      </c>
      <c r="G83" s="857">
        <f>D83-F83</f>
        <v>1.7984223856139495E-3</v>
      </c>
      <c r="H83" s="862">
        <f>5600888.94/1000</f>
        <v>5600.8889400000007</v>
      </c>
      <c r="I83" s="857">
        <f>H83/$H$138</f>
        <v>5.5868540487954083E-5</v>
      </c>
      <c r="J83" s="858">
        <f>F83-I83</f>
        <v>-5.5868540487954083E-5</v>
      </c>
    </row>
    <row r="84" spans="1:10" x14ac:dyDescent="0.25">
      <c r="A84" s="467"/>
      <c r="B84" s="523"/>
      <c r="C84" s="524"/>
      <c r="D84" s="857"/>
      <c r="E84" s="523"/>
      <c r="F84" s="857"/>
      <c r="G84" s="857"/>
      <c r="H84" s="523"/>
      <c r="I84" s="857"/>
      <c r="J84" s="858"/>
    </row>
    <row r="85" spans="1:10" hidden="1" x14ac:dyDescent="0.25">
      <c r="A85" s="467"/>
      <c r="B85" s="523"/>
      <c r="C85" s="524"/>
      <c r="D85" s="857"/>
      <c r="E85" s="523"/>
      <c r="F85" s="857"/>
      <c r="G85" s="857"/>
      <c r="H85" s="523"/>
      <c r="I85" s="857"/>
      <c r="J85" s="858"/>
    </row>
    <row r="86" spans="1:10" x14ac:dyDescent="0.25">
      <c r="A86" s="488" t="s">
        <v>858</v>
      </c>
      <c r="B86" s="530">
        <f>SUM(B88+B96+B125)</f>
        <v>21768629.677000001</v>
      </c>
      <c r="C86" s="530"/>
      <c r="D86" s="61">
        <f>SUM(D88+D96+D125)</f>
        <v>0.33456568784616314</v>
      </c>
      <c r="E86" s="530">
        <f>SUM(E88+E96+E125)</f>
        <v>19638816.149860002</v>
      </c>
      <c r="F86" s="61">
        <f>SUM(F88+F96+F125)</f>
        <v>0.4109518631593197</v>
      </c>
      <c r="G86" s="61">
        <f>D86-F86</f>
        <v>-7.6386175313156557E-2</v>
      </c>
      <c r="H86" s="530">
        <f>SUM(H88+H96+H125)</f>
        <v>17221543.020000003</v>
      </c>
      <c r="I86" s="61">
        <f>SUM(I88+I96+I125)</f>
        <v>0.17178388712665904</v>
      </c>
      <c r="J86" s="856">
        <f>G86-I86</f>
        <v>-0.2481700624398156</v>
      </c>
    </row>
    <row r="87" spans="1:10" x14ac:dyDescent="0.25">
      <c r="A87" s="467"/>
      <c r="B87" s="523"/>
      <c r="C87" s="524"/>
      <c r="D87" s="857"/>
      <c r="E87" s="523"/>
      <c r="F87" s="857"/>
      <c r="G87" s="857"/>
      <c r="H87" s="523"/>
      <c r="I87" s="857"/>
      <c r="J87" s="858"/>
    </row>
    <row r="88" spans="1:10" x14ac:dyDescent="0.25">
      <c r="A88" s="467" t="s">
        <v>859</v>
      </c>
      <c r="B88" s="523">
        <f>(1143717011/1000)</f>
        <v>1143717.0109999999</v>
      </c>
      <c r="C88" s="524"/>
      <c r="D88" s="857">
        <f t="shared" ref="D88:D94" si="8">B88/$B$138</f>
        <v>1.7577976848532004E-2</v>
      </c>
      <c r="E88" s="512">
        <f>(923098325.26/6)*12/1000</f>
        <v>1846196.6505199999</v>
      </c>
      <c r="F88" s="857">
        <f>E88/$E$138</f>
        <v>3.8632570695718738E-2</v>
      </c>
      <c r="G88" s="857">
        <f>D88-F88</f>
        <v>-2.1054593847186734E-2</v>
      </c>
      <c r="H88" s="523">
        <v>469970.34</v>
      </c>
      <c r="I88" s="857">
        <f t="shared" ref="I88:I94" si="9">H88/$H$138</f>
        <v>4.6879267290787499E-3</v>
      </c>
      <c r="J88" s="858">
        <f>F88-I88</f>
        <v>3.3944643966639987E-2</v>
      </c>
    </row>
    <row r="89" spans="1:10" hidden="1" x14ac:dyDescent="0.25">
      <c r="A89" s="467" t="s">
        <v>860</v>
      </c>
      <c r="B89" s="523"/>
      <c r="C89" s="524"/>
      <c r="D89" s="857">
        <f t="shared" si="8"/>
        <v>0</v>
      </c>
      <c r="E89" s="523"/>
      <c r="F89" s="857">
        <f t="shared" ref="F89:F94" si="10">D89/$B$138</f>
        <v>0</v>
      </c>
      <c r="G89" s="857"/>
      <c r="H89" s="523"/>
      <c r="I89" s="857">
        <f t="shared" si="9"/>
        <v>0</v>
      </c>
      <c r="J89" s="858"/>
    </row>
    <row r="90" spans="1:10" hidden="1" x14ac:dyDescent="0.25">
      <c r="A90" s="467" t="s">
        <v>861</v>
      </c>
      <c r="B90" s="523"/>
      <c r="C90" s="524"/>
      <c r="D90" s="857">
        <f t="shared" si="8"/>
        <v>0</v>
      </c>
      <c r="E90" s="523"/>
      <c r="F90" s="857">
        <f t="shared" si="10"/>
        <v>0</v>
      </c>
      <c r="G90" s="857"/>
      <c r="H90" s="523"/>
      <c r="I90" s="857">
        <f t="shared" si="9"/>
        <v>0</v>
      </c>
      <c r="J90" s="858"/>
    </row>
    <row r="91" spans="1:10" hidden="1" x14ac:dyDescent="0.25">
      <c r="A91" s="467"/>
      <c r="B91" s="523"/>
      <c r="C91" s="524"/>
      <c r="D91" s="857">
        <f t="shared" si="8"/>
        <v>0</v>
      </c>
      <c r="E91" s="523"/>
      <c r="F91" s="857">
        <f t="shared" si="10"/>
        <v>0</v>
      </c>
      <c r="G91" s="857"/>
      <c r="H91" s="523"/>
      <c r="I91" s="857">
        <f t="shared" si="9"/>
        <v>0</v>
      </c>
      <c r="J91" s="858"/>
    </row>
    <row r="92" spans="1:10" hidden="1" x14ac:dyDescent="0.25">
      <c r="A92" s="467" t="s">
        <v>862</v>
      </c>
      <c r="B92" s="523"/>
      <c r="C92" s="524"/>
      <c r="D92" s="857">
        <f t="shared" si="8"/>
        <v>0</v>
      </c>
      <c r="E92" s="523"/>
      <c r="F92" s="857">
        <f t="shared" si="10"/>
        <v>0</v>
      </c>
      <c r="G92" s="857"/>
      <c r="H92" s="523"/>
      <c r="I92" s="857">
        <f t="shared" si="9"/>
        <v>0</v>
      </c>
      <c r="J92" s="858"/>
    </row>
    <row r="93" spans="1:10" hidden="1" x14ac:dyDescent="0.25">
      <c r="A93" s="467" t="s">
        <v>863</v>
      </c>
      <c r="B93" s="523"/>
      <c r="C93" s="524"/>
      <c r="D93" s="857">
        <f t="shared" si="8"/>
        <v>0</v>
      </c>
      <c r="E93" s="523"/>
      <c r="F93" s="857">
        <f t="shared" si="10"/>
        <v>0</v>
      </c>
      <c r="G93" s="857"/>
      <c r="H93" s="523"/>
      <c r="I93" s="857">
        <f t="shared" si="9"/>
        <v>0</v>
      </c>
      <c r="J93" s="858"/>
    </row>
    <row r="94" spans="1:10" hidden="1" x14ac:dyDescent="0.25">
      <c r="A94" s="490" t="s">
        <v>527</v>
      </c>
      <c r="B94" s="517"/>
      <c r="C94" s="518"/>
      <c r="D94" s="857">
        <f t="shared" si="8"/>
        <v>0</v>
      </c>
      <c r="E94" s="517"/>
      <c r="F94" s="857">
        <f t="shared" si="10"/>
        <v>0</v>
      </c>
      <c r="G94" s="857"/>
      <c r="H94" s="517"/>
      <c r="I94" s="857">
        <f t="shared" si="9"/>
        <v>0</v>
      </c>
      <c r="J94" s="858"/>
    </row>
    <row r="95" spans="1:10" x14ac:dyDescent="0.25">
      <c r="A95" s="467"/>
      <c r="B95" s="523"/>
      <c r="C95" s="524"/>
      <c r="D95" s="857"/>
      <c r="E95" s="523"/>
      <c r="F95" s="857"/>
      <c r="G95" s="861"/>
      <c r="H95" s="523"/>
      <c r="I95" s="857"/>
      <c r="J95" s="858"/>
    </row>
    <row r="96" spans="1:10" x14ac:dyDescent="0.25">
      <c r="A96" s="467" t="s">
        <v>864</v>
      </c>
      <c r="B96" s="523">
        <f>(16129202018/1000)</f>
        <v>16129202.017999999</v>
      </c>
      <c r="C96" s="524"/>
      <c r="D96" s="857">
        <f>B96/$B$138</f>
        <v>0.2478923867800194</v>
      </c>
      <c r="E96" s="512">
        <f>(8896309749.67/6)*12/1000</f>
        <v>17792619.499340001</v>
      </c>
      <c r="F96" s="857">
        <f>E96/$E$138</f>
        <v>0.37231929246360096</v>
      </c>
      <c r="G96" s="857">
        <f>D96-F96</f>
        <v>-0.12442690568358156</v>
      </c>
      <c r="H96" s="523">
        <v>16709208.51</v>
      </c>
      <c r="I96" s="857">
        <f>H96/$H$138</f>
        <v>0.16667338027284681</v>
      </c>
      <c r="J96" s="858">
        <f>F96-I96</f>
        <v>0.20564591219075415</v>
      </c>
    </row>
    <row r="97" spans="1:10" hidden="1" x14ac:dyDescent="0.25">
      <c r="A97" s="467" t="s">
        <v>865</v>
      </c>
      <c r="B97" s="523"/>
      <c r="C97" s="524"/>
      <c r="D97" s="857"/>
      <c r="E97" s="523"/>
      <c r="F97" s="857"/>
      <c r="G97" s="857"/>
      <c r="H97" s="523"/>
      <c r="I97" s="857"/>
      <c r="J97" s="858"/>
    </row>
    <row r="98" spans="1:10" hidden="1" x14ac:dyDescent="0.25">
      <c r="A98" s="481" t="s">
        <v>866</v>
      </c>
      <c r="B98" s="526"/>
      <c r="C98" s="527"/>
      <c r="D98" s="860"/>
      <c r="E98" s="526"/>
      <c r="F98" s="860"/>
      <c r="G98" s="860"/>
      <c r="H98" s="526"/>
      <c r="I98" s="860"/>
      <c r="J98" s="859"/>
    </row>
    <row r="99" spans="1:10" hidden="1" x14ac:dyDescent="0.25">
      <c r="A99" s="467" t="s">
        <v>867</v>
      </c>
      <c r="B99" s="523"/>
      <c r="C99" s="524"/>
      <c r="D99" s="857"/>
      <c r="E99" s="523"/>
      <c r="F99" s="857"/>
      <c r="G99" s="857"/>
      <c r="H99" s="523"/>
      <c r="I99" s="857"/>
      <c r="J99" s="858"/>
    </row>
    <row r="100" spans="1:10" hidden="1" x14ac:dyDescent="0.25">
      <c r="A100" s="481" t="s">
        <v>868</v>
      </c>
      <c r="B100" s="526"/>
      <c r="C100" s="527"/>
      <c r="D100" s="860"/>
      <c r="E100" s="526"/>
      <c r="F100" s="860"/>
      <c r="G100" s="860"/>
      <c r="H100" s="526"/>
      <c r="I100" s="860"/>
      <c r="J100" s="859"/>
    </row>
    <row r="101" spans="1:10" hidden="1" x14ac:dyDescent="0.25">
      <c r="A101" s="481" t="s">
        <v>869</v>
      </c>
      <c r="B101" s="526"/>
      <c r="C101" s="527"/>
      <c r="D101" s="860"/>
      <c r="E101" s="526"/>
      <c r="F101" s="860"/>
      <c r="G101" s="860"/>
      <c r="H101" s="526"/>
      <c r="I101" s="860"/>
      <c r="J101" s="859"/>
    </row>
    <row r="102" spans="1:10" hidden="1" x14ac:dyDescent="0.25">
      <c r="A102" s="467" t="s">
        <v>437</v>
      </c>
      <c r="B102" s="523"/>
      <c r="C102" s="524"/>
      <c r="D102" s="857"/>
      <c r="E102" s="523"/>
      <c r="F102" s="857"/>
      <c r="G102" s="857"/>
      <c r="H102" s="523"/>
      <c r="I102" s="857"/>
      <c r="J102" s="858"/>
    </row>
    <row r="103" spans="1:10" hidden="1" x14ac:dyDescent="0.25">
      <c r="A103" s="467" t="s">
        <v>438</v>
      </c>
      <c r="B103" s="523"/>
      <c r="C103" s="524"/>
      <c r="D103" s="857"/>
      <c r="E103" s="523"/>
      <c r="F103" s="857"/>
      <c r="G103" s="857"/>
      <c r="H103" s="523"/>
      <c r="I103" s="857"/>
      <c r="J103" s="858"/>
    </row>
    <row r="104" spans="1:10" hidden="1" x14ac:dyDescent="0.25">
      <c r="A104" s="481" t="s">
        <v>870</v>
      </c>
      <c r="B104" s="526"/>
      <c r="C104" s="527"/>
      <c r="D104" s="860"/>
      <c r="E104" s="526"/>
      <c r="F104" s="860"/>
      <c r="G104" s="860"/>
      <c r="H104" s="526"/>
      <c r="I104" s="860"/>
      <c r="J104" s="859"/>
    </row>
    <row r="105" spans="1:10" hidden="1" x14ac:dyDescent="0.25">
      <c r="A105" s="481" t="s">
        <v>871</v>
      </c>
      <c r="B105" s="526"/>
      <c r="C105" s="527"/>
      <c r="D105" s="860"/>
      <c r="E105" s="526"/>
      <c r="F105" s="860"/>
      <c r="G105" s="860"/>
      <c r="H105" s="526"/>
      <c r="I105" s="860"/>
      <c r="J105" s="859"/>
    </row>
    <row r="106" spans="1:10" hidden="1" x14ac:dyDescent="0.25">
      <c r="A106" s="467" t="s">
        <v>872</v>
      </c>
      <c r="B106" s="523"/>
      <c r="C106" s="524"/>
      <c r="D106" s="857"/>
      <c r="E106" s="523"/>
      <c r="F106" s="857"/>
      <c r="G106" s="857"/>
      <c r="H106" s="523"/>
      <c r="I106" s="857"/>
      <c r="J106" s="858"/>
    </row>
    <row r="107" spans="1:10" hidden="1" x14ac:dyDescent="0.25">
      <c r="A107" s="467" t="s">
        <v>873</v>
      </c>
      <c r="B107" s="523"/>
      <c r="C107" s="524"/>
      <c r="D107" s="857"/>
      <c r="E107" s="523"/>
      <c r="F107" s="857"/>
      <c r="G107" s="857"/>
      <c r="H107" s="523"/>
      <c r="I107" s="857"/>
      <c r="J107" s="858"/>
    </row>
    <row r="108" spans="1:10" hidden="1" x14ac:dyDescent="0.25">
      <c r="A108" s="467" t="s">
        <v>874</v>
      </c>
      <c r="B108" s="523"/>
      <c r="C108" s="524"/>
      <c r="D108" s="857"/>
      <c r="E108" s="523"/>
      <c r="F108" s="857"/>
      <c r="G108" s="857"/>
      <c r="H108" s="523"/>
      <c r="I108" s="857"/>
      <c r="J108" s="858"/>
    </row>
    <row r="109" spans="1:10" hidden="1" x14ac:dyDescent="0.25">
      <c r="A109" s="481" t="s">
        <v>875</v>
      </c>
      <c r="B109" s="526"/>
      <c r="C109" s="527"/>
      <c r="D109" s="860"/>
      <c r="E109" s="526"/>
      <c r="F109" s="860"/>
      <c r="G109" s="860"/>
      <c r="H109" s="526"/>
      <c r="I109" s="860"/>
      <c r="J109" s="859"/>
    </row>
    <row r="110" spans="1:10" hidden="1" x14ac:dyDescent="0.25">
      <c r="A110" s="467" t="s">
        <v>876</v>
      </c>
      <c r="B110" s="523"/>
      <c r="C110" s="524"/>
      <c r="D110" s="857"/>
      <c r="E110" s="523"/>
      <c r="F110" s="857"/>
      <c r="G110" s="857"/>
      <c r="H110" s="523"/>
      <c r="I110" s="857"/>
      <c r="J110" s="858"/>
    </row>
    <row r="111" spans="1:10" hidden="1" x14ac:dyDescent="0.25">
      <c r="A111" s="467" t="s">
        <v>877</v>
      </c>
      <c r="B111" s="523"/>
      <c r="C111" s="524"/>
      <c r="D111" s="857"/>
      <c r="E111" s="523"/>
      <c r="F111" s="857"/>
      <c r="G111" s="857"/>
      <c r="H111" s="523"/>
      <c r="I111" s="857"/>
      <c r="J111" s="858"/>
    </row>
    <row r="112" spans="1:10" hidden="1" x14ac:dyDescent="0.25">
      <c r="A112" s="467" t="s">
        <v>878</v>
      </c>
      <c r="B112" s="523"/>
      <c r="C112" s="524"/>
      <c r="D112" s="857"/>
      <c r="E112" s="523"/>
      <c r="F112" s="857"/>
      <c r="G112" s="857"/>
      <c r="H112" s="523"/>
      <c r="I112" s="857"/>
      <c r="J112" s="858"/>
    </row>
    <row r="113" spans="1:10" hidden="1" x14ac:dyDescent="0.25">
      <c r="A113" s="467" t="s">
        <v>879</v>
      </c>
      <c r="B113" s="523"/>
      <c r="C113" s="524"/>
      <c r="D113" s="857"/>
      <c r="E113" s="523"/>
      <c r="F113" s="857"/>
      <c r="G113" s="857"/>
      <c r="H113" s="523"/>
      <c r="I113" s="857"/>
      <c r="J113" s="858"/>
    </row>
    <row r="114" spans="1:10" hidden="1" x14ac:dyDescent="0.25">
      <c r="A114" s="467" t="s">
        <v>880</v>
      </c>
      <c r="B114" s="523"/>
      <c r="C114" s="524"/>
      <c r="D114" s="857"/>
      <c r="E114" s="523"/>
      <c r="F114" s="857"/>
      <c r="G114" s="857"/>
      <c r="H114" s="523"/>
      <c r="I114" s="857"/>
      <c r="J114" s="858"/>
    </row>
    <row r="115" spans="1:10" hidden="1" x14ac:dyDescent="0.25">
      <c r="A115" s="467" t="s">
        <v>881</v>
      </c>
      <c r="B115" s="523"/>
      <c r="C115" s="524"/>
      <c r="D115" s="857"/>
      <c r="E115" s="523"/>
      <c r="F115" s="857"/>
      <c r="G115" s="857"/>
      <c r="H115" s="523"/>
      <c r="I115" s="857"/>
      <c r="J115" s="858"/>
    </row>
    <row r="116" spans="1:10" hidden="1" x14ac:dyDescent="0.25">
      <c r="A116" s="467" t="s">
        <v>882</v>
      </c>
      <c r="B116" s="523"/>
      <c r="C116" s="524"/>
      <c r="D116" s="857"/>
      <c r="E116" s="523"/>
      <c r="F116" s="857"/>
      <c r="G116" s="857"/>
      <c r="H116" s="523"/>
      <c r="I116" s="857"/>
      <c r="J116" s="858"/>
    </row>
    <row r="117" spans="1:10" hidden="1" x14ac:dyDescent="0.25">
      <c r="A117" s="467" t="s">
        <v>883</v>
      </c>
      <c r="B117" s="523"/>
      <c r="C117" s="524"/>
      <c r="D117" s="857"/>
      <c r="E117" s="523"/>
      <c r="F117" s="857"/>
      <c r="G117" s="857"/>
      <c r="H117" s="523"/>
      <c r="I117" s="857"/>
      <c r="J117" s="858"/>
    </row>
    <row r="118" spans="1:10" hidden="1" x14ac:dyDescent="0.25">
      <c r="A118" s="467"/>
      <c r="B118" s="523"/>
      <c r="C118" s="524"/>
      <c r="D118" s="857"/>
      <c r="E118" s="523"/>
      <c r="F118" s="857"/>
      <c r="G118" s="857"/>
      <c r="H118" s="523"/>
      <c r="I118" s="857"/>
      <c r="J118" s="858"/>
    </row>
    <row r="119" spans="1:10" hidden="1" x14ac:dyDescent="0.25">
      <c r="A119" s="467"/>
      <c r="B119" s="523"/>
      <c r="C119" s="524"/>
      <c r="D119" s="857"/>
      <c r="E119" s="523"/>
      <c r="F119" s="857"/>
      <c r="G119" s="857"/>
      <c r="H119" s="523"/>
      <c r="I119" s="857"/>
      <c r="J119" s="858"/>
    </row>
    <row r="120" spans="1:10" hidden="1" x14ac:dyDescent="0.25">
      <c r="A120" s="467" t="s">
        <v>884</v>
      </c>
      <c r="B120" s="523">
        <v>0</v>
      </c>
      <c r="C120" s="524"/>
      <c r="D120" s="857">
        <v>0</v>
      </c>
      <c r="E120" s="523">
        <v>0</v>
      </c>
      <c r="F120" s="857">
        <v>0</v>
      </c>
      <c r="G120" s="857"/>
      <c r="H120" s="523">
        <v>0</v>
      </c>
      <c r="I120" s="857">
        <v>0</v>
      </c>
      <c r="J120" s="858"/>
    </row>
    <row r="121" spans="1:10" hidden="1" x14ac:dyDescent="0.25">
      <c r="A121" s="467" t="s">
        <v>885</v>
      </c>
      <c r="B121" s="523"/>
      <c r="C121" s="524"/>
      <c r="D121" s="857"/>
      <c r="E121" s="523"/>
      <c r="F121" s="857"/>
      <c r="G121" s="857"/>
      <c r="H121" s="523"/>
      <c r="I121" s="857"/>
      <c r="J121" s="858"/>
    </row>
    <row r="122" spans="1:10" hidden="1" x14ac:dyDescent="0.25">
      <c r="A122" s="467" t="s">
        <v>886</v>
      </c>
      <c r="B122" s="523"/>
      <c r="C122" s="524"/>
      <c r="D122" s="857"/>
      <c r="E122" s="523"/>
      <c r="F122" s="857"/>
      <c r="G122" s="857"/>
      <c r="H122" s="523"/>
      <c r="I122" s="857"/>
      <c r="J122" s="858"/>
    </row>
    <row r="123" spans="1:10" hidden="1" x14ac:dyDescent="0.25">
      <c r="A123" s="467" t="s">
        <v>887</v>
      </c>
      <c r="B123" s="523"/>
      <c r="C123" s="524"/>
      <c r="D123" s="857"/>
      <c r="E123" s="523"/>
      <c r="F123" s="857"/>
      <c r="G123" s="857"/>
      <c r="H123" s="523"/>
      <c r="I123" s="857"/>
      <c r="J123" s="858"/>
    </row>
    <row r="124" spans="1:10" x14ac:dyDescent="0.25">
      <c r="A124" s="467"/>
      <c r="B124" s="523"/>
      <c r="C124" s="524"/>
      <c r="D124" s="857"/>
      <c r="E124" s="523"/>
      <c r="F124" s="857"/>
      <c r="G124" s="857"/>
      <c r="H124" s="523"/>
      <c r="I124" s="857"/>
      <c r="J124" s="858"/>
    </row>
    <row r="125" spans="1:10" x14ac:dyDescent="0.25">
      <c r="A125" s="473" t="s">
        <v>888</v>
      </c>
      <c r="B125" s="520">
        <f>SUM(B129:B130)</f>
        <v>4495710.648</v>
      </c>
      <c r="C125" s="521"/>
      <c r="D125" s="61">
        <f>SUM(D129:D130)</f>
        <v>6.9095324217611748E-2</v>
      </c>
      <c r="E125" s="520">
        <f>SUM(E129)</f>
        <v>0</v>
      </c>
      <c r="F125" s="61">
        <f>SUM(F129:F130)</f>
        <v>0</v>
      </c>
      <c r="G125" s="61">
        <f>D125-F125</f>
        <v>6.9095324217611748E-2</v>
      </c>
      <c r="H125" s="520">
        <f>H129</f>
        <v>42364.17</v>
      </c>
      <c r="I125" s="61">
        <f>SUM(I129:I130)</f>
        <v>4.2258012473348015E-4</v>
      </c>
      <c r="J125" s="856">
        <f>G125-I125</f>
        <v>6.8672744092878268E-2</v>
      </c>
    </row>
    <row r="126" spans="1:10" hidden="1" x14ac:dyDescent="0.25">
      <c r="A126" s="490" t="s">
        <v>889</v>
      </c>
      <c r="B126" s="517"/>
      <c r="C126" s="518"/>
      <c r="D126" s="857"/>
      <c r="E126" s="517"/>
      <c r="F126" s="857"/>
      <c r="G126" s="857"/>
      <c r="H126" s="517"/>
      <c r="I126" s="857"/>
      <c r="J126" s="858"/>
    </row>
    <row r="127" spans="1:10" hidden="1" x14ac:dyDescent="0.25">
      <c r="A127" s="493" t="s">
        <v>890</v>
      </c>
      <c r="B127" s="517"/>
      <c r="C127" s="518"/>
      <c r="D127" s="857"/>
      <c r="E127" s="517"/>
      <c r="F127" s="857"/>
      <c r="G127" s="857"/>
      <c r="H127" s="517"/>
      <c r="I127" s="857"/>
      <c r="J127" s="858"/>
    </row>
    <row r="128" spans="1:10" hidden="1" x14ac:dyDescent="0.25">
      <c r="A128" s="493" t="s">
        <v>891</v>
      </c>
      <c r="B128" s="517"/>
      <c r="C128" s="518"/>
      <c r="D128" s="857"/>
      <c r="E128" s="517"/>
      <c r="F128" s="857"/>
      <c r="G128" s="857"/>
      <c r="H128" s="517"/>
      <c r="I128" s="857"/>
      <c r="J128" s="858"/>
    </row>
    <row r="129" spans="1:10" x14ac:dyDescent="0.25">
      <c r="A129" s="494" t="s">
        <v>892</v>
      </c>
      <c r="B129" s="509">
        <f>(4495710648/1000)</f>
        <v>4495710.648</v>
      </c>
      <c r="C129" s="510"/>
      <c r="D129" s="857">
        <f>B129/$B$138</f>
        <v>6.9095324217611748E-2</v>
      </c>
      <c r="E129" s="512">
        <f>(0/6)*12/1000</f>
        <v>0</v>
      </c>
      <c r="F129" s="857">
        <f>E129/$E$138</f>
        <v>0</v>
      </c>
      <c r="G129" s="857">
        <f>D129-F129</f>
        <v>6.9095324217611748E-2</v>
      </c>
      <c r="H129" s="159">
        <v>42364.17</v>
      </c>
      <c r="I129" s="857">
        <f>H129/$H$138</f>
        <v>4.2258012473348015E-4</v>
      </c>
      <c r="J129" s="858">
        <f>F129-I129</f>
        <v>-4.2258012473348015E-4</v>
      </c>
    </row>
    <row r="130" spans="1:10" hidden="1" x14ac:dyDescent="0.25">
      <c r="A130" s="494" t="s">
        <v>899</v>
      </c>
      <c r="B130" s="509">
        <f>'[1]Compar.Ing.2009-11'!B71</f>
        <v>0</v>
      </c>
      <c r="C130" s="510"/>
      <c r="D130" s="857"/>
      <c r="E130" s="509"/>
      <c r="F130" s="857"/>
      <c r="G130" s="857"/>
      <c r="H130" s="509">
        <v>0</v>
      </c>
      <c r="I130" s="857"/>
      <c r="J130" s="858"/>
    </row>
    <row r="131" spans="1:10" hidden="1" x14ac:dyDescent="0.25">
      <c r="A131" s="493" t="s">
        <v>896</v>
      </c>
      <c r="B131" s="509"/>
      <c r="C131" s="510"/>
      <c r="D131" s="857"/>
      <c r="E131" s="509"/>
      <c r="F131" s="857"/>
      <c r="G131" s="857"/>
      <c r="H131" s="509"/>
      <c r="I131" s="857"/>
      <c r="J131" s="858"/>
    </row>
    <row r="132" spans="1:10" x14ac:dyDescent="0.25">
      <c r="A132" s="493"/>
      <c r="B132" s="509"/>
      <c r="C132" s="510"/>
      <c r="D132" s="857"/>
      <c r="E132" s="509"/>
      <c r="F132" s="857"/>
      <c r="G132" s="857"/>
      <c r="H132" s="509" t="s">
        <v>0</v>
      </c>
      <c r="I132" s="857"/>
      <c r="J132" s="858"/>
    </row>
    <row r="133" spans="1:10" x14ac:dyDescent="0.25">
      <c r="A133" s="488" t="s">
        <v>893</v>
      </c>
      <c r="B133" s="514">
        <f>SUM(B135:B136)</f>
        <v>23724541.16</v>
      </c>
      <c r="C133" s="515"/>
      <c r="D133" s="61">
        <f>SUM(D135:D136)</f>
        <v>0.36462641653628836</v>
      </c>
      <c r="E133" s="514">
        <f>SUM(E135+E136)</f>
        <v>11273440.77014</v>
      </c>
      <c r="F133" s="61">
        <f>SUM(F135:F136)</f>
        <v>0.23590227910648753</v>
      </c>
      <c r="G133" s="61">
        <f>D133-F133</f>
        <v>0.12872413742980082</v>
      </c>
      <c r="H133" s="514">
        <f>SUM(H135+H136)</f>
        <v>67747458.719999999</v>
      </c>
      <c r="I133" s="61">
        <f>SUM(I135:I136)</f>
        <v>0.67577694915948783</v>
      </c>
      <c r="J133" s="856">
        <f>G133-I133</f>
        <v>-0.54705281172968701</v>
      </c>
    </row>
    <row r="134" spans="1:10" x14ac:dyDescent="0.25">
      <c r="A134" s="493"/>
      <c r="B134" s="509"/>
      <c r="C134" s="510"/>
      <c r="D134" s="857"/>
      <c r="E134" s="509"/>
      <c r="F134" s="857"/>
      <c r="G134" s="857"/>
      <c r="H134" s="509"/>
      <c r="I134" s="857"/>
      <c r="J134" s="858"/>
    </row>
    <row r="135" spans="1:10" x14ac:dyDescent="0.25">
      <c r="A135" s="494" t="s">
        <v>894</v>
      </c>
      <c r="B135" s="509">
        <f>(11550533130/1000)</f>
        <v>11550533.130000001</v>
      </c>
      <c r="C135" s="510"/>
      <c r="D135" s="857">
        <f>B135/$B$138</f>
        <v>0.17752206358268632</v>
      </c>
      <c r="E135" s="512">
        <f>(5636720385.07/6)*12/1000</f>
        <v>11273440.77014</v>
      </c>
      <c r="F135" s="857">
        <f>E135/$E$138</f>
        <v>0.23590227910648753</v>
      </c>
      <c r="G135" s="857">
        <f>D135-F135</f>
        <v>-5.838021552380121E-2</v>
      </c>
      <c r="H135" s="509">
        <v>12400945.9</v>
      </c>
      <c r="I135" s="857">
        <f>H135/$H$138</f>
        <v>0.12369871203035819</v>
      </c>
      <c r="J135" s="858">
        <f>F135-I135</f>
        <v>0.11220356707612934</v>
      </c>
    </row>
    <row r="136" spans="1:10" x14ac:dyDescent="0.25">
      <c r="A136" s="494" t="s">
        <v>897</v>
      </c>
      <c r="B136" s="509">
        <f>(12174008030/1000)</f>
        <v>12174008.029999999</v>
      </c>
      <c r="C136" s="510"/>
      <c r="D136" s="857">
        <f>B136/$B$138</f>
        <v>0.18710435295360203</v>
      </c>
      <c r="E136" s="512">
        <f>(0/6)*12/1000</f>
        <v>0</v>
      </c>
      <c r="F136" s="857">
        <f>E136/$E$138</f>
        <v>0</v>
      </c>
      <c r="G136" s="857">
        <f>D136-F136</f>
        <v>0.18710435295360203</v>
      </c>
      <c r="H136" s="509">
        <v>55346512.82</v>
      </c>
      <c r="I136" s="857">
        <f>H136/$H$138</f>
        <v>0.55207823712912962</v>
      </c>
      <c r="J136" s="858">
        <f>F136-I136</f>
        <v>-0.55207823712912962</v>
      </c>
    </row>
    <row r="137" spans="1:10" x14ac:dyDescent="0.25">
      <c r="A137" s="493"/>
      <c r="B137" s="509"/>
      <c r="C137" s="510"/>
      <c r="D137" s="857"/>
      <c r="E137" s="509"/>
      <c r="F137" s="857"/>
      <c r="G137" s="857"/>
      <c r="H137" s="509"/>
      <c r="I137" s="857"/>
      <c r="J137" s="858"/>
    </row>
    <row r="138" spans="1:10" x14ac:dyDescent="0.25">
      <c r="A138" s="495" t="s">
        <v>895</v>
      </c>
      <c r="B138" s="507">
        <f>SUM(B11+B86+B133)</f>
        <v>65065338.341000006</v>
      </c>
      <c r="C138" s="507"/>
      <c r="D138" s="61">
        <f>SUM(D11+D86+D133)</f>
        <v>0.99999999999999989</v>
      </c>
      <c r="E138" s="507">
        <f>SUM(E11+E86+E133)</f>
        <v>47788604.725820005</v>
      </c>
      <c r="F138" s="61">
        <f>SUM(F11+F86+F133)-0.01</f>
        <v>0.99</v>
      </c>
      <c r="G138" s="61">
        <f>D138-F138</f>
        <v>9.9999999999998979E-3</v>
      </c>
      <c r="H138" s="507">
        <f>SUM(H11+H86+H133)</f>
        <v>100251212.77703001</v>
      </c>
      <c r="I138" s="857">
        <f>H138/$H$138</f>
        <v>1</v>
      </c>
      <c r="J138" s="856">
        <f>F138-I138</f>
        <v>-1.0000000000000009E-2</v>
      </c>
    </row>
    <row r="139" spans="1:10" ht="13.8" thickBot="1" x14ac:dyDescent="0.3">
      <c r="A139" s="496"/>
      <c r="B139" s="504"/>
      <c r="C139" s="505"/>
      <c r="D139" s="855"/>
      <c r="E139" s="504"/>
      <c r="F139" s="855"/>
      <c r="G139" s="855"/>
      <c r="H139" s="504"/>
      <c r="I139" s="855"/>
      <c r="J139" s="854"/>
    </row>
    <row r="140" spans="1:10" x14ac:dyDescent="0.25">
      <c r="A140" s="853" t="s">
        <v>968</v>
      </c>
      <c r="B140" s="498"/>
      <c r="C140" s="498"/>
      <c r="D140" s="852"/>
      <c r="E140" s="498"/>
      <c r="F140" s="498"/>
      <c r="G140" s="498"/>
      <c r="H140" s="498"/>
      <c r="I140" s="498"/>
      <c r="J140" s="851"/>
    </row>
    <row r="141" spans="1:10" ht="13.8" thickBot="1" x14ac:dyDescent="0.3">
      <c r="A141" s="850"/>
      <c r="B141" s="848"/>
      <c r="C141" s="848"/>
      <c r="D141" s="849"/>
      <c r="E141" s="848"/>
      <c r="F141" s="848"/>
      <c r="G141" s="848"/>
      <c r="H141" s="848"/>
      <c r="I141" s="848"/>
      <c r="J141" s="847"/>
    </row>
    <row r="142" spans="1:10" ht="12.75" customHeight="1" x14ac:dyDescent="0.25">
      <c r="A142" s="1941"/>
      <c r="B142" s="1941"/>
      <c r="C142" s="1941"/>
      <c r="D142" s="1941"/>
      <c r="E142" s="1941"/>
      <c r="F142" s="1941"/>
      <c r="G142" s="1941"/>
      <c r="H142" s="1941"/>
    </row>
    <row r="143" spans="1:10" hidden="1" x14ac:dyDescent="0.25">
      <c r="E143" s="500">
        <f>(80848158425.57/7)*12/1000</f>
        <v>138596843.01526287</v>
      </c>
    </row>
    <row r="144" spans="1:10" hidden="1" x14ac:dyDescent="0.25">
      <c r="A144" s="1932"/>
      <c r="B144" s="1932"/>
      <c r="C144" s="1932"/>
      <c r="D144" s="1932"/>
      <c r="E144" s="1932"/>
      <c r="F144" s="1932"/>
      <c r="G144" s="1932"/>
      <c r="H144" s="1932"/>
    </row>
    <row r="145" spans="1:8" hidden="1" x14ac:dyDescent="0.25">
      <c r="E145" s="500">
        <f>((10050363953.5/7)*12/1000)</f>
        <v>17229195.348857142</v>
      </c>
    </row>
    <row r="146" spans="1:8" hidden="1" x14ac:dyDescent="0.25">
      <c r="A146" s="1933" t="s">
        <v>0</v>
      </c>
      <c r="B146" s="1933"/>
      <c r="C146" s="1933"/>
      <c r="D146" s="1933"/>
      <c r="E146" s="1933"/>
      <c r="F146" s="1933"/>
      <c r="G146" s="1933"/>
      <c r="H146" s="1933"/>
    </row>
    <row r="147" spans="1:8" ht="13.8" hidden="1" x14ac:dyDescent="0.25">
      <c r="A147" s="501"/>
    </row>
    <row r="148" spans="1:8" ht="13.8" x14ac:dyDescent="0.25">
      <c r="A148" s="501"/>
    </row>
    <row r="149" spans="1:8" ht="13.8" x14ac:dyDescent="0.25">
      <c r="A149" s="501"/>
    </row>
    <row r="150" spans="1:8" ht="13.8" x14ac:dyDescent="0.25">
      <c r="A150" s="501"/>
    </row>
    <row r="151" spans="1:8" ht="13.8" x14ac:dyDescent="0.25">
      <c r="A151" s="501"/>
    </row>
    <row r="152" spans="1:8" ht="13.8" x14ac:dyDescent="0.25">
      <c r="A152" s="501"/>
    </row>
    <row r="153" spans="1:8" ht="13.8" x14ac:dyDescent="0.25">
      <c r="A153" s="501"/>
    </row>
    <row r="154" spans="1:8" ht="13.8" x14ac:dyDescent="0.25">
      <c r="A154" s="501"/>
    </row>
    <row r="155" spans="1:8" ht="13.8" x14ac:dyDescent="0.25">
      <c r="A155" s="501"/>
    </row>
  </sheetData>
  <mergeCells count="8">
    <mergeCell ref="A144:H144"/>
    <mergeCell ref="A146:H146"/>
    <mergeCell ref="A1:H1"/>
    <mergeCell ref="A2:J2"/>
    <mergeCell ref="A3:J3"/>
    <mergeCell ref="A4:J4"/>
    <mergeCell ref="A5:J5"/>
    <mergeCell ref="A142:H142"/>
  </mergeCells>
  <printOptions horizontalCentered="1" verticalCentered="1"/>
  <pageMargins left="0.59055118110236227" right="0.59055118110236227" top="0.39370078740157483" bottom="0.39370078740157483" header="0" footer="0"/>
  <pageSetup scale="70" orientation="landscape" horizontalDpi="360" verticalDpi="36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G154"/>
  <sheetViews>
    <sheetView workbookViewId="0">
      <selection activeCell="E7" sqref="A7:E7"/>
    </sheetView>
  </sheetViews>
  <sheetFormatPr baseColWidth="10" defaultColWidth="10.33203125" defaultRowHeight="13.2" x14ac:dyDescent="0.25"/>
  <cols>
    <col min="1" max="1" width="47.109375" style="500" customWidth="1"/>
    <col min="2" max="2" width="21" style="500" bestFit="1" customWidth="1"/>
    <col min="3" max="3" width="22.33203125" style="500" hidden="1" customWidth="1"/>
    <col min="4" max="5" width="22.33203125" style="500" customWidth="1"/>
    <col min="6" max="6" width="25" style="500" customWidth="1"/>
    <col min="7" max="7" width="10.33203125" style="500" customWidth="1"/>
    <col min="8" max="16384" width="10.33203125" style="500"/>
  </cols>
  <sheetData>
    <row r="1" spans="1:7" ht="13.8" thickBot="1" x14ac:dyDescent="0.3">
      <c r="A1" s="1934" t="s">
        <v>0</v>
      </c>
      <c r="B1" s="1934"/>
      <c r="C1" s="1934"/>
      <c r="D1" s="1934"/>
      <c r="E1" s="1934"/>
    </row>
    <row r="2" spans="1:7" ht="15.6" x14ac:dyDescent="0.3">
      <c r="A2" s="1935" t="s">
        <v>920</v>
      </c>
      <c r="B2" s="1936"/>
      <c r="C2" s="1936"/>
      <c r="D2" s="1936"/>
      <c r="E2" s="1937"/>
    </row>
    <row r="3" spans="1:7" ht="15.6" x14ac:dyDescent="0.3">
      <c r="A3" s="1938" t="s">
        <v>919</v>
      </c>
      <c r="B3" s="1939"/>
      <c r="C3" s="1939"/>
      <c r="D3" s="1939"/>
      <c r="E3" s="1940"/>
    </row>
    <row r="4" spans="1:7" ht="15.6" x14ac:dyDescent="0.3">
      <c r="A4" s="1938" t="s">
        <v>918</v>
      </c>
      <c r="B4" s="1939"/>
      <c r="C4" s="1939"/>
      <c r="D4" s="1939"/>
      <c r="E4" s="1940"/>
    </row>
    <row r="5" spans="1:7" ht="15.6" x14ac:dyDescent="0.3">
      <c r="A5" s="1938" t="s">
        <v>917</v>
      </c>
      <c r="B5" s="1939"/>
      <c r="C5" s="1939"/>
      <c r="D5" s="1939"/>
      <c r="E5" s="1940"/>
    </row>
    <row r="6" spans="1:7" ht="13.8" thickBot="1" x14ac:dyDescent="0.3">
      <c r="A6" s="1414"/>
      <c r="B6" s="1415"/>
      <c r="C6" s="1415"/>
      <c r="D6" s="1415"/>
      <c r="E6" s="1417"/>
    </row>
    <row r="7" spans="1:7" ht="54" thickBot="1" x14ac:dyDescent="0.35">
      <c r="A7" s="1395" t="s">
        <v>0</v>
      </c>
      <c r="B7" s="1424" t="s">
        <v>916</v>
      </c>
      <c r="C7" s="1419">
        <v>2008</v>
      </c>
      <c r="D7" s="1425" t="s">
        <v>915</v>
      </c>
      <c r="E7" s="1426" t="s">
        <v>914</v>
      </c>
    </row>
    <row r="8" spans="1:7" ht="13.8" x14ac:dyDescent="0.25">
      <c r="A8" s="464"/>
      <c r="B8" s="552"/>
      <c r="C8" s="551"/>
      <c r="D8" s="551"/>
      <c r="E8" s="550"/>
    </row>
    <row r="9" spans="1:7" x14ac:dyDescent="0.25">
      <c r="A9" s="465" t="s">
        <v>823</v>
      </c>
      <c r="B9" s="549"/>
      <c r="C9" s="466"/>
      <c r="D9" s="466"/>
      <c r="E9" s="548"/>
    </row>
    <row r="10" spans="1:7" x14ac:dyDescent="0.25">
      <c r="A10" s="467"/>
      <c r="B10" s="547"/>
      <c r="C10" s="546"/>
      <c r="D10" s="546"/>
      <c r="E10" s="545"/>
    </row>
    <row r="11" spans="1:7" x14ac:dyDescent="0.25">
      <c r="A11" s="469" t="s">
        <v>824</v>
      </c>
      <c r="B11" s="543">
        <f>SUM(B12)</f>
        <v>19572167.504000001</v>
      </c>
      <c r="C11" s="543"/>
      <c r="D11" s="543">
        <f>SUM(D12)</f>
        <v>16876347.805820003</v>
      </c>
      <c r="E11" s="544">
        <f>SUM(E12)</f>
        <v>15282211.03703</v>
      </c>
      <c r="F11" s="498"/>
    </row>
    <row r="12" spans="1:7" x14ac:dyDescent="0.25">
      <c r="A12" s="473" t="s">
        <v>825</v>
      </c>
      <c r="B12" s="542">
        <f>SUM(B14+B30+B70+B79)</f>
        <v>19572167.504000001</v>
      </c>
      <c r="C12" s="543"/>
      <c r="D12" s="542">
        <f>SUM(D14+D30+D70+D79)</f>
        <v>16876347.805820003</v>
      </c>
      <c r="E12" s="541">
        <f>SUM(E14+E15+E30+E70+E79)</f>
        <v>15282211.03703</v>
      </c>
      <c r="F12" s="498"/>
      <c r="G12" s="500" t="s">
        <v>0</v>
      </c>
    </row>
    <row r="13" spans="1:7" s="536" customFormat="1" ht="21" customHeight="1" x14ac:dyDescent="0.25">
      <c r="A13" s="467"/>
      <c r="B13" s="539"/>
      <c r="C13" s="540"/>
      <c r="D13" s="539"/>
      <c r="E13" s="538"/>
    </row>
    <row r="14" spans="1:7" x14ac:dyDescent="0.25">
      <c r="A14" s="467" t="s">
        <v>826</v>
      </c>
      <c r="B14" s="512">
        <f>3040322530/1000</f>
        <v>3040322.53</v>
      </c>
      <c r="C14" s="537"/>
      <c r="D14" s="512">
        <f>((1032844180.18/6)*12/1000)</f>
        <v>2065688.3603599998</v>
      </c>
      <c r="E14" s="511">
        <v>2075278</v>
      </c>
    </row>
    <row r="15" spans="1:7" x14ac:dyDescent="0.25">
      <c r="A15" s="483" t="s">
        <v>913</v>
      </c>
      <c r="B15" s="523"/>
      <c r="C15" s="524"/>
      <c r="D15" s="523"/>
      <c r="E15" s="522">
        <v>0</v>
      </c>
    </row>
    <row r="16" spans="1:7" hidden="1" x14ac:dyDescent="0.25">
      <c r="A16" s="467"/>
      <c r="B16" s="523"/>
      <c r="C16" s="524"/>
      <c r="D16" s="523"/>
      <c r="E16" s="522"/>
    </row>
    <row r="17" spans="1:5" ht="13.5" hidden="1" customHeight="1" x14ac:dyDescent="0.25">
      <c r="A17" s="467" t="s">
        <v>912</v>
      </c>
      <c r="B17" s="523"/>
      <c r="C17" s="524"/>
      <c r="D17" s="523"/>
      <c r="E17" s="522"/>
    </row>
    <row r="18" spans="1:5" hidden="1" x14ac:dyDescent="0.25">
      <c r="A18" s="467"/>
      <c r="B18" s="523"/>
      <c r="C18" s="524"/>
      <c r="D18" s="523"/>
      <c r="E18" s="522"/>
    </row>
    <row r="19" spans="1:5" s="536" customFormat="1" hidden="1" x14ac:dyDescent="0.25">
      <c r="A19" s="467" t="s">
        <v>911</v>
      </c>
      <c r="B19" s="523"/>
      <c r="C19" s="524"/>
      <c r="D19" s="523"/>
      <c r="E19" s="522"/>
    </row>
    <row r="20" spans="1:5" hidden="1" x14ac:dyDescent="0.25">
      <c r="A20" s="481" t="s">
        <v>910</v>
      </c>
      <c r="B20" s="526"/>
      <c r="C20" s="527"/>
      <c r="D20" s="526"/>
      <c r="E20" s="525"/>
    </row>
    <row r="21" spans="1:5" hidden="1" x14ac:dyDescent="0.25">
      <c r="A21" s="483" t="s">
        <v>909</v>
      </c>
      <c r="B21" s="533"/>
      <c r="C21" s="532"/>
      <c r="D21" s="533"/>
      <c r="E21" s="535"/>
    </row>
    <row r="22" spans="1:5" hidden="1" x14ac:dyDescent="0.25">
      <c r="A22" s="467"/>
      <c r="B22" s="523"/>
      <c r="C22" s="524"/>
      <c r="D22" s="523"/>
      <c r="E22" s="522"/>
    </row>
    <row r="23" spans="1:5" hidden="1" x14ac:dyDescent="0.25">
      <c r="A23" s="467" t="s">
        <v>908</v>
      </c>
      <c r="B23" s="523"/>
      <c r="C23" s="524"/>
      <c r="D23" s="523"/>
      <c r="E23" s="522"/>
    </row>
    <row r="24" spans="1:5" hidden="1" x14ac:dyDescent="0.25">
      <c r="A24" s="483" t="s">
        <v>907</v>
      </c>
      <c r="B24" s="533"/>
      <c r="C24" s="532"/>
      <c r="D24" s="533"/>
      <c r="E24" s="535"/>
    </row>
    <row r="25" spans="1:5" hidden="1" x14ac:dyDescent="0.25">
      <c r="A25" s="467" t="s">
        <v>906</v>
      </c>
      <c r="B25" s="523"/>
      <c r="C25" s="524"/>
      <c r="D25" s="523"/>
      <c r="E25" s="522"/>
    </row>
    <row r="26" spans="1:5" hidden="1" x14ac:dyDescent="0.25">
      <c r="A26" s="467"/>
      <c r="B26" s="523"/>
      <c r="C26" s="524"/>
      <c r="D26" s="523"/>
      <c r="E26" s="522"/>
    </row>
    <row r="27" spans="1:5" hidden="1" x14ac:dyDescent="0.25">
      <c r="A27" s="467" t="s">
        <v>905</v>
      </c>
      <c r="B27" s="523"/>
      <c r="C27" s="524"/>
      <c r="D27" s="523"/>
      <c r="E27" s="522"/>
    </row>
    <row r="28" spans="1:5" hidden="1" x14ac:dyDescent="0.25">
      <c r="A28" s="467" t="s">
        <v>904</v>
      </c>
      <c r="B28" s="523"/>
      <c r="C28" s="524"/>
      <c r="D28" s="523"/>
      <c r="E28" s="522"/>
    </row>
    <row r="29" spans="1:5" hidden="1" x14ac:dyDescent="0.25">
      <c r="A29" s="481" t="s">
        <v>903</v>
      </c>
      <c r="B29" s="526"/>
      <c r="C29" s="527"/>
      <c r="D29" s="526"/>
      <c r="E29" s="525"/>
    </row>
    <row r="30" spans="1:5" x14ac:dyDescent="0.25">
      <c r="A30" s="467" t="s">
        <v>827</v>
      </c>
      <c r="B30" s="520">
        <f>SUM(B32+B33+B67)</f>
        <v>14996603.342</v>
      </c>
      <c r="C30" s="521"/>
      <c r="D30" s="520">
        <f>SUM(D32+D33+D67)</f>
        <v>12185336.259800002</v>
      </c>
      <c r="E30" s="519">
        <f>SUM(E32+E33+E67)</f>
        <v>10641113.060000001</v>
      </c>
    </row>
    <row r="31" spans="1:5" x14ac:dyDescent="0.25">
      <c r="A31" s="479"/>
      <c r="B31" s="523">
        <f>'[1]Compar.Ing.2009-11'!B18</f>
        <v>0</v>
      </c>
      <c r="C31" s="524"/>
      <c r="D31" s="523"/>
      <c r="E31" s="522"/>
    </row>
    <row r="32" spans="1:5" x14ac:dyDescent="0.25">
      <c r="A32" s="467" t="s">
        <v>902</v>
      </c>
      <c r="B32" s="523">
        <f>(7226261433/1000)</f>
        <v>7226261.4330000002</v>
      </c>
      <c r="C32" s="524"/>
      <c r="D32" s="512">
        <f>(2602878340.01/6)*12/1000</f>
        <v>5205756.6800200008</v>
      </c>
      <c r="E32" s="511">
        <v>4156901.47</v>
      </c>
    </row>
    <row r="33" spans="1:5" x14ac:dyDescent="0.25">
      <c r="A33" s="467" t="s">
        <v>829</v>
      </c>
      <c r="B33" s="523">
        <f>(7511661908/1000)</f>
        <v>7511661.9079999998</v>
      </c>
      <c r="C33" s="524"/>
      <c r="D33" s="512">
        <f>(3488796872.61/6)*12/1000</f>
        <v>6977593.7452200009</v>
      </c>
      <c r="E33" s="511">
        <v>6484740.6900000004</v>
      </c>
    </row>
    <row r="34" spans="1:5" hidden="1" x14ac:dyDescent="0.25">
      <c r="A34" s="481" t="s">
        <v>830</v>
      </c>
      <c r="B34" s="526"/>
      <c r="C34" s="527"/>
      <c r="D34" s="512">
        <f t="shared" ref="D34:D66" si="0">(3734803.6/8)*12</f>
        <v>5602205.4000000004</v>
      </c>
      <c r="E34" s="511"/>
    </row>
    <row r="35" spans="1:5" hidden="1" x14ac:dyDescent="0.25">
      <c r="A35" s="483" t="s">
        <v>831</v>
      </c>
      <c r="B35" s="533"/>
      <c r="C35" s="532"/>
      <c r="D35" s="512">
        <f t="shared" si="0"/>
        <v>5602205.4000000004</v>
      </c>
      <c r="E35" s="511"/>
    </row>
    <row r="36" spans="1:5" hidden="1" x14ac:dyDescent="0.25">
      <c r="A36" s="483" t="s">
        <v>408</v>
      </c>
      <c r="B36" s="533"/>
      <c r="C36" s="532"/>
      <c r="D36" s="512">
        <f t="shared" si="0"/>
        <v>5602205.4000000004</v>
      </c>
      <c r="E36" s="511"/>
    </row>
    <row r="37" spans="1:5" hidden="1" x14ac:dyDescent="0.25">
      <c r="A37" s="483" t="s">
        <v>409</v>
      </c>
      <c r="B37" s="533"/>
      <c r="C37" s="532"/>
      <c r="D37" s="512">
        <f t="shared" si="0"/>
        <v>5602205.4000000004</v>
      </c>
      <c r="E37" s="511"/>
    </row>
    <row r="38" spans="1:5" hidden="1" x14ac:dyDescent="0.25">
      <c r="A38" s="483" t="s">
        <v>832</v>
      </c>
      <c r="B38" s="533"/>
      <c r="C38" s="532"/>
      <c r="D38" s="512">
        <f t="shared" si="0"/>
        <v>5602205.4000000004</v>
      </c>
      <c r="E38" s="511"/>
    </row>
    <row r="39" spans="1:5" hidden="1" x14ac:dyDescent="0.25">
      <c r="A39" s="483" t="s">
        <v>410</v>
      </c>
      <c r="B39" s="533"/>
      <c r="C39" s="532"/>
      <c r="D39" s="512">
        <f t="shared" si="0"/>
        <v>5602205.4000000004</v>
      </c>
      <c r="E39" s="511"/>
    </row>
    <row r="40" spans="1:5" hidden="1" x14ac:dyDescent="0.25">
      <c r="A40" s="467"/>
      <c r="B40" s="523"/>
      <c r="C40" s="524"/>
      <c r="D40" s="512">
        <f t="shared" si="0"/>
        <v>5602205.4000000004</v>
      </c>
      <c r="E40" s="511"/>
    </row>
    <row r="41" spans="1:5" hidden="1" x14ac:dyDescent="0.25">
      <c r="A41" s="467" t="s">
        <v>833</v>
      </c>
      <c r="B41" s="523"/>
      <c r="C41" s="524"/>
      <c r="D41" s="512">
        <f t="shared" si="0"/>
        <v>5602205.4000000004</v>
      </c>
      <c r="E41" s="511"/>
    </row>
    <row r="42" spans="1:5" hidden="1" x14ac:dyDescent="0.25">
      <c r="A42" s="481" t="s">
        <v>834</v>
      </c>
      <c r="B42" s="526"/>
      <c r="C42" s="527"/>
      <c r="D42" s="512">
        <f t="shared" si="0"/>
        <v>5602205.4000000004</v>
      </c>
      <c r="E42" s="511"/>
    </row>
    <row r="43" spans="1:5" hidden="1" x14ac:dyDescent="0.25">
      <c r="A43" s="481" t="s">
        <v>835</v>
      </c>
      <c r="B43" s="526"/>
      <c r="C43" s="527"/>
      <c r="D43" s="512">
        <f t="shared" si="0"/>
        <v>5602205.4000000004</v>
      </c>
      <c r="E43" s="511"/>
    </row>
    <row r="44" spans="1:5" hidden="1" x14ac:dyDescent="0.25">
      <c r="A44" s="481" t="s">
        <v>836</v>
      </c>
      <c r="B44" s="526"/>
      <c r="C44" s="527"/>
      <c r="D44" s="512">
        <f t="shared" si="0"/>
        <v>5602205.4000000004</v>
      </c>
      <c r="E44" s="511"/>
    </row>
    <row r="45" spans="1:5" hidden="1" x14ac:dyDescent="0.25">
      <c r="A45" s="481" t="s">
        <v>837</v>
      </c>
      <c r="B45" s="526"/>
      <c r="C45" s="527"/>
      <c r="D45" s="512">
        <f t="shared" si="0"/>
        <v>5602205.4000000004</v>
      </c>
      <c r="E45" s="511"/>
    </row>
    <row r="46" spans="1:5" hidden="1" x14ac:dyDescent="0.25">
      <c r="A46" s="481" t="s">
        <v>413</v>
      </c>
      <c r="B46" s="526"/>
      <c r="C46" s="527"/>
      <c r="D46" s="512">
        <f t="shared" si="0"/>
        <v>5602205.4000000004</v>
      </c>
      <c r="E46" s="511"/>
    </row>
    <row r="47" spans="1:5" hidden="1" x14ac:dyDescent="0.25">
      <c r="A47" s="481" t="s">
        <v>838</v>
      </c>
      <c r="B47" s="526"/>
      <c r="C47" s="527"/>
      <c r="D47" s="512">
        <f t="shared" si="0"/>
        <v>5602205.4000000004</v>
      </c>
      <c r="E47" s="511"/>
    </row>
    <row r="48" spans="1:5" hidden="1" x14ac:dyDescent="0.25">
      <c r="A48" s="483" t="s">
        <v>839</v>
      </c>
      <c r="B48" s="533"/>
      <c r="C48" s="532"/>
      <c r="D48" s="512">
        <f t="shared" si="0"/>
        <v>5602205.4000000004</v>
      </c>
      <c r="E48" s="511"/>
    </row>
    <row r="49" spans="1:5" hidden="1" x14ac:dyDescent="0.25">
      <c r="A49" s="481" t="s">
        <v>840</v>
      </c>
      <c r="B49" s="526"/>
      <c r="C49" s="527"/>
      <c r="D49" s="512">
        <f t="shared" si="0"/>
        <v>5602205.4000000004</v>
      </c>
      <c r="E49" s="511"/>
    </row>
    <row r="50" spans="1:5" hidden="1" x14ac:dyDescent="0.25">
      <c r="A50" s="481" t="s">
        <v>841</v>
      </c>
      <c r="B50" s="526"/>
      <c r="C50" s="527"/>
      <c r="D50" s="512">
        <f t="shared" si="0"/>
        <v>5602205.4000000004</v>
      </c>
      <c r="E50" s="511"/>
    </row>
    <row r="51" spans="1:5" hidden="1" x14ac:dyDescent="0.25">
      <c r="A51" s="481" t="s">
        <v>842</v>
      </c>
      <c r="B51" s="526"/>
      <c r="C51" s="527"/>
      <c r="D51" s="512">
        <f t="shared" si="0"/>
        <v>5602205.4000000004</v>
      </c>
      <c r="E51" s="511"/>
    </row>
    <row r="52" spans="1:5" hidden="1" x14ac:dyDescent="0.25">
      <c r="A52" s="481" t="s">
        <v>843</v>
      </c>
      <c r="B52" s="526"/>
      <c r="C52" s="527"/>
      <c r="D52" s="512">
        <f t="shared" si="0"/>
        <v>5602205.4000000004</v>
      </c>
      <c r="E52" s="511"/>
    </row>
    <row r="53" spans="1:5" hidden="1" x14ac:dyDescent="0.25">
      <c r="A53" s="467" t="s">
        <v>844</v>
      </c>
      <c r="B53" s="523"/>
      <c r="C53" s="524"/>
      <c r="D53" s="512">
        <f t="shared" si="0"/>
        <v>5602205.4000000004</v>
      </c>
      <c r="E53" s="511"/>
    </row>
    <row r="54" spans="1:5" hidden="1" x14ac:dyDescent="0.25">
      <c r="A54" s="467" t="s">
        <v>845</v>
      </c>
      <c r="B54" s="523"/>
      <c r="C54" s="524"/>
      <c r="D54" s="512">
        <f t="shared" si="0"/>
        <v>5602205.4000000004</v>
      </c>
      <c r="E54" s="511"/>
    </row>
    <row r="55" spans="1:5" hidden="1" x14ac:dyDescent="0.25">
      <c r="A55" s="467" t="s">
        <v>846</v>
      </c>
      <c r="B55" s="523"/>
      <c r="C55" s="524"/>
      <c r="D55" s="512">
        <f t="shared" si="0"/>
        <v>5602205.4000000004</v>
      </c>
      <c r="E55" s="511"/>
    </row>
    <row r="56" spans="1:5" hidden="1" x14ac:dyDescent="0.25">
      <c r="A56" s="467" t="s">
        <v>847</v>
      </c>
      <c r="B56" s="523"/>
      <c r="C56" s="524"/>
      <c r="D56" s="512">
        <f t="shared" si="0"/>
        <v>5602205.4000000004</v>
      </c>
      <c r="E56" s="511"/>
    </row>
    <row r="57" spans="1:5" hidden="1" x14ac:dyDescent="0.25">
      <c r="A57" s="467" t="s">
        <v>848</v>
      </c>
      <c r="B57" s="523"/>
      <c r="C57" s="524"/>
      <c r="D57" s="512">
        <f t="shared" si="0"/>
        <v>5602205.4000000004</v>
      </c>
      <c r="E57" s="511"/>
    </row>
    <row r="58" spans="1:5" hidden="1" x14ac:dyDescent="0.25">
      <c r="A58" s="467" t="s">
        <v>849</v>
      </c>
      <c r="B58" s="523"/>
      <c r="C58" s="524"/>
      <c r="D58" s="512">
        <f t="shared" si="0"/>
        <v>5602205.4000000004</v>
      </c>
      <c r="E58" s="511"/>
    </row>
    <row r="59" spans="1:5" hidden="1" x14ac:dyDescent="0.25">
      <c r="A59" s="467"/>
      <c r="B59" s="523"/>
      <c r="C59" s="524"/>
      <c r="D59" s="512">
        <f t="shared" si="0"/>
        <v>5602205.4000000004</v>
      </c>
      <c r="E59" s="511"/>
    </row>
    <row r="60" spans="1:5" hidden="1" x14ac:dyDescent="0.25">
      <c r="A60" s="483" t="s">
        <v>850</v>
      </c>
      <c r="B60" s="498" t="e">
        <f>'[1]PRESINGRESOS  2011 MILES ¢'!#REF!</f>
        <v>#REF!</v>
      </c>
      <c r="C60" s="498"/>
      <c r="D60" s="512">
        <f t="shared" si="0"/>
        <v>5602205.4000000004</v>
      </c>
      <c r="E60" s="534" t="e">
        <f>'[1]PRESINGRESOS  2011 MILES ¢'!#REF!</f>
        <v>#REF!</v>
      </c>
    </row>
    <row r="61" spans="1:5" hidden="1" x14ac:dyDescent="0.25">
      <c r="A61" s="483" t="s">
        <v>831</v>
      </c>
      <c r="B61" s="533"/>
      <c r="C61" s="532"/>
      <c r="D61" s="512">
        <f t="shared" si="0"/>
        <v>5602205.4000000004</v>
      </c>
      <c r="E61" s="511"/>
    </row>
    <row r="62" spans="1:5" hidden="1" x14ac:dyDescent="0.25">
      <c r="A62" s="483" t="s">
        <v>408</v>
      </c>
      <c r="B62" s="533"/>
      <c r="C62" s="532"/>
      <c r="D62" s="512">
        <f t="shared" si="0"/>
        <v>5602205.4000000004</v>
      </c>
      <c r="E62" s="511"/>
    </row>
    <row r="63" spans="1:5" hidden="1" x14ac:dyDescent="0.25">
      <c r="A63" s="483" t="s">
        <v>409</v>
      </c>
      <c r="B63" s="533"/>
      <c r="C63" s="532"/>
      <c r="D63" s="512">
        <f t="shared" si="0"/>
        <v>5602205.4000000004</v>
      </c>
      <c r="E63" s="511"/>
    </row>
    <row r="64" spans="1:5" hidden="1" x14ac:dyDescent="0.25">
      <c r="A64" s="483" t="s">
        <v>832</v>
      </c>
      <c r="B64" s="533"/>
      <c r="C64" s="532"/>
      <c r="D64" s="512">
        <f t="shared" si="0"/>
        <v>5602205.4000000004</v>
      </c>
      <c r="E64" s="511"/>
    </row>
    <row r="65" spans="1:5" hidden="1" x14ac:dyDescent="0.25">
      <c r="A65" s="483" t="s">
        <v>410</v>
      </c>
      <c r="B65" s="533"/>
      <c r="C65" s="532"/>
      <c r="D65" s="512">
        <f t="shared" si="0"/>
        <v>5602205.4000000004</v>
      </c>
      <c r="E65" s="511"/>
    </row>
    <row r="66" spans="1:5" hidden="1" x14ac:dyDescent="0.25">
      <c r="A66" s="481"/>
      <c r="B66" s="526"/>
      <c r="C66" s="527"/>
      <c r="D66" s="512">
        <f t="shared" si="0"/>
        <v>5602205.4000000004</v>
      </c>
      <c r="E66" s="511"/>
    </row>
    <row r="67" spans="1:5" x14ac:dyDescent="0.25">
      <c r="A67" s="467" t="s">
        <v>851</v>
      </c>
      <c r="B67" s="523">
        <f>(258680001/1000)</f>
        <v>258680.00099999999</v>
      </c>
      <c r="C67" s="524"/>
      <c r="D67" s="512">
        <f>(992917.28/6)*12/1000</f>
        <v>1985.83456</v>
      </c>
      <c r="E67" s="511">
        <v>-529.1</v>
      </c>
    </row>
    <row r="68" spans="1:5" x14ac:dyDescent="0.25">
      <c r="A68" s="473"/>
      <c r="B68" s="520"/>
      <c r="C68" s="521"/>
      <c r="D68" s="520"/>
      <c r="E68" s="519"/>
    </row>
    <row r="69" spans="1:5" x14ac:dyDescent="0.25">
      <c r="A69" s="473"/>
      <c r="B69" s="520"/>
      <c r="C69" s="521"/>
      <c r="D69" s="520"/>
      <c r="E69" s="519"/>
    </row>
    <row r="70" spans="1:5" x14ac:dyDescent="0.25">
      <c r="A70" s="485" t="s">
        <v>852</v>
      </c>
      <c r="B70" s="533">
        <f>1418226671/1000</f>
        <v>1418226.6710000001</v>
      </c>
      <c r="C70" s="532"/>
      <c r="D70" s="512">
        <f>(1012661592.83/6)*12/1000</f>
        <v>2025323.1856600004</v>
      </c>
      <c r="E70" s="511">
        <f>1560219088.09/1000</f>
        <v>1560219.08809</v>
      </c>
    </row>
    <row r="71" spans="1:5" ht="33" hidden="1" customHeight="1" x14ac:dyDescent="0.25">
      <c r="A71" s="467"/>
      <c r="B71" s="523"/>
      <c r="C71" s="524"/>
      <c r="D71" s="523"/>
      <c r="E71" s="522"/>
    </row>
    <row r="72" spans="1:5" hidden="1" x14ac:dyDescent="0.25">
      <c r="A72" s="481" t="s">
        <v>901</v>
      </c>
      <c r="B72" s="526"/>
      <c r="C72" s="527"/>
      <c r="D72" s="526"/>
      <c r="E72" s="525"/>
    </row>
    <row r="73" spans="1:5" hidden="1" x14ac:dyDescent="0.25">
      <c r="A73" s="531"/>
      <c r="B73" s="526"/>
      <c r="C73" s="527"/>
      <c r="D73" s="526"/>
      <c r="E73" s="525"/>
    </row>
    <row r="74" spans="1:5" hidden="1" x14ac:dyDescent="0.25">
      <c r="A74" s="481"/>
      <c r="B74" s="526"/>
      <c r="C74" s="527"/>
      <c r="D74" s="526"/>
      <c r="E74" s="525"/>
    </row>
    <row r="75" spans="1:5" hidden="1" x14ac:dyDescent="0.25">
      <c r="A75" s="467"/>
      <c r="B75" s="523"/>
      <c r="C75" s="524"/>
      <c r="D75" s="523"/>
      <c r="E75" s="522"/>
    </row>
    <row r="76" spans="1:5" hidden="1" x14ac:dyDescent="0.25">
      <c r="A76" s="467"/>
      <c r="B76" s="523"/>
      <c r="C76" s="524"/>
      <c r="D76" s="523"/>
      <c r="E76" s="522"/>
    </row>
    <row r="77" spans="1:5" hidden="1" x14ac:dyDescent="0.25">
      <c r="A77" s="467" t="s">
        <v>853</v>
      </c>
      <c r="B77" s="523"/>
      <c r="C77" s="524"/>
      <c r="D77" s="523"/>
      <c r="E77" s="522"/>
    </row>
    <row r="78" spans="1:5" x14ac:dyDescent="0.25">
      <c r="A78" s="467"/>
      <c r="B78" s="523"/>
      <c r="C78" s="524"/>
      <c r="D78" s="523"/>
      <c r="E78" s="522"/>
    </row>
    <row r="79" spans="1:5" x14ac:dyDescent="0.25">
      <c r="A79" s="473" t="s">
        <v>854</v>
      </c>
      <c r="B79" s="520">
        <f>SUM(B80:B82)</f>
        <v>117014.961</v>
      </c>
      <c r="C79" s="524"/>
      <c r="D79" s="520">
        <f>SUM(D80:D82)</f>
        <v>600000</v>
      </c>
      <c r="E79" s="519">
        <f>SUM(E80:E82)</f>
        <v>1005600.88894</v>
      </c>
    </row>
    <row r="80" spans="1:5" x14ac:dyDescent="0.25">
      <c r="A80" s="467" t="s">
        <v>855</v>
      </c>
      <c r="B80" s="523">
        <v>0</v>
      </c>
      <c r="C80" s="524"/>
      <c r="D80" s="523">
        <f>(300000000/6)*12/1000</f>
        <v>600000</v>
      </c>
      <c r="E80" s="522">
        <v>1000000</v>
      </c>
    </row>
    <row r="81" spans="1:7" x14ac:dyDescent="0.25">
      <c r="A81" s="467" t="s">
        <v>856</v>
      </c>
      <c r="B81" s="523"/>
      <c r="C81" s="524"/>
      <c r="D81" s="523"/>
      <c r="E81" s="522">
        <f>0/1000</f>
        <v>0</v>
      </c>
    </row>
    <row r="82" spans="1:7" x14ac:dyDescent="0.25">
      <c r="A82" s="467" t="s">
        <v>900</v>
      </c>
      <c r="B82" s="523">
        <f>+' Comparativo de Ingresos Reales'!B83</f>
        <v>117014.961</v>
      </c>
      <c r="C82" s="524"/>
      <c r="D82" s="512">
        <f>(0/6)*12/1000</f>
        <v>0</v>
      </c>
      <c r="E82" s="511">
        <f>5600888.94/1000</f>
        <v>5600.8889400000007</v>
      </c>
    </row>
    <row r="83" spans="1:7" x14ac:dyDescent="0.25">
      <c r="A83" s="467"/>
      <c r="B83" s="523"/>
      <c r="C83" s="524"/>
      <c r="D83" s="523"/>
      <c r="E83" s="522"/>
    </row>
    <row r="84" spans="1:7" x14ac:dyDescent="0.25">
      <c r="A84" s="467"/>
      <c r="B84" s="523"/>
      <c r="C84" s="524"/>
      <c r="D84" s="523"/>
      <c r="E84" s="522"/>
    </row>
    <row r="85" spans="1:7" x14ac:dyDescent="0.25">
      <c r="A85" s="488" t="s">
        <v>858</v>
      </c>
      <c r="B85" s="530">
        <f>SUM(B87+B95+B124)</f>
        <v>21768629.677000001</v>
      </c>
      <c r="C85" s="530"/>
      <c r="D85" s="530">
        <f>SUM(D87+D95+D124)</f>
        <v>19638816.149860002</v>
      </c>
      <c r="E85" s="529">
        <f>SUM(E87+E95+E124)</f>
        <v>17221543.020000003</v>
      </c>
      <c r="F85" s="500" t="s">
        <v>0</v>
      </c>
      <c r="G85" s="528" t="s">
        <v>0</v>
      </c>
    </row>
    <row r="86" spans="1:7" x14ac:dyDescent="0.25">
      <c r="A86" s="467"/>
      <c r="B86" s="523"/>
      <c r="C86" s="524"/>
      <c r="D86" s="523"/>
      <c r="E86" s="522"/>
    </row>
    <row r="87" spans="1:7" x14ac:dyDescent="0.25">
      <c r="A87" s="467" t="s">
        <v>859</v>
      </c>
      <c r="B87" s="523">
        <f>1143717011/1000</f>
        <v>1143717.0109999999</v>
      </c>
      <c r="C87" s="524"/>
      <c r="D87" s="512">
        <f>(923098325.26/6)*12/1000</f>
        <v>1846196.6505199999</v>
      </c>
      <c r="E87" s="511">
        <v>469970.34</v>
      </c>
    </row>
    <row r="88" spans="1:7" hidden="1" x14ac:dyDescent="0.25">
      <c r="A88" s="467" t="s">
        <v>860</v>
      </c>
      <c r="B88" s="523"/>
      <c r="C88" s="524"/>
      <c r="D88" s="523"/>
      <c r="E88" s="522"/>
    </row>
    <row r="89" spans="1:7" hidden="1" x14ac:dyDescent="0.25">
      <c r="A89" s="467" t="s">
        <v>861</v>
      </c>
      <c r="B89" s="523"/>
      <c r="C89" s="524"/>
      <c r="D89" s="523"/>
      <c r="E89" s="522"/>
    </row>
    <row r="90" spans="1:7" hidden="1" x14ac:dyDescent="0.25">
      <c r="A90" s="467"/>
      <c r="B90" s="523"/>
      <c r="C90" s="524"/>
      <c r="D90" s="523"/>
      <c r="E90" s="522"/>
    </row>
    <row r="91" spans="1:7" hidden="1" x14ac:dyDescent="0.25">
      <c r="A91" s="467" t="s">
        <v>862</v>
      </c>
      <c r="B91" s="523"/>
      <c r="C91" s="524"/>
      <c r="D91" s="523"/>
      <c r="E91" s="522"/>
    </row>
    <row r="92" spans="1:7" hidden="1" x14ac:dyDescent="0.25">
      <c r="A92" s="467" t="s">
        <v>863</v>
      </c>
      <c r="B92" s="523"/>
      <c r="C92" s="524"/>
      <c r="D92" s="523"/>
      <c r="E92" s="522"/>
    </row>
    <row r="93" spans="1:7" hidden="1" x14ac:dyDescent="0.25">
      <c r="A93" s="490" t="s">
        <v>527</v>
      </c>
      <c r="B93" s="517"/>
      <c r="C93" s="518"/>
      <c r="D93" s="517"/>
      <c r="E93" s="516"/>
    </row>
    <row r="94" spans="1:7" x14ac:dyDescent="0.25">
      <c r="A94" s="467"/>
      <c r="B94" s="523"/>
      <c r="C94" s="524"/>
      <c r="D94" s="523"/>
      <c r="E94" s="522"/>
    </row>
    <row r="95" spans="1:7" x14ac:dyDescent="0.25">
      <c r="A95" s="467" t="s">
        <v>864</v>
      </c>
      <c r="B95" s="523">
        <f>16129202018/1000</f>
        <v>16129202.017999999</v>
      </c>
      <c r="C95" s="524"/>
      <c r="D95" s="512">
        <f>(8896309749.67/6)*12/1000</f>
        <v>17792619.499340001</v>
      </c>
      <c r="E95" s="511">
        <v>16709208.51</v>
      </c>
    </row>
    <row r="96" spans="1:7" hidden="1" x14ac:dyDescent="0.25">
      <c r="A96" s="467" t="s">
        <v>865</v>
      </c>
      <c r="B96" s="523"/>
      <c r="C96" s="524"/>
      <c r="D96" s="523"/>
      <c r="E96" s="522"/>
    </row>
    <row r="97" spans="1:5" hidden="1" x14ac:dyDescent="0.25">
      <c r="A97" s="481" t="s">
        <v>866</v>
      </c>
      <c r="B97" s="526"/>
      <c r="C97" s="527"/>
      <c r="D97" s="526"/>
      <c r="E97" s="525"/>
    </row>
    <row r="98" spans="1:5" hidden="1" x14ac:dyDescent="0.25">
      <c r="A98" s="467" t="s">
        <v>867</v>
      </c>
      <c r="B98" s="523"/>
      <c r="C98" s="524"/>
      <c r="D98" s="523"/>
      <c r="E98" s="522"/>
    </row>
    <row r="99" spans="1:5" hidden="1" x14ac:dyDescent="0.25">
      <c r="A99" s="481" t="s">
        <v>868</v>
      </c>
      <c r="B99" s="526"/>
      <c r="C99" s="527"/>
      <c r="D99" s="526"/>
      <c r="E99" s="525"/>
    </row>
    <row r="100" spans="1:5" hidden="1" x14ac:dyDescent="0.25">
      <c r="A100" s="481" t="s">
        <v>869</v>
      </c>
      <c r="B100" s="526"/>
      <c r="C100" s="527"/>
      <c r="D100" s="526"/>
      <c r="E100" s="525"/>
    </row>
    <row r="101" spans="1:5" hidden="1" x14ac:dyDescent="0.25">
      <c r="A101" s="467" t="s">
        <v>437</v>
      </c>
      <c r="B101" s="523"/>
      <c r="C101" s="524"/>
      <c r="D101" s="523"/>
      <c r="E101" s="522"/>
    </row>
    <row r="102" spans="1:5" hidden="1" x14ac:dyDescent="0.25">
      <c r="A102" s="467" t="s">
        <v>438</v>
      </c>
      <c r="B102" s="523"/>
      <c r="C102" s="524"/>
      <c r="D102" s="523"/>
      <c r="E102" s="522"/>
    </row>
    <row r="103" spans="1:5" hidden="1" x14ac:dyDescent="0.25">
      <c r="A103" s="481" t="s">
        <v>870</v>
      </c>
      <c r="B103" s="526"/>
      <c r="C103" s="527"/>
      <c r="D103" s="526"/>
      <c r="E103" s="525"/>
    </row>
    <row r="104" spans="1:5" hidden="1" x14ac:dyDescent="0.25">
      <c r="A104" s="481" t="s">
        <v>871</v>
      </c>
      <c r="B104" s="526"/>
      <c r="C104" s="527"/>
      <c r="D104" s="526"/>
      <c r="E104" s="525"/>
    </row>
    <row r="105" spans="1:5" hidden="1" x14ac:dyDescent="0.25">
      <c r="A105" s="467" t="s">
        <v>872</v>
      </c>
      <c r="B105" s="523"/>
      <c r="C105" s="524"/>
      <c r="D105" s="523"/>
      <c r="E105" s="522"/>
    </row>
    <row r="106" spans="1:5" hidden="1" x14ac:dyDescent="0.25">
      <c r="A106" s="467" t="s">
        <v>873</v>
      </c>
      <c r="B106" s="523"/>
      <c r="C106" s="524"/>
      <c r="D106" s="523"/>
      <c r="E106" s="522"/>
    </row>
    <row r="107" spans="1:5" hidden="1" x14ac:dyDescent="0.25">
      <c r="A107" s="467" t="s">
        <v>874</v>
      </c>
      <c r="B107" s="523"/>
      <c r="C107" s="524"/>
      <c r="D107" s="523"/>
      <c r="E107" s="522"/>
    </row>
    <row r="108" spans="1:5" hidden="1" x14ac:dyDescent="0.25">
      <c r="A108" s="481" t="s">
        <v>875</v>
      </c>
      <c r="B108" s="526"/>
      <c r="C108" s="527"/>
      <c r="D108" s="526"/>
      <c r="E108" s="525"/>
    </row>
    <row r="109" spans="1:5" hidden="1" x14ac:dyDescent="0.25">
      <c r="A109" s="467" t="s">
        <v>876</v>
      </c>
      <c r="B109" s="523"/>
      <c r="C109" s="524"/>
      <c r="D109" s="523"/>
      <c r="E109" s="522"/>
    </row>
    <row r="110" spans="1:5" hidden="1" x14ac:dyDescent="0.25">
      <c r="A110" s="467" t="s">
        <v>877</v>
      </c>
      <c r="B110" s="523"/>
      <c r="C110" s="524"/>
      <c r="D110" s="523"/>
      <c r="E110" s="522"/>
    </row>
    <row r="111" spans="1:5" hidden="1" x14ac:dyDescent="0.25">
      <c r="A111" s="467" t="s">
        <v>878</v>
      </c>
      <c r="B111" s="523"/>
      <c r="C111" s="524"/>
      <c r="D111" s="523"/>
      <c r="E111" s="522"/>
    </row>
    <row r="112" spans="1:5" hidden="1" x14ac:dyDescent="0.25">
      <c r="A112" s="467" t="s">
        <v>879</v>
      </c>
      <c r="B112" s="523"/>
      <c r="C112" s="524"/>
      <c r="D112" s="523"/>
      <c r="E112" s="522"/>
    </row>
    <row r="113" spans="1:5" hidden="1" x14ac:dyDescent="0.25">
      <c r="A113" s="467" t="s">
        <v>880</v>
      </c>
      <c r="B113" s="523"/>
      <c r="C113" s="524"/>
      <c r="D113" s="523"/>
      <c r="E113" s="522"/>
    </row>
    <row r="114" spans="1:5" hidden="1" x14ac:dyDescent="0.25">
      <c r="A114" s="467" t="s">
        <v>881</v>
      </c>
      <c r="B114" s="523"/>
      <c r="C114" s="524"/>
      <c r="D114" s="523"/>
      <c r="E114" s="522"/>
    </row>
    <row r="115" spans="1:5" hidden="1" x14ac:dyDescent="0.25">
      <c r="A115" s="467" t="s">
        <v>882</v>
      </c>
      <c r="B115" s="523"/>
      <c r="C115" s="524"/>
      <c r="D115" s="523"/>
      <c r="E115" s="522"/>
    </row>
    <row r="116" spans="1:5" hidden="1" x14ac:dyDescent="0.25">
      <c r="A116" s="467" t="s">
        <v>883</v>
      </c>
      <c r="B116" s="523"/>
      <c r="C116" s="524"/>
      <c r="D116" s="523"/>
      <c r="E116" s="522"/>
    </row>
    <row r="117" spans="1:5" hidden="1" x14ac:dyDescent="0.25">
      <c r="A117" s="467"/>
      <c r="B117" s="523"/>
      <c r="C117" s="524"/>
      <c r="D117" s="523"/>
      <c r="E117" s="522"/>
    </row>
    <row r="118" spans="1:5" hidden="1" x14ac:dyDescent="0.25">
      <c r="A118" s="467"/>
      <c r="B118" s="523"/>
      <c r="C118" s="524"/>
      <c r="D118" s="523"/>
      <c r="E118" s="522"/>
    </row>
    <row r="119" spans="1:5" hidden="1" x14ac:dyDescent="0.25">
      <c r="A119" s="467" t="s">
        <v>884</v>
      </c>
      <c r="B119" s="523">
        <v>0</v>
      </c>
      <c r="C119" s="524"/>
      <c r="D119" s="523">
        <v>0</v>
      </c>
      <c r="E119" s="522">
        <v>0</v>
      </c>
    </row>
    <row r="120" spans="1:5" hidden="1" x14ac:dyDescent="0.25">
      <c r="A120" s="467" t="s">
        <v>885</v>
      </c>
      <c r="B120" s="523"/>
      <c r="C120" s="524"/>
      <c r="D120" s="523"/>
      <c r="E120" s="522"/>
    </row>
    <row r="121" spans="1:5" hidden="1" x14ac:dyDescent="0.25">
      <c r="A121" s="467" t="s">
        <v>886</v>
      </c>
      <c r="B121" s="523"/>
      <c r="C121" s="524"/>
      <c r="D121" s="523"/>
      <c r="E121" s="522"/>
    </row>
    <row r="122" spans="1:5" hidden="1" x14ac:dyDescent="0.25">
      <c r="A122" s="467" t="s">
        <v>887</v>
      </c>
      <c r="B122" s="523"/>
      <c r="C122" s="524"/>
      <c r="D122" s="523"/>
      <c r="E122" s="522"/>
    </row>
    <row r="123" spans="1:5" x14ac:dyDescent="0.25">
      <c r="A123" s="467"/>
      <c r="B123" s="523"/>
      <c r="C123" s="524"/>
      <c r="D123" s="523"/>
      <c r="E123" s="522"/>
    </row>
    <row r="124" spans="1:5" x14ac:dyDescent="0.25">
      <c r="A124" s="473" t="s">
        <v>888</v>
      </c>
      <c r="B124" s="520">
        <f>SUM(B128:B129)</f>
        <v>4495710.648</v>
      </c>
      <c r="C124" s="521"/>
      <c r="D124" s="520">
        <f>SUM(D128)</f>
        <v>0</v>
      </c>
      <c r="E124" s="519">
        <f>E128</f>
        <v>42364.17</v>
      </c>
    </row>
    <row r="125" spans="1:5" hidden="1" x14ac:dyDescent="0.25">
      <c r="A125" s="490" t="s">
        <v>889</v>
      </c>
      <c r="B125" s="517"/>
      <c r="C125" s="518"/>
      <c r="D125" s="517"/>
      <c r="E125" s="516"/>
    </row>
    <row r="126" spans="1:5" hidden="1" x14ac:dyDescent="0.25">
      <c r="A126" s="493" t="s">
        <v>890</v>
      </c>
      <c r="B126" s="517"/>
      <c r="C126" s="518"/>
      <c r="D126" s="517"/>
      <c r="E126" s="516"/>
    </row>
    <row r="127" spans="1:5" hidden="1" x14ac:dyDescent="0.25">
      <c r="A127" s="493" t="s">
        <v>891</v>
      </c>
      <c r="B127" s="517"/>
      <c r="C127" s="518"/>
      <c r="D127" s="517"/>
      <c r="E127" s="516"/>
    </row>
    <row r="128" spans="1:5" x14ac:dyDescent="0.25">
      <c r="A128" s="494" t="s">
        <v>892</v>
      </c>
      <c r="B128" s="509">
        <f>4495710648/1000</f>
        <v>4495710.648</v>
      </c>
      <c r="C128" s="510"/>
      <c r="D128" s="512">
        <f>(0/6)*12/1000</f>
        <v>0</v>
      </c>
      <c r="E128" s="511">
        <v>42364.17</v>
      </c>
    </row>
    <row r="129" spans="1:5" x14ac:dyDescent="0.25">
      <c r="A129" s="494" t="s">
        <v>899</v>
      </c>
      <c r="B129" s="509">
        <f>'[1]Compar.Ing.2009-11'!B71</f>
        <v>0</v>
      </c>
      <c r="C129" s="510"/>
      <c r="D129" s="509"/>
      <c r="E129" s="508">
        <v>0</v>
      </c>
    </row>
    <row r="130" spans="1:5" hidden="1" x14ac:dyDescent="0.25">
      <c r="A130" s="493" t="s">
        <v>896</v>
      </c>
      <c r="B130" s="509"/>
      <c r="C130" s="510"/>
      <c r="D130" s="509"/>
      <c r="E130" s="508"/>
    </row>
    <row r="131" spans="1:5" x14ac:dyDescent="0.25">
      <c r="A131" s="493"/>
      <c r="B131" s="509"/>
      <c r="C131" s="510"/>
      <c r="D131" s="509"/>
      <c r="E131" s="508" t="s">
        <v>0</v>
      </c>
    </row>
    <row r="132" spans="1:5" x14ac:dyDescent="0.25">
      <c r="A132" s="488" t="s">
        <v>893</v>
      </c>
      <c r="B132" s="514">
        <f>SUM(B134:B135)</f>
        <v>23724541.16</v>
      </c>
      <c r="C132" s="515"/>
      <c r="D132" s="514">
        <f>SUM(D134+D135)</f>
        <v>11273440.77014</v>
      </c>
      <c r="E132" s="513">
        <f>SUM(E134+E135)</f>
        <v>67747458.719999999</v>
      </c>
    </row>
    <row r="133" spans="1:5" x14ac:dyDescent="0.25">
      <c r="A133" s="493"/>
      <c r="B133" s="509"/>
      <c r="C133" s="510"/>
      <c r="D133" s="509"/>
      <c r="E133" s="508"/>
    </row>
    <row r="134" spans="1:5" x14ac:dyDescent="0.25">
      <c r="A134" s="494" t="s">
        <v>894</v>
      </c>
      <c r="B134" s="509">
        <f>(11550533130/1000)</f>
        <v>11550533.130000001</v>
      </c>
      <c r="C134" s="510"/>
      <c r="D134" s="512">
        <f>(5636720385.07/6)*12/1000</f>
        <v>11273440.77014</v>
      </c>
      <c r="E134" s="511">
        <v>12400945.9</v>
      </c>
    </row>
    <row r="135" spans="1:5" x14ac:dyDescent="0.25">
      <c r="A135" s="494" t="s">
        <v>897</v>
      </c>
      <c r="B135" s="509">
        <f>(12174008030/1000)</f>
        <v>12174008.029999999</v>
      </c>
      <c r="C135" s="510"/>
      <c r="D135" s="512">
        <f>(0/6)*12/1000</f>
        <v>0</v>
      </c>
      <c r="E135" s="511">
        <v>55346512.82</v>
      </c>
    </row>
    <row r="136" spans="1:5" x14ac:dyDescent="0.25">
      <c r="A136" s="493"/>
      <c r="B136" s="509"/>
      <c r="C136" s="510"/>
      <c r="D136" s="509"/>
      <c r="E136" s="508"/>
    </row>
    <row r="137" spans="1:5" x14ac:dyDescent="0.25">
      <c r="A137" s="495" t="s">
        <v>895</v>
      </c>
      <c r="B137" s="507">
        <f>SUM(B11+B85+B132)</f>
        <v>65065338.341000006</v>
      </c>
      <c r="C137" s="507"/>
      <c r="D137" s="507">
        <f>SUM(D11+D85+D132)</f>
        <v>47788604.725820005</v>
      </c>
      <c r="E137" s="506">
        <f>SUM(E11+E85+E132)</f>
        <v>100251212.77703001</v>
      </c>
    </row>
    <row r="138" spans="1:5" ht="13.8" thickBot="1" x14ac:dyDescent="0.3">
      <c r="A138" s="496"/>
      <c r="B138" s="504"/>
      <c r="C138" s="505"/>
      <c r="D138" s="504"/>
      <c r="E138" s="503"/>
    </row>
    <row r="139" spans="1:5" x14ac:dyDescent="0.25">
      <c r="A139" s="502" t="s">
        <v>898</v>
      </c>
    </row>
    <row r="141" spans="1:5" ht="12.75" customHeight="1" x14ac:dyDescent="0.25">
      <c r="A141" s="1941"/>
      <c r="B141" s="1941"/>
      <c r="C141" s="1941"/>
      <c r="D141" s="1941"/>
      <c r="E141" s="1941"/>
    </row>
    <row r="143" spans="1:5" x14ac:dyDescent="0.25">
      <c r="A143" s="1932"/>
      <c r="B143" s="1932"/>
      <c r="C143" s="1932"/>
      <c r="D143" s="1932"/>
      <c r="E143" s="1932"/>
    </row>
    <row r="145" spans="1:5" x14ac:dyDescent="0.25">
      <c r="A145" s="1933" t="s">
        <v>0</v>
      </c>
      <c r="B145" s="1933"/>
      <c r="C145" s="1933"/>
      <c r="D145" s="1933"/>
      <c r="E145" s="1933"/>
    </row>
    <row r="146" spans="1:5" ht="13.8" x14ac:dyDescent="0.25">
      <c r="A146" s="501"/>
    </row>
    <row r="147" spans="1:5" ht="13.8" x14ac:dyDescent="0.25">
      <c r="A147" s="501"/>
    </row>
    <row r="148" spans="1:5" ht="13.8" x14ac:dyDescent="0.25">
      <c r="A148" s="501"/>
    </row>
    <row r="149" spans="1:5" ht="13.8" x14ac:dyDescent="0.25">
      <c r="A149" s="501"/>
    </row>
    <row r="150" spans="1:5" ht="13.8" x14ac:dyDescent="0.25">
      <c r="A150" s="501"/>
    </row>
    <row r="151" spans="1:5" ht="13.8" x14ac:dyDescent="0.25">
      <c r="A151" s="501"/>
    </row>
    <row r="152" spans="1:5" ht="13.8" x14ac:dyDescent="0.25">
      <c r="A152" s="501"/>
    </row>
    <row r="153" spans="1:5" ht="13.8" x14ac:dyDescent="0.25">
      <c r="A153" s="501"/>
    </row>
    <row r="154" spans="1:5" ht="13.8" x14ac:dyDescent="0.25">
      <c r="A154" s="501"/>
    </row>
  </sheetData>
  <mergeCells count="8">
    <mergeCell ref="A143:E143"/>
    <mergeCell ref="A145:E145"/>
    <mergeCell ref="A1:E1"/>
    <mergeCell ref="A2:E2"/>
    <mergeCell ref="A3:E3"/>
    <mergeCell ref="A4:E4"/>
    <mergeCell ref="A5:E5"/>
    <mergeCell ref="A141:E141"/>
  </mergeCells>
  <printOptions horizontalCentered="1"/>
  <pageMargins left="0.35433070866141736" right="0.35433070866141736" top="0.59055118110236227" bottom="0.19685039370078741" header="0" footer="0"/>
  <pageSetup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G308"/>
  <sheetViews>
    <sheetView zoomScale="75" workbookViewId="0">
      <selection activeCell="A308" sqref="A308:G308"/>
    </sheetView>
  </sheetViews>
  <sheetFormatPr baseColWidth="10" defaultColWidth="20.6640625" defaultRowHeight="13.2" x14ac:dyDescent="0.25"/>
  <cols>
    <col min="1" max="1" width="19" style="1427" bestFit="1" customWidth="1"/>
    <col min="2" max="2" width="56.6640625" style="1427" customWidth="1"/>
    <col min="3" max="3" width="12.6640625" style="1434" customWidth="1"/>
    <col min="4" max="4" width="25.33203125" style="1526" customWidth="1"/>
    <col min="5" max="5" width="26.44140625" style="1427" customWidth="1"/>
    <col min="6" max="6" width="20.6640625" style="1427" customWidth="1"/>
    <col min="7" max="7" width="20.6640625" style="1427" hidden="1" customWidth="1"/>
    <col min="8" max="26" width="20.6640625" style="1427" customWidth="1"/>
    <col min="27" max="16384" width="20.6640625" style="1427"/>
  </cols>
  <sheetData>
    <row r="1" spans="1:7" x14ac:dyDescent="0.25">
      <c r="A1" s="1957" t="s">
        <v>944</v>
      </c>
      <c r="B1" s="1958"/>
      <c r="C1" s="1958"/>
      <c r="D1" s="1958"/>
      <c r="E1" s="1958"/>
      <c r="F1" s="1958"/>
      <c r="G1" s="1959"/>
    </row>
    <row r="2" spans="1:7" x14ac:dyDescent="0.25">
      <c r="A2" s="1960" t="s">
        <v>943</v>
      </c>
      <c r="B2" s="1961"/>
      <c r="C2" s="1961"/>
      <c r="D2" s="1961"/>
      <c r="E2" s="1961"/>
      <c r="F2" s="1961"/>
      <c r="G2" s="1962"/>
    </row>
    <row r="3" spans="1:7" x14ac:dyDescent="0.25">
      <c r="A3" s="1960" t="s">
        <v>818</v>
      </c>
      <c r="B3" s="1961"/>
      <c r="C3" s="1961"/>
      <c r="D3" s="1961"/>
      <c r="E3" s="1961"/>
      <c r="F3" s="1961"/>
      <c r="G3" s="1962"/>
    </row>
    <row r="4" spans="1:7" ht="33" hidden="1" customHeight="1" x14ac:dyDescent="0.25">
      <c r="A4" s="1428"/>
      <c r="B4" s="1429"/>
      <c r="C4" s="1429"/>
      <c r="D4" s="1429"/>
      <c r="E4" s="1430"/>
      <c r="F4" s="1430"/>
      <c r="G4" s="1431"/>
    </row>
    <row r="5" spans="1:7" s="1434" customFormat="1" ht="11.25" hidden="1" customHeight="1" x14ac:dyDescent="0.25">
      <c r="A5" s="1432"/>
      <c r="B5" s="1430" t="s">
        <v>0</v>
      </c>
      <c r="C5" s="1430" t="s">
        <v>0</v>
      </c>
      <c r="D5" s="1433"/>
      <c r="E5" s="1430"/>
      <c r="F5" s="1430"/>
      <c r="G5" s="1431"/>
    </row>
    <row r="6" spans="1:7" s="1434" customFormat="1" ht="11.25" customHeight="1" thickBot="1" x14ac:dyDescent="0.3">
      <c r="A6" s="1414"/>
      <c r="B6" s="1415"/>
      <c r="C6" s="1415"/>
      <c r="D6" s="1435"/>
      <c r="E6" s="1415"/>
      <c r="F6" s="1415"/>
      <c r="G6" s="1417"/>
    </row>
    <row r="7" spans="1:7" s="1440" customFormat="1" ht="37.200000000000003" customHeight="1" thickBot="1" x14ac:dyDescent="0.3">
      <c r="A7" s="1436" t="s">
        <v>13</v>
      </c>
      <c r="B7" s="1965" t="s">
        <v>14</v>
      </c>
      <c r="C7" s="1966"/>
      <c r="D7" s="1437" t="s">
        <v>916</v>
      </c>
      <c r="E7" s="1438" t="s">
        <v>820</v>
      </c>
      <c r="F7" s="1439" t="s">
        <v>942</v>
      </c>
      <c r="G7" s="393" t="s">
        <v>941</v>
      </c>
    </row>
    <row r="8" spans="1:7" x14ac:dyDescent="0.25">
      <c r="A8" s="1441"/>
      <c r="B8" s="1953" t="s">
        <v>21</v>
      </c>
      <c r="C8" s="1954"/>
      <c r="D8" s="1442">
        <f>D10+D67+D141+D176+D190+D203+D253+D278+D295+D303</f>
        <v>65065338.341000006</v>
      </c>
      <c r="E8" s="1443">
        <f>E10+E67+E141+E176+E190+E203+E253+E278+E295+E303</f>
        <v>66585031.050000004</v>
      </c>
      <c r="F8" s="1444">
        <f>((D8-E8)/E8)</f>
        <v>-2.2823338594808673E-2</v>
      </c>
      <c r="G8" s="1445"/>
    </row>
    <row r="9" spans="1:7" ht="15" customHeight="1" x14ac:dyDescent="0.25">
      <c r="A9" s="1446"/>
      <c r="B9" s="1963" t="s">
        <v>0</v>
      </c>
      <c r="C9" s="1964"/>
      <c r="D9" s="1447"/>
      <c r="E9" s="1448"/>
      <c r="F9" s="1449"/>
      <c r="G9" s="1450"/>
    </row>
    <row r="10" spans="1:7" ht="15.75" customHeight="1" x14ac:dyDescent="0.25">
      <c r="A10" s="1451">
        <v>0</v>
      </c>
      <c r="B10" s="1945" t="s">
        <v>22</v>
      </c>
      <c r="C10" s="1946"/>
      <c r="D10" s="1447">
        <f>3788630245/1000</f>
        <v>3788630.2450000001</v>
      </c>
      <c r="E10" s="1452">
        <f>3789790.65</f>
        <v>3789790.65</v>
      </c>
      <c r="F10" s="1449">
        <f t="shared" ref="F10:F73" si="0">((D10-E10)/E10)</f>
        <v>-3.0619237503258794E-4</v>
      </c>
      <c r="G10" s="1450"/>
    </row>
    <row r="11" spans="1:7" ht="15.75" hidden="1" customHeight="1" x14ac:dyDescent="0.25">
      <c r="A11" s="1453"/>
      <c r="B11" s="1454"/>
      <c r="C11" s="1455"/>
      <c r="D11" s="1447"/>
      <c r="E11" s="1448"/>
      <c r="F11" s="1449" t="e">
        <f t="shared" si="0"/>
        <v>#DIV/0!</v>
      </c>
      <c r="G11" s="1450"/>
    </row>
    <row r="12" spans="1:7" ht="15.75" hidden="1" customHeight="1" x14ac:dyDescent="0.25">
      <c r="A12" s="1456" t="s">
        <v>23</v>
      </c>
      <c r="B12" s="1457" t="s">
        <v>24</v>
      </c>
      <c r="C12" s="1458"/>
      <c r="D12" s="1447" t="e">
        <f>+#REF!+#REF!+#REF!+#REF!</f>
        <v>#REF!</v>
      </c>
      <c r="E12" s="1452">
        <f>+W12+AE12+AL12+AV12</f>
        <v>0</v>
      </c>
      <c r="F12" s="1449" t="e">
        <f t="shared" si="0"/>
        <v>#REF!</v>
      </c>
      <c r="G12" s="1450"/>
    </row>
    <row r="13" spans="1:7" ht="15.75" hidden="1" customHeight="1" x14ac:dyDescent="0.25">
      <c r="A13" s="1459" t="s">
        <v>25</v>
      </c>
      <c r="B13" s="1460" t="s">
        <v>26</v>
      </c>
      <c r="C13" s="1458"/>
      <c r="D13" s="1447" t="e">
        <f>+#REF!+#REF!+#REF!+#REF!</f>
        <v>#REF!</v>
      </c>
      <c r="E13" s="1448">
        <f>+W13+AE13+AL13+AV13</f>
        <v>0</v>
      </c>
      <c r="F13" s="1449" t="e">
        <f t="shared" si="0"/>
        <v>#REF!</v>
      </c>
      <c r="G13" s="1450"/>
    </row>
    <row r="14" spans="1:7" ht="15.75" hidden="1" customHeight="1" x14ac:dyDescent="0.25">
      <c r="A14" s="1459" t="s">
        <v>27</v>
      </c>
      <c r="B14" s="1460" t="s">
        <v>28</v>
      </c>
      <c r="C14" s="1458"/>
      <c r="D14" s="1447"/>
      <c r="E14" s="1448"/>
      <c r="F14" s="1449" t="e">
        <f t="shared" si="0"/>
        <v>#DIV/0!</v>
      </c>
      <c r="G14" s="1450"/>
    </row>
    <row r="15" spans="1:7" ht="15.75" hidden="1" customHeight="1" x14ac:dyDescent="0.25">
      <c r="A15" s="1461" t="s">
        <v>29</v>
      </c>
      <c r="B15" s="1460" t="s">
        <v>30</v>
      </c>
      <c r="C15" s="1458"/>
      <c r="D15" s="1447" t="e">
        <f>+#REF!+#REF!+#REF!+#REF!</f>
        <v>#REF!</v>
      </c>
      <c r="E15" s="1448">
        <f>+W15+AE15+AL15+AV15</f>
        <v>0</v>
      </c>
      <c r="F15" s="1449" t="e">
        <f t="shared" si="0"/>
        <v>#REF!</v>
      </c>
      <c r="G15" s="1450"/>
    </row>
    <row r="16" spans="1:7" s="1464" customFormat="1" ht="15.75" hidden="1" customHeight="1" x14ac:dyDescent="0.25">
      <c r="A16" s="1461" t="s">
        <v>31</v>
      </c>
      <c r="B16" s="1462" t="s">
        <v>32</v>
      </c>
      <c r="C16" s="1458"/>
      <c r="D16" s="1447" t="e">
        <f>+#REF!+#REF!+#REF!+#REF!</f>
        <v>#REF!</v>
      </c>
      <c r="E16" s="1448">
        <f>+W16+AE16+AL16+AV16</f>
        <v>0</v>
      </c>
      <c r="F16" s="1449" t="e">
        <f t="shared" si="0"/>
        <v>#REF!</v>
      </c>
      <c r="G16" s="1463"/>
    </row>
    <row r="17" spans="1:7" ht="15.75" hidden="1" customHeight="1" x14ac:dyDescent="0.25">
      <c r="A17" s="1459"/>
      <c r="B17" s="1460"/>
      <c r="C17" s="1465"/>
      <c r="D17" s="1447"/>
      <c r="E17" s="1448"/>
      <c r="F17" s="1449" t="e">
        <f t="shared" si="0"/>
        <v>#DIV/0!</v>
      </c>
      <c r="G17" s="1450"/>
    </row>
    <row r="18" spans="1:7" ht="15.75" hidden="1" customHeight="1" x14ac:dyDescent="0.25">
      <c r="A18" s="1456" t="s">
        <v>33</v>
      </c>
      <c r="B18" s="1466" t="s">
        <v>34</v>
      </c>
      <c r="C18" s="1458"/>
      <c r="D18" s="1447" t="e">
        <f>+#REF!+#REF!+#REF!+#REF!</f>
        <v>#REF!</v>
      </c>
      <c r="E18" s="1448">
        <f>+W18+AE18+AL18+AV18</f>
        <v>0</v>
      </c>
      <c r="F18" s="1449" t="e">
        <f t="shared" si="0"/>
        <v>#REF!</v>
      </c>
      <c r="G18" s="1450"/>
    </row>
    <row r="19" spans="1:7" ht="15.75" hidden="1" customHeight="1" x14ac:dyDescent="0.25">
      <c r="A19" s="1459" t="s">
        <v>35</v>
      </c>
      <c r="B19" s="1460" t="s">
        <v>36</v>
      </c>
      <c r="C19" s="1458"/>
      <c r="D19" s="1447" t="e">
        <f>+#REF!+#REF!+#REF!+#REF!</f>
        <v>#REF!</v>
      </c>
      <c r="E19" s="1448">
        <f>+W19+AE19+AL19+AV19</f>
        <v>0</v>
      </c>
      <c r="F19" s="1449" t="e">
        <f t="shared" si="0"/>
        <v>#REF!</v>
      </c>
      <c r="G19" s="1450"/>
    </row>
    <row r="20" spans="1:7" ht="15.75" hidden="1" customHeight="1" x14ac:dyDescent="0.25">
      <c r="A20" s="1459" t="s">
        <v>37</v>
      </c>
      <c r="B20" s="1460" t="s">
        <v>38</v>
      </c>
      <c r="C20" s="1458"/>
      <c r="D20" s="1447" t="e">
        <f>+#REF!+#REF!+#REF!+#REF!</f>
        <v>#REF!</v>
      </c>
      <c r="E20" s="1448">
        <f>+W20+AE20+AL20+AV20</f>
        <v>0</v>
      </c>
      <c r="F20" s="1449" t="e">
        <f t="shared" si="0"/>
        <v>#REF!</v>
      </c>
      <c r="G20" s="1450"/>
    </row>
    <row r="21" spans="1:7" ht="15.75" hidden="1" customHeight="1" x14ac:dyDescent="0.25">
      <c r="A21" s="1459" t="s">
        <v>39</v>
      </c>
      <c r="B21" s="1460" t="s">
        <v>40</v>
      </c>
      <c r="C21" s="1458"/>
      <c r="D21" s="1447" t="e">
        <f>+#REF!+#REF!+#REF!+#REF!</f>
        <v>#REF!</v>
      </c>
      <c r="E21" s="1448">
        <f>+W21+AE21+AL21+AV21</f>
        <v>0</v>
      </c>
      <c r="F21" s="1449" t="e">
        <f t="shared" si="0"/>
        <v>#REF!</v>
      </c>
      <c r="G21" s="1450"/>
    </row>
    <row r="22" spans="1:7" ht="15.75" hidden="1" customHeight="1" x14ac:dyDescent="0.25">
      <c r="A22" s="1459" t="s">
        <v>41</v>
      </c>
      <c r="B22" s="1460" t="s">
        <v>42</v>
      </c>
      <c r="C22" s="1458"/>
      <c r="D22" s="1447" t="e">
        <f>+#REF!+#REF!+#REF!+#REF!</f>
        <v>#REF!</v>
      </c>
      <c r="E22" s="1448">
        <f>+W22+AE22+AL22+AV22</f>
        <v>0</v>
      </c>
      <c r="F22" s="1449" t="e">
        <f t="shared" si="0"/>
        <v>#REF!</v>
      </c>
      <c r="G22" s="1450"/>
    </row>
    <row r="23" spans="1:7" ht="15.75" hidden="1" customHeight="1" x14ac:dyDescent="0.25">
      <c r="A23" s="1459"/>
      <c r="B23" s="1460"/>
      <c r="C23" s="1465"/>
      <c r="D23" s="1447"/>
      <c r="E23" s="1448"/>
      <c r="F23" s="1449" t="e">
        <f t="shared" si="0"/>
        <v>#DIV/0!</v>
      </c>
      <c r="G23" s="1450"/>
    </row>
    <row r="24" spans="1:7" ht="15.75" hidden="1" customHeight="1" x14ac:dyDescent="0.25">
      <c r="A24" s="1467" t="s">
        <v>43</v>
      </c>
      <c r="B24" s="1457" t="s">
        <v>44</v>
      </c>
      <c r="C24" s="1458"/>
      <c r="D24" s="1447" t="e">
        <f>+#REF!+#REF!+#REF!+#REF!</f>
        <v>#REF!</v>
      </c>
      <c r="E24" s="1448">
        <f>+W24+AE24+AL24+AV24</f>
        <v>0</v>
      </c>
      <c r="F24" s="1449" t="e">
        <f t="shared" si="0"/>
        <v>#REF!</v>
      </c>
      <c r="G24" s="1450"/>
    </row>
    <row r="25" spans="1:7" ht="15.75" hidden="1" customHeight="1" x14ac:dyDescent="0.25">
      <c r="A25" s="1459" t="s">
        <v>45</v>
      </c>
      <c r="B25" s="1460" t="s">
        <v>46</v>
      </c>
      <c r="C25" s="1458"/>
      <c r="D25" s="1447" t="e">
        <f>+#REF!+#REF!+#REF!+#REF!</f>
        <v>#REF!</v>
      </c>
      <c r="E25" s="1448">
        <f>+W25+AE25+AL25+AV25</f>
        <v>0</v>
      </c>
      <c r="F25" s="1449" t="e">
        <f t="shared" si="0"/>
        <v>#REF!</v>
      </c>
      <c r="G25" s="1450"/>
    </row>
    <row r="26" spans="1:7" ht="15.75" hidden="1" customHeight="1" x14ac:dyDescent="0.25">
      <c r="A26" s="1459" t="s">
        <v>47</v>
      </c>
      <c r="B26" s="1460" t="s">
        <v>940</v>
      </c>
      <c r="C26" s="1458"/>
      <c r="D26" s="1447" t="e">
        <f>+#REF!+#REF!+#REF!+#REF!</f>
        <v>#REF!</v>
      </c>
      <c r="E26" s="1448">
        <f>+W26+AE26+AL26+AV26</f>
        <v>0</v>
      </c>
      <c r="F26" s="1449" t="e">
        <f t="shared" si="0"/>
        <v>#REF!</v>
      </c>
      <c r="G26" s="1450"/>
    </row>
    <row r="27" spans="1:7" ht="15.75" hidden="1" customHeight="1" x14ac:dyDescent="0.25">
      <c r="A27" s="1459" t="s">
        <v>48</v>
      </c>
      <c r="B27" s="1460" t="s">
        <v>49</v>
      </c>
      <c r="C27" s="1458"/>
      <c r="D27" s="1447" t="e">
        <f>+#REF!+#REF!+#REF!+#REF!</f>
        <v>#REF!</v>
      </c>
      <c r="E27" s="1448">
        <f>+W27+AE27+AL27+AV27</f>
        <v>0</v>
      </c>
      <c r="F27" s="1449" t="e">
        <f t="shared" si="0"/>
        <v>#REF!</v>
      </c>
      <c r="G27" s="1450"/>
    </row>
    <row r="28" spans="1:7" ht="15.75" hidden="1" customHeight="1" x14ac:dyDescent="0.25">
      <c r="A28" s="1459"/>
      <c r="B28" s="1460"/>
      <c r="C28" s="1465"/>
      <c r="D28" s="1447"/>
      <c r="E28" s="1448"/>
      <c r="F28" s="1449" t="e">
        <f t="shared" si="0"/>
        <v>#DIV/0!</v>
      </c>
      <c r="G28" s="1450"/>
    </row>
    <row r="29" spans="1:7" ht="15.75" hidden="1" customHeight="1" x14ac:dyDescent="0.25">
      <c r="A29" s="1459" t="s">
        <v>50</v>
      </c>
      <c r="B29" s="1460" t="s">
        <v>939</v>
      </c>
      <c r="C29" s="1458"/>
      <c r="D29" s="1447" t="e">
        <f>+#REF!+#REF!+#REF!+#REF!</f>
        <v>#REF!</v>
      </c>
      <c r="E29" s="1448">
        <f>+W29+AE29+AL29+AV29</f>
        <v>0</v>
      </c>
      <c r="F29" s="1449" t="e">
        <f t="shared" si="0"/>
        <v>#REF!</v>
      </c>
      <c r="G29" s="1450"/>
    </row>
    <row r="30" spans="1:7" ht="15.75" hidden="1" customHeight="1" x14ac:dyDescent="0.25">
      <c r="A30" s="1459" t="s">
        <v>52</v>
      </c>
      <c r="B30" s="1460" t="s">
        <v>53</v>
      </c>
      <c r="C30" s="1458"/>
      <c r="D30" s="1447" t="e">
        <f>+#REF!+#REF!+#REF!+#REF!</f>
        <v>#REF!</v>
      </c>
      <c r="E30" s="1448">
        <f>+W30+AE30+AL30+AV30</f>
        <v>0</v>
      </c>
      <c r="F30" s="1449" t="e">
        <f t="shared" si="0"/>
        <v>#REF!</v>
      </c>
      <c r="G30" s="1450"/>
    </row>
    <row r="31" spans="1:7" ht="15.75" hidden="1" customHeight="1" x14ac:dyDescent="0.25">
      <c r="A31" s="1459" t="s">
        <v>54</v>
      </c>
      <c r="B31" s="1460" t="s">
        <v>55</v>
      </c>
      <c r="C31" s="1458"/>
      <c r="D31" s="1447" t="e">
        <f>+#REF!+#REF!+#REF!+#REF!</f>
        <v>#REF!</v>
      </c>
      <c r="E31" s="1448">
        <f>+W31+AE31+AL31+AV31</f>
        <v>0</v>
      </c>
      <c r="F31" s="1449" t="e">
        <f t="shared" si="0"/>
        <v>#REF!</v>
      </c>
      <c r="G31" s="1450"/>
    </row>
    <row r="32" spans="1:7" ht="15.75" hidden="1" customHeight="1" x14ac:dyDescent="0.25">
      <c r="A32" s="1459"/>
      <c r="B32" s="1460"/>
      <c r="C32" s="1465"/>
      <c r="D32" s="1447"/>
      <c r="E32" s="1448"/>
      <c r="F32" s="1449" t="e">
        <f t="shared" si="0"/>
        <v>#DIV/0!</v>
      </c>
      <c r="G32" s="1450"/>
    </row>
    <row r="33" spans="1:7" ht="15.75" hidden="1" customHeight="1" x14ac:dyDescent="0.25">
      <c r="A33" s="1459" t="s">
        <v>56</v>
      </c>
      <c r="B33" s="1460" t="s">
        <v>57</v>
      </c>
      <c r="C33" s="1458"/>
      <c r="D33" s="1447" t="e">
        <f>+#REF!+#REF!+#REF!+#REF!</f>
        <v>#REF!</v>
      </c>
      <c r="E33" s="1448">
        <f>+W33+AE33+AL33+AV33</f>
        <v>0</v>
      </c>
      <c r="F33" s="1449" t="e">
        <f t="shared" si="0"/>
        <v>#REF!</v>
      </c>
      <c r="G33" s="1450"/>
    </row>
    <row r="34" spans="1:7" ht="15.75" hidden="1" customHeight="1" x14ac:dyDescent="0.25">
      <c r="A34" s="1459" t="s">
        <v>58</v>
      </c>
      <c r="B34" s="1460" t="s">
        <v>59</v>
      </c>
      <c r="C34" s="1458"/>
      <c r="D34" s="1447" t="e">
        <f>+#REF!+#REF!+#REF!+#REF!</f>
        <v>#REF!</v>
      </c>
      <c r="E34" s="1448">
        <f>+W34+AE34+AL34+AV34</f>
        <v>0</v>
      </c>
      <c r="F34" s="1449" t="e">
        <f t="shared" si="0"/>
        <v>#REF!</v>
      </c>
      <c r="G34" s="1450"/>
    </row>
    <row r="35" spans="1:7" ht="15.75" hidden="1" customHeight="1" x14ac:dyDescent="0.25">
      <c r="A35" s="1459"/>
      <c r="B35" s="1460"/>
      <c r="C35" s="1465"/>
      <c r="D35" s="1447"/>
      <c r="E35" s="1448"/>
      <c r="F35" s="1449" t="e">
        <f t="shared" si="0"/>
        <v>#DIV/0!</v>
      </c>
      <c r="G35" s="1450"/>
    </row>
    <row r="36" spans="1:7" ht="15.75" hidden="1" customHeight="1" x14ac:dyDescent="0.25">
      <c r="A36" s="1461" t="s">
        <v>60</v>
      </c>
      <c r="B36" s="1460" t="s">
        <v>61</v>
      </c>
      <c r="C36" s="1458"/>
      <c r="D36" s="1447" t="e">
        <f>+#REF!+#REF!+#REF!+#REF!</f>
        <v>#REF!</v>
      </c>
      <c r="E36" s="1448">
        <f t="shared" ref="E36:E44" si="1">+W36+AE36+AL36+AV36</f>
        <v>0</v>
      </c>
      <c r="F36" s="1449" t="e">
        <f t="shared" si="0"/>
        <v>#REF!</v>
      </c>
      <c r="G36" s="1450"/>
    </row>
    <row r="37" spans="1:7" ht="15.75" hidden="1" customHeight="1" x14ac:dyDescent="0.25">
      <c r="A37" s="1461" t="s">
        <v>938</v>
      </c>
      <c r="B37" s="1460" t="s">
        <v>937</v>
      </c>
      <c r="C37" s="1458"/>
      <c r="D37" s="1447" t="e">
        <f>+#REF!+#REF!+#REF!+#REF!</f>
        <v>#REF!</v>
      </c>
      <c r="E37" s="1448">
        <f t="shared" si="1"/>
        <v>0</v>
      </c>
      <c r="F37" s="1449" t="e">
        <f t="shared" si="0"/>
        <v>#REF!</v>
      </c>
      <c r="G37" s="1450"/>
    </row>
    <row r="38" spans="1:7" ht="15.75" hidden="1" customHeight="1" x14ac:dyDescent="0.25">
      <c r="A38" s="1461" t="s">
        <v>62</v>
      </c>
      <c r="B38" s="1460" t="s">
        <v>63</v>
      </c>
      <c r="C38" s="1458"/>
      <c r="D38" s="1447" t="e">
        <f>+#REF!+#REF!+#REF!+#REF!</f>
        <v>#REF!</v>
      </c>
      <c r="E38" s="1448">
        <f t="shared" si="1"/>
        <v>0</v>
      </c>
      <c r="F38" s="1449" t="e">
        <f t="shared" si="0"/>
        <v>#REF!</v>
      </c>
      <c r="G38" s="1450"/>
    </row>
    <row r="39" spans="1:7" ht="15.75" hidden="1" customHeight="1" x14ac:dyDescent="0.25">
      <c r="A39" s="1461" t="s">
        <v>936</v>
      </c>
      <c r="B39" s="1460" t="s">
        <v>935</v>
      </c>
      <c r="C39" s="1458"/>
      <c r="D39" s="1447" t="e">
        <f>+#REF!+#REF!+#REF!+#REF!</f>
        <v>#REF!</v>
      </c>
      <c r="E39" s="1448">
        <f t="shared" si="1"/>
        <v>0</v>
      </c>
      <c r="F39" s="1449" t="e">
        <f t="shared" si="0"/>
        <v>#REF!</v>
      </c>
      <c r="G39" s="1450"/>
    </row>
    <row r="40" spans="1:7" ht="15.75" hidden="1" customHeight="1" x14ac:dyDescent="0.25">
      <c r="A40" s="1461" t="s">
        <v>64</v>
      </c>
      <c r="B40" s="1460" t="s">
        <v>65</v>
      </c>
      <c r="C40" s="1458"/>
      <c r="D40" s="1447" t="e">
        <f>+#REF!+#REF!+#REF!+#REF!</f>
        <v>#REF!</v>
      </c>
      <c r="E40" s="1448">
        <f t="shared" si="1"/>
        <v>0</v>
      </c>
      <c r="F40" s="1449" t="e">
        <f t="shared" si="0"/>
        <v>#REF!</v>
      </c>
      <c r="G40" s="1450"/>
    </row>
    <row r="41" spans="1:7" ht="15.75" hidden="1" customHeight="1" x14ac:dyDescent="0.25">
      <c r="A41" s="1461" t="s">
        <v>66</v>
      </c>
      <c r="B41" s="1460" t="s">
        <v>67</v>
      </c>
      <c r="C41" s="1458"/>
      <c r="D41" s="1447" t="e">
        <f>+#REF!+#REF!+#REF!+#REF!</f>
        <v>#REF!</v>
      </c>
      <c r="E41" s="1448">
        <f t="shared" si="1"/>
        <v>0</v>
      </c>
      <c r="F41" s="1449" t="e">
        <f t="shared" si="0"/>
        <v>#REF!</v>
      </c>
      <c r="G41" s="1450"/>
    </row>
    <row r="42" spans="1:7" ht="15.75" hidden="1" customHeight="1" x14ac:dyDescent="0.25">
      <c r="A42" s="1461" t="s">
        <v>68</v>
      </c>
      <c r="B42" s="1460" t="s">
        <v>69</v>
      </c>
      <c r="C42" s="1458"/>
      <c r="D42" s="1447" t="e">
        <f>+#REF!+#REF!+#REF!+#REF!</f>
        <v>#REF!</v>
      </c>
      <c r="E42" s="1448">
        <f t="shared" si="1"/>
        <v>0</v>
      </c>
      <c r="F42" s="1449" t="e">
        <f t="shared" si="0"/>
        <v>#REF!</v>
      </c>
      <c r="G42" s="1450"/>
    </row>
    <row r="43" spans="1:7" ht="15.75" hidden="1" customHeight="1" x14ac:dyDescent="0.25">
      <c r="A43" s="1461" t="s">
        <v>70</v>
      </c>
      <c r="B43" s="1460" t="s">
        <v>71</v>
      </c>
      <c r="C43" s="1458"/>
      <c r="D43" s="1447" t="e">
        <f>+#REF!+#REF!+#REF!+#REF!</f>
        <v>#REF!</v>
      </c>
      <c r="E43" s="1448">
        <f t="shared" si="1"/>
        <v>0</v>
      </c>
      <c r="F43" s="1449" t="e">
        <f t="shared" si="0"/>
        <v>#REF!</v>
      </c>
      <c r="G43" s="1450"/>
    </row>
    <row r="44" spans="1:7" ht="15.75" hidden="1" customHeight="1" x14ac:dyDescent="0.25">
      <c r="A44" s="1461" t="s">
        <v>72</v>
      </c>
      <c r="B44" s="1460" t="s">
        <v>73</v>
      </c>
      <c r="C44" s="1465"/>
      <c r="D44" s="1447" t="e">
        <f>+#REF!+#REF!+#REF!+#REF!</f>
        <v>#REF!</v>
      </c>
      <c r="E44" s="1448">
        <f t="shared" si="1"/>
        <v>0</v>
      </c>
      <c r="F44" s="1449" t="e">
        <f t="shared" si="0"/>
        <v>#REF!</v>
      </c>
      <c r="G44" s="1450"/>
    </row>
    <row r="45" spans="1:7" ht="15.75" hidden="1" customHeight="1" x14ac:dyDescent="0.25">
      <c r="A45" s="1461"/>
      <c r="B45" s="1460"/>
      <c r="C45" s="1465"/>
      <c r="D45" s="1447"/>
      <c r="E45" s="1448"/>
      <c r="F45" s="1449" t="e">
        <f t="shared" si="0"/>
        <v>#DIV/0!</v>
      </c>
      <c r="G45" s="1450"/>
    </row>
    <row r="46" spans="1:7" ht="15.75" hidden="1" customHeight="1" x14ac:dyDescent="0.25">
      <c r="A46" s="1468" t="s">
        <v>74</v>
      </c>
      <c r="B46" s="1466" t="s">
        <v>75</v>
      </c>
      <c r="C46" s="1458"/>
      <c r="D46" s="1447" t="e">
        <f>+#REF!+#REF!+#REF!+#REF!</f>
        <v>#REF!</v>
      </c>
      <c r="E46" s="1448">
        <f t="shared" ref="E46:E51" si="2">+W46+AE46+AL46+AV46</f>
        <v>0</v>
      </c>
      <c r="F46" s="1449" t="e">
        <f t="shared" si="0"/>
        <v>#REF!</v>
      </c>
      <c r="G46" s="1450"/>
    </row>
    <row r="47" spans="1:7" ht="15.75" hidden="1" customHeight="1" x14ac:dyDescent="0.25">
      <c r="A47" s="1469" t="s">
        <v>76</v>
      </c>
      <c r="B47" s="1460" t="s">
        <v>77</v>
      </c>
      <c r="C47" s="1458"/>
      <c r="D47" s="1447" t="e">
        <f>+#REF!+#REF!+#REF!+#REF!</f>
        <v>#REF!</v>
      </c>
      <c r="E47" s="1448">
        <f t="shared" si="2"/>
        <v>0</v>
      </c>
      <c r="F47" s="1449" t="e">
        <f t="shared" si="0"/>
        <v>#REF!</v>
      </c>
      <c r="G47" s="1450"/>
    </row>
    <row r="48" spans="1:7" ht="15.75" hidden="1" customHeight="1" x14ac:dyDescent="0.25">
      <c r="A48" s="1470" t="s">
        <v>78</v>
      </c>
      <c r="B48" s="1460" t="s">
        <v>79</v>
      </c>
      <c r="C48" s="1458"/>
      <c r="D48" s="1447" t="e">
        <f>+#REF!+#REF!+#REF!+#REF!</f>
        <v>#REF!</v>
      </c>
      <c r="E48" s="1448">
        <f t="shared" si="2"/>
        <v>0</v>
      </c>
      <c r="F48" s="1449" t="e">
        <f t="shared" si="0"/>
        <v>#REF!</v>
      </c>
      <c r="G48" s="1450"/>
    </row>
    <row r="49" spans="1:7" ht="15.75" hidden="1" customHeight="1" x14ac:dyDescent="0.25">
      <c r="A49" s="1469" t="s">
        <v>80</v>
      </c>
      <c r="B49" s="1460" t="s">
        <v>81</v>
      </c>
      <c r="C49" s="1458"/>
      <c r="D49" s="1447" t="e">
        <f>+#REF!+#REF!+#REF!+#REF!</f>
        <v>#REF!</v>
      </c>
      <c r="E49" s="1448">
        <f t="shared" si="2"/>
        <v>0</v>
      </c>
      <c r="F49" s="1449" t="e">
        <f t="shared" si="0"/>
        <v>#REF!</v>
      </c>
      <c r="G49" s="1450"/>
    </row>
    <row r="50" spans="1:7" ht="15.75" hidden="1" customHeight="1" x14ac:dyDescent="0.25">
      <c r="A50" s="1469" t="s">
        <v>82</v>
      </c>
      <c r="B50" s="1460" t="s">
        <v>83</v>
      </c>
      <c r="C50" s="1458"/>
      <c r="D50" s="1447" t="e">
        <f>+#REF!+#REF!+#REF!+#REF!</f>
        <v>#REF!</v>
      </c>
      <c r="E50" s="1448">
        <f t="shared" si="2"/>
        <v>0</v>
      </c>
      <c r="F50" s="1449" t="e">
        <f t="shared" si="0"/>
        <v>#REF!</v>
      </c>
      <c r="G50" s="1450"/>
    </row>
    <row r="51" spans="1:7" ht="15.75" hidden="1" customHeight="1" x14ac:dyDescent="0.25">
      <c r="A51" s="1469" t="s">
        <v>84</v>
      </c>
      <c r="B51" s="1460" t="s">
        <v>85</v>
      </c>
      <c r="C51" s="1458"/>
      <c r="D51" s="1447" t="e">
        <f>+#REF!+#REF!+#REF!+#REF!</f>
        <v>#REF!</v>
      </c>
      <c r="E51" s="1448">
        <f t="shared" si="2"/>
        <v>0</v>
      </c>
      <c r="F51" s="1449" t="e">
        <f t="shared" si="0"/>
        <v>#REF!</v>
      </c>
      <c r="G51" s="1450"/>
    </row>
    <row r="52" spans="1:7" ht="15.75" hidden="1" customHeight="1" x14ac:dyDescent="0.25">
      <c r="A52" s="1469"/>
      <c r="B52" s="1460"/>
      <c r="C52" s="1465"/>
      <c r="D52" s="1447"/>
      <c r="E52" s="1448"/>
      <c r="F52" s="1449" t="e">
        <f t="shared" si="0"/>
        <v>#DIV/0!</v>
      </c>
      <c r="G52" s="1450"/>
    </row>
    <row r="53" spans="1:7" ht="17.25" hidden="1" customHeight="1" x14ac:dyDescent="0.25">
      <c r="A53" s="1468" t="s">
        <v>86</v>
      </c>
      <c r="B53" s="1466" t="s">
        <v>87</v>
      </c>
      <c r="C53" s="1458"/>
      <c r="D53" s="1447" t="e">
        <f>+#REF!+#REF!+#REF!+#REF!</f>
        <v>#REF!</v>
      </c>
      <c r="E53" s="1448">
        <f>+W53+AE53+AL53+AV53</f>
        <v>0</v>
      </c>
      <c r="F53" s="1449" t="e">
        <f t="shared" si="0"/>
        <v>#REF!</v>
      </c>
      <c r="G53" s="1450"/>
    </row>
    <row r="54" spans="1:7" ht="15.75" hidden="1" customHeight="1" x14ac:dyDescent="0.25">
      <c r="A54" s="1470" t="s">
        <v>88</v>
      </c>
      <c r="B54" s="1460" t="s">
        <v>89</v>
      </c>
      <c r="C54" s="1458"/>
      <c r="D54" s="1447" t="e">
        <f>+#REF!+#REF!+#REF!+#REF!</f>
        <v>#REF!</v>
      </c>
      <c r="E54" s="1448">
        <f>+W54+AE54+AL54+AV54</f>
        <v>0</v>
      </c>
      <c r="F54" s="1449" t="e">
        <f t="shared" si="0"/>
        <v>#REF!</v>
      </c>
      <c r="G54" s="1450"/>
    </row>
    <row r="55" spans="1:7" ht="15.75" hidden="1" customHeight="1" x14ac:dyDescent="0.25">
      <c r="A55" s="1470" t="s">
        <v>474</v>
      </c>
      <c r="B55" s="1460" t="s">
        <v>475</v>
      </c>
      <c r="C55" s="1465"/>
      <c r="D55" s="1447" t="e">
        <f>+#REF!+#REF!+#REF!+#REF!</f>
        <v>#REF!</v>
      </c>
      <c r="E55" s="1448">
        <f>+W55+AE55+AL55+AV55</f>
        <v>0</v>
      </c>
      <c r="F55" s="1449" t="e">
        <f t="shared" si="0"/>
        <v>#REF!</v>
      </c>
      <c r="G55" s="1450"/>
    </row>
    <row r="56" spans="1:7" ht="15.75" hidden="1" customHeight="1" x14ac:dyDescent="0.25">
      <c r="A56" s="1470" t="s">
        <v>90</v>
      </c>
      <c r="B56" s="1460" t="s">
        <v>91</v>
      </c>
      <c r="C56" s="1458"/>
      <c r="D56" s="1447" t="e">
        <f>+#REF!+#REF!+#REF!+#REF!</f>
        <v>#REF!</v>
      </c>
      <c r="E56" s="1448">
        <f>+W56+AE56+AL56+AV56</f>
        <v>0</v>
      </c>
      <c r="F56" s="1449" t="e">
        <f t="shared" si="0"/>
        <v>#REF!</v>
      </c>
      <c r="G56" s="1450"/>
    </row>
    <row r="57" spans="1:7" s="1434" customFormat="1" ht="15.75" hidden="1" customHeight="1" x14ac:dyDescent="0.25">
      <c r="A57" s="1471" t="s">
        <v>92</v>
      </c>
      <c r="B57" s="1460" t="s">
        <v>93</v>
      </c>
      <c r="C57" s="1458"/>
      <c r="D57" s="1447" t="e">
        <f>+#REF!+#REF!+#REF!+#REF!</f>
        <v>#REF!</v>
      </c>
      <c r="E57" s="1448">
        <f>+W57+AE57+AL57+AV57</f>
        <v>0</v>
      </c>
      <c r="F57" s="1449" t="e">
        <f t="shared" si="0"/>
        <v>#REF!</v>
      </c>
      <c r="G57" s="1450"/>
    </row>
    <row r="58" spans="1:7" ht="15.75" hidden="1" customHeight="1" x14ac:dyDescent="0.25">
      <c r="A58" s="1472"/>
      <c r="B58" s="1460"/>
      <c r="C58" s="1465"/>
      <c r="D58" s="1447"/>
      <c r="E58" s="1448"/>
      <c r="F58" s="1449" t="e">
        <f t="shared" si="0"/>
        <v>#DIV/0!</v>
      </c>
      <c r="G58" s="1450"/>
    </row>
    <row r="59" spans="1:7" ht="15.75" hidden="1" customHeight="1" x14ac:dyDescent="0.25">
      <c r="A59" s="1473" t="s">
        <v>371</v>
      </c>
      <c r="B59" s="1466" t="s">
        <v>94</v>
      </c>
      <c r="C59" s="1465"/>
      <c r="D59" s="1447" t="e">
        <f>+#REF!+#REF!+#REF!+#REF!</f>
        <v>#REF!</v>
      </c>
      <c r="E59" s="1448">
        <f>+W59+AE59+AL59+AV59</f>
        <v>0</v>
      </c>
      <c r="F59" s="1449" t="e">
        <f t="shared" si="0"/>
        <v>#REF!</v>
      </c>
      <c r="G59" s="1450"/>
    </row>
    <row r="60" spans="1:7" ht="15.75" hidden="1" customHeight="1" x14ac:dyDescent="0.25">
      <c r="A60" s="1474" t="s">
        <v>95</v>
      </c>
      <c r="B60" s="1460" t="s">
        <v>96</v>
      </c>
      <c r="C60" s="1465"/>
      <c r="D60" s="1447" t="e">
        <f>+#REF!+#REF!+#REF!+#REF!</f>
        <v>#REF!</v>
      </c>
      <c r="E60" s="1448">
        <f>+W60+AE60+AL60+AV60</f>
        <v>0</v>
      </c>
      <c r="F60" s="1449" t="e">
        <f t="shared" si="0"/>
        <v>#REF!</v>
      </c>
      <c r="G60" s="1450"/>
    </row>
    <row r="61" spans="1:7" ht="15.75" hidden="1" customHeight="1" x14ac:dyDescent="0.25">
      <c r="A61" s="1461"/>
      <c r="B61" s="1460"/>
      <c r="C61" s="1465"/>
      <c r="D61" s="1447" t="e">
        <f>+#REF!+#REF!+#REF!+#REF!</f>
        <v>#REF!</v>
      </c>
      <c r="E61" s="1448">
        <f>+W61+AE61+AL61+AV61</f>
        <v>0</v>
      </c>
      <c r="F61" s="1449" t="e">
        <f t="shared" si="0"/>
        <v>#REF!</v>
      </c>
      <c r="G61" s="1450"/>
    </row>
    <row r="62" spans="1:7" ht="15.75" hidden="1" customHeight="1" x14ac:dyDescent="0.25">
      <c r="A62" s="1461"/>
      <c r="B62" s="1460"/>
      <c r="C62" s="1465"/>
      <c r="D62" s="1447" t="e">
        <f>+#REF!+#REF!+#REF!+#REF!</f>
        <v>#REF!</v>
      </c>
      <c r="E62" s="1448">
        <f>+W62+AE62+AL62+AV62</f>
        <v>0</v>
      </c>
      <c r="F62" s="1449" t="e">
        <f t="shared" si="0"/>
        <v>#REF!</v>
      </c>
      <c r="G62" s="1450"/>
    </row>
    <row r="63" spans="1:7" ht="15.75" hidden="1" customHeight="1" x14ac:dyDescent="0.25">
      <c r="A63" s="1461"/>
      <c r="B63" s="1460"/>
      <c r="C63" s="1465"/>
      <c r="D63" s="1447" t="e">
        <f>+#REF!+#REF!+#REF!+#REF!</f>
        <v>#REF!</v>
      </c>
      <c r="E63" s="1448">
        <f>+W63+AE63+AL63+AV63</f>
        <v>0</v>
      </c>
      <c r="F63" s="1449" t="e">
        <f t="shared" si="0"/>
        <v>#REF!</v>
      </c>
      <c r="G63" s="1450"/>
    </row>
    <row r="64" spans="1:7" ht="16.5" hidden="1" customHeight="1" x14ac:dyDescent="0.25">
      <c r="A64" s="1461"/>
      <c r="B64" s="1460"/>
      <c r="C64" s="1465"/>
      <c r="D64" s="1447"/>
      <c r="E64" s="1448"/>
      <c r="F64" s="1449" t="e">
        <f t="shared" si="0"/>
        <v>#DIV/0!</v>
      </c>
      <c r="G64" s="1450"/>
    </row>
    <row r="65" spans="1:7" ht="15.75" hidden="1" customHeight="1" x14ac:dyDescent="0.25">
      <c r="A65" s="1461"/>
      <c r="B65" s="1460"/>
      <c r="C65" s="1465"/>
      <c r="D65" s="1447"/>
      <c r="E65" s="1448"/>
      <c r="F65" s="1449" t="e">
        <f t="shared" si="0"/>
        <v>#DIV/0!</v>
      </c>
      <c r="G65" s="1450"/>
    </row>
    <row r="66" spans="1:7" ht="15.75" hidden="1" customHeight="1" x14ac:dyDescent="0.25">
      <c r="A66" s="1474"/>
      <c r="B66" s="1460"/>
      <c r="C66" s="1465"/>
      <c r="D66" s="1475"/>
      <c r="E66" s="1476"/>
      <c r="F66" s="1449" t="e">
        <f t="shared" si="0"/>
        <v>#DIV/0!</v>
      </c>
      <c r="G66" s="1450"/>
    </row>
    <row r="67" spans="1:7" ht="21.75" customHeight="1" x14ac:dyDescent="0.25">
      <c r="A67" s="1451">
        <v>1</v>
      </c>
      <c r="B67" s="1945" t="s">
        <v>97</v>
      </c>
      <c r="C67" s="1946"/>
      <c r="D67" s="1447">
        <f>5713287113/1000</f>
        <v>5713287.1129999999</v>
      </c>
      <c r="E67" s="1448">
        <v>5713951.9199999999</v>
      </c>
      <c r="F67" s="1449">
        <f t="shared" si="0"/>
        <v>-1.1634802135332455E-4</v>
      </c>
      <c r="G67" s="1450"/>
    </row>
    <row r="68" spans="1:7" ht="15.75" hidden="1" customHeight="1" x14ac:dyDescent="0.25">
      <c r="A68" s="1477"/>
      <c r="B68" s="1457"/>
      <c r="C68" s="1465"/>
      <c r="D68" s="1447"/>
      <c r="E68" s="1448"/>
      <c r="F68" s="1449" t="e">
        <f t="shared" si="0"/>
        <v>#DIV/0!</v>
      </c>
      <c r="G68" s="1450"/>
    </row>
    <row r="69" spans="1:7" ht="15.75" hidden="1" customHeight="1" x14ac:dyDescent="0.25">
      <c r="A69" s="1478" t="s">
        <v>98</v>
      </c>
      <c r="B69" s="1466" t="s">
        <v>99</v>
      </c>
      <c r="C69" s="1458"/>
      <c r="D69" s="1447" t="e">
        <f>+#REF!+#REF!+#REF!+#REF!</f>
        <v>#REF!</v>
      </c>
      <c r="E69" s="1448">
        <f t="shared" ref="E69:E74" si="3">+W69+AE69+AL69+AV69</f>
        <v>0</v>
      </c>
      <c r="F69" s="1449" t="e">
        <f t="shared" si="0"/>
        <v>#REF!</v>
      </c>
      <c r="G69" s="1450"/>
    </row>
    <row r="70" spans="1:7" ht="15.75" hidden="1" customHeight="1" x14ac:dyDescent="0.25">
      <c r="A70" s="1479" t="s">
        <v>100</v>
      </c>
      <c r="B70" s="1460" t="s">
        <v>101</v>
      </c>
      <c r="C70" s="1458"/>
      <c r="D70" s="1447" t="e">
        <f>+#REF!+#REF!+#REF!+#REF!</f>
        <v>#REF!</v>
      </c>
      <c r="E70" s="1448">
        <f t="shared" si="3"/>
        <v>0</v>
      </c>
      <c r="F70" s="1449" t="e">
        <f t="shared" si="0"/>
        <v>#REF!</v>
      </c>
      <c r="G70" s="1450"/>
    </row>
    <row r="71" spans="1:7" ht="15.75" hidden="1" customHeight="1" x14ac:dyDescent="0.25">
      <c r="A71" s="1479" t="s">
        <v>102</v>
      </c>
      <c r="B71" s="1460" t="s">
        <v>103</v>
      </c>
      <c r="C71" s="1458"/>
      <c r="D71" s="1447" t="e">
        <f>+#REF!+#REF!+#REF!+#REF!</f>
        <v>#REF!</v>
      </c>
      <c r="E71" s="1448">
        <f t="shared" si="3"/>
        <v>0</v>
      </c>
      <c r="F71" s="1449" t="e">
        <f t="shared" si="0"/>
        <v>#REF!</v>
      </c>
      <c r="G71" s="1450"/>
    </row>
    <row r="72" spans="1:7" ht="15.75" hidden="1" customHeight="1" x14ac:dyDescent="0.25">
      <c r="A72" s="1479" t="s">
        <v>104</v>
      </c>
      <c r="B72" s="1460" t="s">
        <v>105</v>
      </c>
      <c r="C72" s="1458"/>
      <c r="D72" s="1447" t="e">
        <f>+#REF!+#REF!+#REF!+#REF!</f>
        <v>#REF!</v>
      </c>
      <c r="E72" s="1448">
        <f t="shared" si="3"/>
        <v>0</v>
      </c>
      <c r="F72" s="1449" t="e">
        <f t="shared" si="0"/>
        <v>#REF!</v>
      </c>
      <c r="G72" s="1450"/>
    </row>
    <row r="73" spans="1:7" ht="15.75" hidden="1" customHeight="1" x14ac:dyDescent="0.25">
      <c r="A73" s="1479" t="s">
        <v>472</v>
      </c>
      <c r="B73" s="1460" t="s">
        <v>473</v>
      </c>
      <c r="C73" s="1465"/>
      <c r="D73" s="1447" t="e">
        <f>+#REF!+#REF!+#REF!+#REF!</f>
        <v>#REF!</v>
      </c>
      <c r="E73" s="1448">
        <f t="shared" si="3"/>
        <v>0</v>
      </c>
      <c r="F73" s="1449" t="e">
        <f t="shared" si="0"/>
        <v>#REF!</v>
      </c>
      <c r="G73" s="1450"/>
    </row>
    <row r="74" spans="1:7" ht="15.75" hidden="1" customHeight="1" x14ac:dyDescent="0.25">
      <c r="A74" s="1479" t="s">
        <v>106</v>
      </c>
      <c r="B74" s="1460" t="s">
        <v>107</v>
      </c>
      <c r="C74" s="1458"/>
      <c r="D74" s="1447" t="e">
        <f>+#REF!+#REF!+#REF!+#REF!</f>
        <v>#REF!</v>
      </c>
      <c r="E74" s="1448">
        <f t="shared" si="3"/>
        <v>0</v>
      </c>
      <c r="F74" s="1449" t="e">
        <f t="shared" ref="F74:F137" si="4">((D74-E74)/E74)</f>
        <v>#REF!</v>
      </c>
      <c r="G74" s="1450"/>
    </row>
    <row r="75" spans="1:7" ht="15.75" hidden="1" customHeight="1" x14ac:dyDescent="0.25">
      <c r="A75" s="1479"/>
      <c r="B75" s="1460"/>
      <c r="C75" s="1465"/>
      <c r="D75" s="1447"/>
      <c r="E75" s="1448"/>
      <c r="F75" s="1449" t="e">
        <f t="shared" si="4"/>
        <v>#DIV/0!</v>
      </c>
      <c r="G75" s="1450"/>
    </row>
    <row r="76" spans="1:7" ht="15.75" hidden="1" customHeight="1" x14ac:dyDescent="0.25">
      <c r="A76" s="1480" t="s">
        <v>108</v>
      </c>
      <c r="B76" s="1466" t="s">
        <v>109</v>
      </c>
      <c r="C76" s="1458"/>
      <c r="D76" s="1447" t="e">
        <f>+#REF!+#REF!+#REF!+#REF!</f>
        <v>#REF!</v>
      </c>
      <c r="E76" s="1448">
        <f t="shared" ref="E76:E81" si="5">+W76+AE76+AL76+AV76</f>
        <v>0</v>
      </c>
      <c r="F76" s="1449" t="e">
        <f t="shared" si="4"/>
        <v>#REF!</v>
      </c>
      <c r="G76" s="1450"/>
    </row>
    <row r="77" spans="1:7" ht="15.75" hidden="1" customHeight="1" x14ac:dyDescent="0.25">
      <c r="A77" s="1471" t="s">
        <v>110</v>
      </c>
      <c r="B77" s="1460" t="s">
        <v>111</v>
      </c>
      <c r="C77" s="1458"/>
      <c r="D77" s="1447" t="e">
        <f>+#REF!+#REF!+#REF!+#REF!</f>
        <v>#REF!</v>
      </c>
      <c r="E77" s="1448">
        <f t="shared" si="5"/>
        <v>0</v>
      </c>
      <c r="F77" s="1449" t="e">
        <f t="shared" si="4"/>
        <v>#REF!</v>
      </c>
      <c r="G77" s="1450"/>
    </row>
    <row r="78" spans="1:7" ht="15.75" hidden="1" customHeight="1" x14ac:dyDescent="0.25">
      <c r="A78" s="1470" t="s">
        <v>112</v>
      </c>
      <c r="B78" s="1460" t="s">
        <v>113</v>
      </c>
      <c r="C78" s="1458"/>
      <c r="D78" s="1447" t="e">
        <f>+#REF!+#REF!+#REF!+#REF!</f>
        <v>#REF!</v>
      </c>
      <c r="E78" s="1448">
        <f t="shared" si="5"/>
        <v>0</v>
      </c>
      <c r="F78" s="1449" t="e">
        <f t="shared" si="4"/>
        <v>#REF!</v>
      </c>
      <c r="G78" s="1450"/>
    </row>
    <row r="79" spans="1:7" ht="15.75" hidden="1" customHeight="1" x14ac:dyDescent="0.25">
      <c r="A79" s="1470" t="s">
        <v>114</v>
      </c>
      <c r="B79" s="1460" t="s">
        <v>115</v>
      </c>
      <c r="C79" s="1458"/>
      <c r="D79" s="1447" t="e">
        <f>+#REF!+#REF!+#REF!+#REF!</f>
        <v>#REF!</v>
      </c>
      <c r="E79" s="1448">
        <f t="shared" si="5"/>
        <v>0</v>
      </c>
      <c r="F79" s="1449" t="e">
        <f t="shared" si="4"/>
        <v>#REF!</v>
      </c>
      <c r="G79" s="1450"/>
    </row>
    <row r="80" spans="1:7" ht="15.75" hidden="1" customHeight="1" x14ac:dyDescent="0.25">
      <c r="A80" s="1470" t="s">
        <v>116</v>
      </c>
      <c r="B80" s="1460" t="s">
        <v>117</v>
      </c>
      <c r="C80" s="1458"/>
      <c r="D80" s="1447" t="e">
        <f>+#REF!+#REF!+#REF!+#REF!</f>
        <v>#REF!</v>
      </c>
      <c r="E80" s="1448">
        <f t="shared" si="5"/>
        <v>0</v>
      </c>
      <c r="F80" s="1449" t="e">
        <f t="shared" si="4"/>
        <v>#REF!</v>
      </c>
      <c r="G80" s="1450"/>
    </row>
    <row r="81" spans="1:7" ht="15.75" hidden="1" customHeight="1" x14ac:dyDescent="0.25">
      <c r="A81" s="1470" t="s">
        <v>118</v>
      </c>
      <c r="B81" s="1460" t="s">
        <v>119</v>
      </c>
      <c r="C81" s="1458"/>
      <c r="D81" s="1447" t="e">
        <f>+#REF!+#REF!+#REF!+#REF!</f>
        <v>#REF!</v>
      </c>
      <c r="E81" s="1448">
        <f t="shared" si="5"/>
        <v>0</v>
      </c>
      <c r="F81" s="1449" t="e">
        <f t="shared" si="4"/>
        <v>#REF!</v>
      </c>
      <c r="G81" s="1450"/>
    </row>
    <row r="82" spans="1:7" ht="15.75" hidden="1" customHeight="1" x14ac:dyDescent="0.25">
      <c r="A82" s="1470"/>
      <c r="B82" s="1460"/>
      <c r="C82" s="1465"/>
      <c r="D82" s="1447"/>
      <c r="E82" s="1448"/>
      <c r="F82" s="1449" t="e">
        <f t="shared" si="4"/>
        <v>#DIV/0!</v>
      </c>
      <c r="G82" s="1450"/>
    </row>
    <row r="83" spans="1:7" ht="15.75" hidden="1" customHeight="1" x14ac:dyDescent="0.25">
      <c r="A83" s="1480" t="s">
        <v>120</v>
      </c>
      <c r="B83" s="1466" t="s">
        <v>121</v>
      </c>
      <c r="C83" s="1458"/>
      <c r="D83" s="1447" t="e">
        <f>+#REF!+#REF!+#REF!+#REF!</f>
        <v>#REF!</v>
      </c>
      <c r="E83" s="1448">
        <f t="shared" ref="E83:E89" si="6">+W83+AE83+AL83+AV83</f>
        <v>0</v>
      </c>
      <c r="F83" s="1449" t="e">
        <f t="shared" si="4"/>
        <v>#REF!</v>
      </c>
      <c r="G83" s="1450"/>
    </row>
    <row r="84" spans="1:7" ht="15.75" hidden="1" customHeight="1" x14ac:dyDescent="0.25">
      <c r="A84" s="1481" t="s">
        <v>122</v>
      </c>
      <c r="B84" s="1460" t="s">
        <v>123</v>
      </c>
      <c r="C84" s="1458"/>
      <c r="D84" s="1447" t="e">
        <f>+#REF!+#REF!+#REF!+#REF!</f>
        <v>#REF!</v>
      </c>
      <c r="E84" s="1448">
        <f t="shared" si="6"/>
        <v>0</v>
      </c>
      <c r="F84" s="1449" t="e">
        <f t="shared" si="4"/>
        <v>#REF!</v>
      </c>
      <c r="G84" s="1450"/>
    </row>
    <row r="85" spans="1:7" ht="15.75" hidden="1" customHeight="1" x14ac:dyDescent="0.25">
      <c r="A85" s="1481" t="s">
        <v>124</v>
      </c>
      <c r="B85" s="1460" t="s">
        <v>125</v>
      </c>
      <c r="C85" s="1458"/>
      <c r="D85" s="1447" t="e">
        <f>+#REF!+#REF!+#REF!+#REF!</f>
        <v>#REF!</v>
      </c>
      <c r="E85" s="1448">
        <f t="shared" si="6"/>
        <v>0</v>
      </c>
      <c r="F85" s="1449" t="e">
        <f t="shared" si="4"/>
        <v>#REF!</v>
      </c>
      <c r="G85" s="1450"/>
    </row>
    <row r="86" spans="1:7" ht="15.75" hidden="1" customHeight="1" x14ac:dyDescent="0.25">
      <c r="A86" s="1481" t="s">
        <v>126</v>
      </c>
      <c r="B86" s="1460" t="s">
        <v>127</v>
      </c>
      <c r="C86" s="1458"/>
      <c r="D86" s="1447" t="e">
        <f>+#REF!+#REF!+#REF!+#REF!</f>
        <v>#REF!</v>
      </c>
      <c r="E86" s="1448">
        <f t="shared" si="6"/>
        <v>0</v>
      </c>
      <c r="F86" s="1449" t="e">
        <f t="shared" si="4"/>
        <v>#REF!</v>
      </c>
      <c r="G86" s="1450"/>
    </row>
    <row r="87" spans="1:7" ht="21.75" hidden="1" customHeight="1" x14ac:dyDescent="0.25">
      <c r="A87" s="1481" t="s">
        <v>128</v>
      </c>
      <c r="B87" s="1460" t="s">
        <v>129</v>
      </c>
      <c r="C87" s="1458"/>
      <c r="D87" s="1447" t="e">
        <f>+#REF!+#REF!+#REF!+#REF!</f>
        <v>#REF!</v>
      </c>
      <c r="E87" s="1448">
        <f t="shared" si="6"/>
        <v>0</v>
      </c>
      <c r="F87" s="1449" t="e">
        <f t="shared" si="4"/>
        <v>#REF!</v>
      </c>
      <c r="G87" s="1450"/>
    </row>
    <row r="88" spans="1:7" ht="30.75" hidden="1" customHeight="1" x14ac:dyDescent="0.25">
      <c r="A88" s="1481" t="s">
        <v>130</v>
      </c>
      <c r="B88" s="1460" t="s">
        <v>131</v>
      </c>
      <c r="C88" s="1458"/>
      <c r="D88" s="1447" t="e">
        <f>+#REF!+#REF!+#REF!+#REF!</f>
        <v>#REF!</v>
      </c>
      <c r="E88" s="1448">
        <f t="shared" si="6"/>
        <v>0</v>
      </c>
      <c r="F88" s="1449" t="e">
        <f t="shared" si="4"/>
        <v>#REF!</v>
      </c>
      <c r="G88" s="1450"/>
    </row>
    <row r="89" spans="1:7" ht="15.75" hidden="1" customHeight="1" x14ac:dyDescent="0.25">
      <c r="A89" s="1481" t="s">
        <v>132</v>
      </c>
      <c r="B89" s="1460" t="s">
        <v>133</v>
      </c>
      <c r="C89" s="1458"/>
      <c r="D89" s="1447" t="e">
        <f>+#REF!+#REF!+#REF!+#REF!</f>
        <v>#REF!</v>
      </c>
      <c r="E89" s="1448">
        <f t="shared" si="6"/>
        <v>0</v>
      </c>
      <c r="F89" s="1449" t="e">
        <f t="shared" si="4"/>
        <v>#REF!</v>
      </c>
      <c r="G89" s="1450"/>
    </row>
    <row r="90" spans="1:7" ht="15" hidden="1" customHeight="1" x14ac:dyDescent="0.25">
      <c r="A90" s="1482"/>
      <c r="B90" s="1460"/>
      <c r="C90" s="1465"/>
      <c r="D90" s="1447"/>
      <c r="E90" s="1448"/>
      <c r="F90" s="1449" t="e">
        <f t="shared" si="4"/>
        <v>#DIV/0!</v>
      </c>
      <c r="G90" s="1450"/>
    </row>
    <row r="91" spans="1:7" ht="15.75" hidden="1" customHeight="1" x14ac:dyDescent="0.25">
      <c r="A91" s="1480" t="s">
        <v>134</v>
      </c>
      <c r="B91" s="1466" t="s">
        <v>135</v>
      </c>
      <c r="C91" s="1458"/>
      <c r="D91" s="1447" t="e">
        <f>+#REF!+#REF!+#REF!+#REF!</f>
        <v>#REF!</v>
      </c>
      <c r="E91" s="1448">
        <f>+W91+AE91+AL91+AV91</f>
        <v>0</v>
      </c>
      <c r="F91" s="1449" t="e">
        <f t="shared" si="4"/>
        <v>#REF!</v>
      </c>
      <c r="G91" s="1450"/>
    </row>
    <row r="92" spans="1:7" ht="15.75" hidden="1" customHeight="1" x14ac:dyDescent="0.25">
      <c r="A92" s="1470" t="s">
        <v>136</v>
      </c>
      <c r="B92" s="1460" t="s">
        <v>137</v>
      </c>
      <c r="C92" s="1458"/>
      <c r="D92" s="1447"/>
      <c r="E92" s="1448"/>
      <c r="F92" s="1449" t="e">
        <f t="shared" si="4"/>
        <v>#DIV/0!</v>
      </c>
      <c r="G92" s="1450"/>
    </row>
    <row r="93" spans="1:7" ht="15.75" hidden="1" customHeight="1" x14ac:dyDescent="0.25">
      <c r="A93" s="1470" t="s">
        <v>138</v>
      </c>
      <c r="B93" s="1460" t="s">
        <v>139</v>
      </c>
      <c r="C93" s="1458"/>
      <c r="D93" s="1447" t="e">
        <f>+#REF!+#REF!+#REF!+#REF!</f>
        <v>#REF!</v>
      </c>
      <c r="E93" s="1448">
        <f>+W93+AE93+AL93+AV93</f>
        <v>0</v>
      </c>
      <c r="F93" s="1449" t="e">
        <f t="shared" si="4"/>
        <v>#REF!</v>
      </c>
      <c r="G93" s="1450"/>
    </row>
    <row r="94" spans="1:7" ht="15.75" hidden="1" customHeight="1" x14ac:dyDescent="0.25">
      <c r="A94" s="1470" t="s">
        <v>140</v>
      </c>
      <c r="B94" s="1460" t="s">
        <v>141</v>
      </c>
      <c r="C94" s="1458"/>
      <c r="D94" s="1447" t="e">
        <f>+#REF!+#REF!+#REF!+#REF!</f>
        <v>#REF!</v>
      </c>
      <c r="E94" s="1448">
        <f>+W94+AE94+AL94+AV94</f>
        <v>0</v>
      </c>
      <c r="F94" s="1449" t="e">
        <f t="shared" si="4"/>
        <v>#REF!</v>
      </c>
      <c r="G94" s="1450"/>
    </row>
    <row r="95" spans="1:7" ht="15.75" hidden="1" customHeight="1" x14ac:dyDescent="0.25">
      <c r="A95" s="1470" t="s">
        <v>142</v>
      </c>
      <c r="B95" s="1460" t="s">
        <v>143</v>
      </c>
      <c r="C95" s="1458"/>
      <c r="D95" s="1447" t="e">
        <f>+#REF!+#REF!+#REF!+#REF!</f>
        <v>#REF!</v>
      </c>
      <c r="E95" s="1448">
        <f>+W95+AE95+AL95+AV95</f>
        <v>0</v>
      </c>
      <c r="F95" s="1449" t="e">
        <f t="shared" si="4"/>
        <v>#REF!</v>
      </c>
      <c r="G95" s="1450"/>
    </row>
    <row r="96" spans="1:7" ht="15.75" hidden="1" customHeight="1" x14ac:dyDescent="0.25">
      <c r="A96" s="1470"/>
      <c r="B96" s="1460"/>
      <c r="C96" s="1458"/>
      <c r="D96" s="1447"/>
      <c r="E96" s="1448"/>
      <c r="F96" s="1449" t="e">
        <f t="shared" si="4"/>
        <v>#DIV/0!</v>
      </c>
      <c r="G96" s="1450"/>
    </row>
    <row r="97" spans="1:7" ht="15.75" hidden="1" customHeight="1" x14ac:dyDescent="0.25">
      <c r="A97" s="1470" t="s">
        <v>144</v>
      </c>
      <c r="B97" s="1460" t="s">
        <v>934</v>
      </c>
      <c r="C97" s="1458"/>
      <c r="D97" s="1447">
        <v>0</v>
      </c>
      <c r="E97" s="1448">
        <v>0</v>
      </c>
      <c r="F97" s="1449" t="e">
        <f t="shared" si="4"/>
        <v>#DIV/0!</v>
      </c>
      <c r="G97" s="1450"/>
    </row>
    <row r="98" spans="1:7" ht="15.75" hidden="1" customHeight="1" x14ac:dyDescent="0.25">
      <c r="A98" s="1470" t="s">
        <v>146</v>
      </c>
      <c r="B98" s="1460" t="s">
        <v>147</v>
      </c>
      <c r="C98" s="1458"/>
      <c r="D98" s="1447" t="e">
        <f>+#REF!+#REF!+#REF!+#REF!</f>
        <v>#REF!</v>
      </c>
      <c r="E98" s="1448">
        <f>+W98+AE98+AL98+AV98</f>
        <v>0</v>
      </c>
      <c r="F98" s="1449" t="e">
        <f t="shared" si="4"/>
        <v>#REF!</v>
      </c>
      <c r="G98" s="1450"/>
    </row>
    <row r="99" spans="1:7" ht="15.75" hidden="1" customHeight="1" x14ac:dyDescent="0.25">
      <c r="A99" s="1470" t="s">
        <v>148</v>
      </c>
      <c r="B99" s="1460" t="s">
        <v>149</v>
      </c>
      <c r="C99" s="1458"/>
      <c r="D99" s="1447" t="e">
        <f>+#REF!+#REF!+#REF!+#REF!</f>
        <v>#REF!</v>
      </c>
      <c r="E99" s="1448">
        <f>+W99+AE99+AL99+AV99</f>
        <v>0</v>
      </c>
      <c r="F99" s="1449" t="e">
        <f t="shared" si="4"/>
        <v>#REF!</v>
      </c>
      <c r="G99" s="1450"/>
    </row>
    <row r="100" spans="1:7" ht="15.75" hidden="1" customHeight="1" x14ac:dyDescent="0.25">
      <c r="A100" s="1470"/>
      <c r="B100" s="1460"/>
      <c r="C100" s="1465"/>
      <c r="D100" s="1447"/>
      <c r="E100" s="1448"/>
      <c r="F100" s="1449" t="e">
        <f t="shared" si="4"/>
        <v>#DIV/0!</v>
      </c>
      <c r="G100" s="1450"/>
    </row>
    <row r="101" spans="1:7" ht="15.75" hidden="1" customHeight="1" x14ac:dyDescent="0.25">
      <c r="A101" s="1480" t="s">
        <v>150</v>
      </c>
      <c r="B101" s="1466" t="s">
        <v>151</v>
      </c>
      <c r="C101" s="1458"/>
      <c r="D101" s="1447" t="e">
        <f>+#REF!+#REF!+#REF!+#REF!</f>
        <v>#REF!</v>
      </c>
      <c r="E101" s="1448">
        <f>+W101+AE101+AL101+AV101</f>
        <v>0</v>
      </c>
      <c r="F101" s="1449" t="e">
        <f t="shared" si="4"/>
        <v>#REF!</v>
      </c>
      <c r="G101" s="1450"/>
    </row>
    <row r="102" spans="1:7" ht="15.75" hidden="1" customHeight="1" x14ac:dyDescent="0.25">
      <c r="A102" s="1470" t="s">
        <v>152</v>
      </c>
      <c r="B102" s="1460" t="s">
        <v>153</v>
      </c>
      <c r="C102" s="1458"/>
      <c r="D102" s="1447" t="e">
        <f>+#REF!+#REF!+#REF!+#REF!</f>
        <v>#REF!</v>
      </c>
      <c r="E102" s="1448">
        <f>+W102+AE102+AL102+AV102</f>
        <v>0</v>
      </c>
      <c r="F102" s="1449" t="e">
        <f t="shared" si="4"/>
        <v>#REF!</v>
      </c>
      <c r="G102" s="1450"/>
    </row>
    <row r="103" spans="1:7" ht="15.75" hidden="1" customHeight="1" x14ac:dyDescent="0.25">
      <c r="A103" s="1470" t="s">
        <v>154</v>
      </c>
      <c r="B103" s="1460" t="s">
        <v>155</v>
      </c>
      <c r="C103" s="1458"/>
      <c r="D103" s="1447" t="e">
        <f>+#REF!+#REF!+#REF!+#REF!</f>
        <v>#REF!</v>
      </c>
      <c r="E103" s="1448">
        <f>+W103+AE103+AL103+AV103</f>
        <v>0</v>
      </c>
      <c r="F103" s="1449" t="e">
        <f t="shared" si="4"/>
        <v>#REF!</v>
      </c>
      <c r="G103" s="1450"/>
    </row>
    <row r="104" spans="1:7" ht="15.75" hidden="1" customHeight="1" x14ac:dyDescent="0.25">
      <c r="A104" s="1470" t="s">
        <v>156</v>
      </c>
      <c r="B104" s="1460" t="s">
        <v>157</v>
      </c>
      <c r="C104" s="1458"/>
      <c r="D104" s="1447" t="e">
        <f>+#REF!+#REF!+#REF!+#REF!</f>
        <v>#REF!</v>
      </c>
      <c r="E104" s="1448">
        <f>+W104+AE104+AL104+AV104</f>
        <v>0</v>
      </c>
      <c r="F104" s="1449" t="e">
        <f t="shared" si="4"/>
        <v>#REF!</v>
      </c>
      <c r="G104" s="1450"/>
    </row>
    <row r="105" spans="1:7" ht="15.75" hidden="1" customHeight="1" x14ac:dyDescent="0.25">
      <c r="A105" s="1470" t="s">
        <v>158</v>
      </c>
      <c r="B105" s="1460" t="s">
        <v>159</v>
      </c>
      <c r="C105" s="1458"/>
      <c r="D105" s="1447" t="e">
        <f>+#REF!+#REF!+#REF!+#REF!</f>
        <v>#REF!</v>
      </c>
      <c r="E105" s="1448">
        <f>+W105+AE105+AL105+AV105</f>
        <v>0</v>
      </c>
      <c r="F105" s="1449" t="e">
        <f t="shared" si="4"/>
        <v>#REF!</v>
      </c>
      <c r="G105" s="1450"/>
    </row>
    <row r="106" spans="1:7" ht="15.75" hidden="1" customHeight="1" x14ac:dyDescent="0.25">
      <c r="A106" s="1470"/>
      <c r="B106" s="1460"/>
      <c r="C106" s="1465"/>
      <c r="D106" s="1447"/>
      <c r="E106" s="1448"/>
      <c r="F106" s="1449" t="e">
        <f t="shared" si="4"/>
        <v>#DIV/0!</v>
      </c>
      <c r="G106" s="1450"/>
    </row>
    <row r="107" spans="1:7" ht="15.75" hidden="1" customHeight="1" x14ac:dyDescent="0.25">
      <c r="A107" s="1480" t="s">
        <v>160</v>
      </c>
      <c r="B107" s="1466" t="s">
        <v>161</v>
      </c>
      <c r="C107" s="1458"/>
      <c r="D107" s="1447" t="e">
        <f>+#REF!+#REF!+#REF!+#REF!</f>
        <v>#REF!</v>
      </c>
      <c r="E107" s="1448">
        <f>+W107+AE107+AL107+AV107</f>
        <v>0</v>
      </c>
      <c r="F107" s="1449" t="e">
        <f t="shared" si="4"/>
        <v>#REF!</v>
      </c>
      <c r="G107" s="1450"/>
    </row>
    <row r="108" spans="1:7" ht="15.75" hidden="1" customHeight="1" x14ac:dyDescent="0.25">
      <c r="A108" s="1483" t="s">
        <v>162</v>
      </c>
      <c r="B108" s="1460" t="s">
        <v>163</v>
      </c>
      <c r="C108" s="1458"/>
      <c r="D108" s="1447" t="e">
        <f>+#REF!+#REF!+#REF!+#REF!</f>
        <v>#REF!</v>
      </c>
      <c r="E108" s="1448">
        <f>+W108+AE108+AL108+AV108</f>
        <v>0</v>
      </c>
      <c r="F108" s="1449" t="e">
        <f t="shared" si="4"/>
        <v>#REF!</v>
      </c>
      <c r="G108" s="1450"/>
    </row>
    <row r="109" spans="1:7" ht="15.75" hidden="1" customHeight="1" x14ac:dyDescent="0.25">
      <c r="A109" s="1470" t="s">
        <v>164</v>
      </c>
      <c r="B109" s="1460" t="s">
        <v>165</v>
      </c>
      <c r="C109" s="1458"/>
      <c r="D109" s="1447" t="e">
        <f>+#REF!+#REF!+#REF!+#REF!</f>
        <v>#REF!</v>
      </c>
      <c r="E109" s="1448">
        <f>+W109+AE109+AL109+AV109</f>
        <v>0</v>
      </c>
      <c r="F109" s="1449" t="e">
        <f t="shared" si="4"/>
        <v>#REF!</v>
      </c>
      <c r="G109" s="1450"/>
    </row>
    <row r="110" spans="1:7" ht="15.75" hidden="1" customHeight="1" x14ac:dyDescent="0.25">
      <c r="A110" s="1470" t="s">
        <v>166</v>
      </c>
      <c r="B110" s="1460" t="s">
        <v>167</v>
      </c>
      <c r="C110" s="1458"/>
      <c r="D110" s="1447" t="e">
        <f>+#REF!+#REF!+#REF!+#REF!</f>
        <v>#REF!</v>
      </c>
      <c r="E110" s="1448">
        <f>+W110+AE110+AL110+AV110</f>
        <v>0</v>
      </c>
      <c r="F110" s="1449" t="e">
        <f t="shared" si="4"/>
        <v>#REF!</v>
      </c>
      <c r="G110" s="1450"/>
    </row>
    <row r="111" spans="1:7" ht="15.75" hidden="1" customHeight="1" x14ac:dyDescent="0.25">
      <c r="A111" s="1470"/>
      <c r="B111" s="1460"/>
      <c r="C111" s="1465"/>
      <c r="D111" s="1447"/>
      <c r="E111" s="1448"/>
      <c r="F111" s="1449" t="e">
        <f t="shared" si="4"/>
        <v>#DIV/0!</v>
      </c>
      <c r="G111" s="1450"/>
    </row>
    <row r="112" spans="1:7" ht="15.75" hidden="1" customHeight="1" x14ac:dyDescent="0.25">
      <c r="A112" s="1480" t="s">
        <v>168</v>
      </c>
      <c r="B112" s="1466" t="s">
        <v>169</v>
      </c>
      <c r="C112" s="1458"/>
      <c r="D112" s="1447" t="e">
        <f>+#REF!+#REF!+#REF!+#REF!</f>
        <v>#REF!</v>
      </c>
      <c r="E112" s="1448">
        <f>+W112+AE112+AL112+AV112</f>
        <v>0</v>
      </c>
      <c r="F112" s="1449" t="e">
        <f t="shared" si="4"/>
        <v>#REF!</v>
      </c>
      <c r="G112" s="1450"/>
    </row>
    <row r="113" spans="1:7" ht="15.75" hidden="1" customHeight="1" x14ac:dyDescent="0.25">
      <c r="A113" s="1470" t="s">
        <v>170</v>
      </c>
      <c r="B113" s="1460" t="s">
        <v>171</v>
      </c>
      <c r="C113" s="1458"/>
      <c r="D113" s="1447" t="e">
        <f>+#REF!+#REF!+#REF!+#REF!</f>
        <v>#REF!</v>
      </c>
      <c r="E113" s="1448">
        <f>+W113+AE113+AL113+AV113</f>
        <v>0</v>
      </c>
      <c r="F113" s="1449" t="e">
        <f t="shared" si="4"/>
        <v>#REF!</v>
      </c>
      <c r="G113" s="1450"/>
    </row>
    <row r="114" spans="1:7" ht="15.75" hidden="1" customHeight="1" x14ac:dyDescent="0.25">
      <c r="A114" s="1484" t="s">
        <v>172</v>
      </c>
      <c r="B114" s="1460" t="s">
        <v>173</v>
      </c>
      <c r="C114" s="1458"/>
      <c r="D114" s="1475" t="e">
        <f>+#REF!+#REF!+#REF!+#REF!</f>
        <v>#REF!</v>
      </c>
      <c r="E114" s="1476">
        <f>+W114+AE114+AL114+AV114</f>
        <v>0</v>
      </c>
      <c r="F114" s="1449" t="e">
        <f t="shared" si="4"/>
        <v>#REF!</v>
      </c>
      <c r="G114" s="1450"/>
    </row>
    <row r="115" spans="1:7" ht="15.75" hidden="1" customHeight="1" x14ac:dyDescent="0.25">
      <c r="A115" s="1470" t="s">
        <v>174</v>
      </c>
      <c r="B115" s="1460" t="s">
        <v>175</v>
      </c>
      <c r="C115" s="1458"/>
      <c r="D115" s="1447" t="e">
        <f>+#REF!+#REF!+#REF!+#REF!</f>
        <v>#REF!</v>
      </c>
      <c r="E115" s="1448">
        <f>+W115+AE115+AL115+AV115</f>
        <v>0</v>
      </c>
      <c r="F115" s="1449" t="e">
        <f t="shared" si="4"/>
        <v>#REF!</v>
      </c>
      <c r="G115" s="1450"/>
    </row>
    <row r="116" spans="1:7" ht="15.75" hidden="1" customHeight="1" x14ac:dyDescent="0.25">
      <c r="A116" s="1470"/>
      <c r="B116" s="1460"/>
      <c r="C116" s="1465"/>
      <c r="D116" s="1447"/>
      <c r="E116" s="1448"/>
      <c r="F116" s="1449" t="e">
        <f t="shared" si="4"/>
        <v>#DIV/0!</v>
      </c>
      <c r="G116" s="1450"/>
    </row>
    <row r="117" spans="1:7" ht="15.75" hidden="1" customHeight="1" x14ac:dyDescent="0.25">
      <c r="A117" s="1470"/>
      <c r="B117" s="1460"/>
      <c r="C117" s="1465"/>
      <c r="D117" s="1447"/>
      <c r="E117" s="1448"/>
      <c r="F117" s="1449" t="e">
        <f t="shared" si="4"/>
        <v>#DIV/0!</v>
      </c>
      <c r="G117" s="1450"/>
    </row>
    <row r="118" spans="1:7" ht="15.75" hidden="1" customHeight="1" x14ac:dyDescent="0.25">
      <c r="A118" s="1470"/>
      <c r="B118" s="1460"/>
      <c r="C118" s="1465"/>
      <c r="D118" s="1447" t="e">
        <f>+#REF!+#REF!+#REF!+#REF!</f>
        <v>#REF!</v>
      </c>
      <c r="E118" s="1448">
        <f>+W118+AE118+AL118+AV118</f>
        <v>0</v>
      </c>
      <c r="F118" s="1449" t="e">
        <f t="shared" si="4"/>
        <v>#REF!</v>
      </c>
      <c r="G118" s="1450"/>
    </row>
    <row r="119" spans="1:7" s="1434" customFormat="1" ht="15.75" hidden="1" customHeight="1" x14ac:dyDescent="0.25">
      <c r="A119" s="1470"/>
      <c r="B119" s="1460"/>
      <c r="C119" s="1465"/>
      <c r="D119" s="1447" t="e">
        <f>+#REF!+#REF!+#REF!+#REF!</f>
        <v>#REF!</v>
      </c>
      <c r="E119" s="1448">
        <f>+W119+AE119+AL119+AV119</f>
        <v>0</v>
      </c>
      <c r="F119" s="1449" t="e">
        <f t="shared" si="4"/>
        <v>#REF!</v>
      </c>
      <c r="G119" s="1450"/>
    </row>
    <row r="120" spans="1:7" ht="15.75" hidden="1" customHeight="1" x14ac:dyDescent="0.25">
      <c r="A120" s="1480" t="s">
        <v>176</v>
      </c>
      <c r="B120" s="1466" t="s">
        <v>177</v>
      </c>
      <c r="C120" s="1458"/>
      <c r="D120" s="1447" t="e">
        <f>+#REF!+#REF!+#REF!+#REF!</f>
        <v>#REF!</v>
      </c>
      <c r="E120" s="1448">
        <f>+W120+AE120+AL120+AV120</f>
        <v>0</v>
      </c>
      <c r="F120" s="1449" t="e">
        <f t="shared" si="4"/>
        <v>#REF!</v>
      </c>
      <c r="G120" s="1450"/>
    </row>
    <row r="121" spans="1:7" ht="15.75" hidden="1" customHeight="1" x14ac:dyDescent="0.25">
      <c r="A121" s="1480"/>
      <c r="B121" s="1466"/>
      <c r="C121" s="1485"/>
      <c r="D121" s="1447"/>
      <c r="E121" s="1448"/>
      <c r="F121" s="1449" t="e">
        <f t="shared" si="4"/>
        <v>#DIV/0!</v>
      </c>
      <c r="G121" s="1450"/>
    </row>
    <row r="122" spans="1:7" ht="15.75" hidden="1" customHeight="1" x14ac:dyDescent="0.25">
      <c r="A122" s="1470" t="s">
        <v>178</v>
      </c>
      <c r="B122" s="1460" t="s">
        <v>179</v>
      </c>
      <c r="C122" s="1458"/>
      <c r="D122" s="1447" t="e">
        <f>+#REF!+#REF!+#REF!+#REF!</f>
        <v>#REF!</v>
      </c>
      <c r="E122" s="1448">
        <f t="shared" ref="E122:E129" si="7">+W122+AE122+AL122+AV122</f>
        <v>0</v>
      </c>
      <c r="F122" s="1449" t="e">
        <f t="shared" si="4"/>
        <v>#REF!</v>
      </c>
      <c r="G122" s="1450"/>
    </row>
    <row r="123" spans="1:7" ht="15.75" hidden="1" customHeight="1" x14ac:dyDescent="0.25">
      <c r="A123" s="1471" t="s">
        <v>180</v>
      </c>
      <c r="B123" s="1460" t="s">
        <v>181</v>
      </c>
      <c r="C123" s="1458"/>
      <c r="D123" s="1447" t="e">
        <f>+#REF!+#REF!+#REF!+#REF!</f>
        <v>#REF!</v>
      </c>
      <c r="E123" s="1448">
        <f t="shared" si="7"/>
        <v>0</v>
      </c>
      <c r="F123" s="1449" t="e">
        <f t="shared" si="4"/>
        <v>#REF!</v>
      </c>
      <c r="G123" s="1450"/>
    </row>
    <row r="124" spans="1:7" ht="15.75" hidden="1" customHeight="1" x14ac:dyDescent="0.25">
      <c r="A124" s="1471" t="s">
        <v>567</v>
      </c>
      <c r="B124" s="1460" t="s">
        <v>568</v>
      </c>
      <c r="C124" s="1458"/>
      <c r="D124" s="1447" t="e">
        <f>+#REF!+#REF!+#REF!+#REF!</f>
        <v>#REF!</v>
      </c>
      <c r="E124" s="1448">
        <f t="shared" si="7"/>
        <v>0</v>
      </c>
      <c r="F124" s="1449" t="e">
        <f t="shared" si="4"/>
        <v>#REF!</v>
      </c>
      <c r="G124" s="1450"/>
    </row>
    <row r="125" spans="1:7" ht="13.5" hidden="1" customHeight="1" x14ac:dyDescent="0.25">
      <c r="A125" s="1470" t="s">
        <v>182</v>
      </c>
      <c r="B125" s="1460" t="s">
        <v>183</v>
      </c>
      <c r="C125" s="1458"/>
      <c r="D125" s="1447" t="e">
        <f>+#REF!+#REF!+#REF!+#REF!</f>
        <v>#REF!</v>
      </c>
      <c r="E125" s="1448">
        <f t="shared" si="7"/>
        <v>0</v>
      </c>
      <c r="F125" s="1449" t="e">
        <f t="shared" si="4"/>
        <v>#REF!</v>
      </c>
      <c r="G125" s="1450"/>
    </row>
    <row r="126" spans="1:7" ht="15.75" hidden="1" customHeight="1" x14ac:dyDescent="0.25">
      <c r="A126" s="1471" t="s">
        <v>184</v>
      </c>
      <c r="B126" s="1460" t="s">
        <v>185</v>
      </c>
      <c r="C126" s="1458"/>
      <c r="D126" s="1447" t="e">
        <f>+#REF!+#REF!+#REF!+#REF!</f>
        <v>#REF!</v>
      </c>
      <c r="E126" s="1448">
        <f t="shared" si="7"/>
        <v>0</v>
      </c>
      <c r="F126" s="1449" t="e">
        <f t="shared" si="4"/>
        <v>#REF!</v>
      </c>
      <c r="G126" s="1450"/>
    </row>
    <row r="127" spans="1:7" ht="15.75" hidden="1" customHeight="1" x14ac:dyDescent="0.25">
      <c r="A127" s="1470" t="s">
        <v>186</v>
      </c>
      <c r="B127" s="1460" t="s">
        <v>187</v>
      </c>
      <c r="C127" s="1458"/>
      <c r="D127" s="1447" t="e">
        <f>+#REF!+#REF!+#REF!+#REF!</f>
        <v>#REF!</v>
      </c>
      <c r="E127" s="1448">
        <f t="shared" si="7"/>
        <v>0</v>
      </c>
      <c r="F127" s="1449" t="e">
        <f t="shared" si="4"/>
        <v>#REF!</v>
      </c>
      <c r="G127" s="1450"/>
    </row>
    <row r="128" spans="1:7" ht="15.75" hidden="1" customHeight="1" x14ac:dyDescent="0.25">
      <c r="A128" s="1470" t="s">
        <v>188</v>
      </c>
      <c r="B128" s="1460" t="s">
        <v>189</v>
      </c>
      <c r="C128" s="1458"/>
      <c r="D128" s="1447" t="e">
        <f>+#REF!+#REF!+#REF!+#REF!</f>
        <v>#REF!</v>
      </c>
      <c r="E128" s="1448">
        <f t="shared" si="7"/>
        <v>0</v>
      </c>
      <c r="F128" s="1449" t="e">
        <f t="shared" si="4"/>
        <v>#REF!</v>
      </c>
      <c r="G128" s="1450"/>
    </row>
    <row r="129" spans="1:7" ht="15.75" hidden="1" customHeight="1" x14ac:dyDescent="0.25">
      <c r="A129" s="1470" t="s">
        <v>190</v>
      </c>
      <c r="B129" s="1460" t="s">
        <v>191</v>
      </c>
      <c r="C129" s="1458"/>
      <c r="D129" s="1447" t="e">
        <f>+#REF!+#REF!+#REF!+#REF!</f>
        <v>#REF!</v>
      </c>
      <c r="E129" s="1448">
        <f t="shared" si="7"/>
        <v>0</v>
      </c>
      <c r="F129" s="1449" t="e">
        <f t="shared" si="4"/>
        <v>#REF!</v>
      </c>
      <c r="G129" s="1450"/>
    </row>
    <row r="130" spans="1:7" ht="15.75" hidden="1" customHeight="1" x14ac:dyDescent="0.25">
      <c r="A130" s="1472"/>
      <c r="B130" s="1486"/>
      <c r="C130" s="1487"/>
      <c r="D130" s="1447"/>
      <c r="E130" s="1448"/>
      <c r="F130" s="1449" t="e">
        <f t="shared" si="4"/>
        <v>#DIV/0!</v>
      </c>
      <c r="G130" s="1450"/>
    </row>
    <row r="131" spans="1:7" ht="15.75" hidden="1" customHeight="1" x14ac:dyDescent="0.25">
      <c r="A131" s="1480" t="s">
        <v>192</v>
      </c>
      <c r="B131" s="1466" t="s">
        <v>193</v>
      </c>
      <c r="C131" s="1458"/>
      <c r="D131" s="1447" t="e">
        <f>+#REF!+#REF!+#REF!+#REF!</f>
        <v>#REF!</v>
      </c>
      <c r="E131" s="1448">
        <f>+W131+AE131+AL131+AV131</f>
        <v>0</v>
      </c>
      <c r="F131" s="1449" t="e">
        <f t="shared" si="4"/>
        <v>#REF!</v>
      </c>
      <c r="G131" s="1450"/>
    </row>
    <row r="132" spans="1:7" ht="21.75" hidden="1" customHeight="1" x14ac:dyDescent="0.25">
      <c r="A132" s="1470" t="s">
        <v>194</v>
      </c>
      <c r="B132" s="1460" t="s">
        <v>195</v>
      </c>
      <c r="C132" s="1458"/>
      <c r="D132" s="1447" t="e">
        <f>+#REF!+#REF!+#REF!+#REF!</f>
        <v>#REF!</v>
      </c>
      <c r="E132" s="1448">
        <f>+W132+AE132+AL132+AV132</f>
        <v>0</v>
      </c>
      <c r="F132" s="1449" t="e">
        <f t="shared" si="4"/>
        <v>#REF!</v>
      </c>
      <c r="G132" s="1450"/>
    </row>
    <row r="133" spans="1:7" ht="15.75" hidden="1" customHeight="1" x14ac:dyDescent="0.25">
      <c r="A133" s="1470" t="s">
        <v>196</v>
      </c>
      <c r="B133" s="1460" t="s">
        <v>197</v>
      </c>
      <c r="C133" s="1458"/>
      <c r="D133" s="1447" t="e">
        <f>+#REF!+#REF!+#REF!+#REF!</f>
        <v>#REF!</v>
      </c>
      <c r="E133" s="1448">
        <f>+W133+AE133+AL133+AV133</f>
        <v>0</v>
      </c>
      <c r="F133" s="1449" t="e">
        <f t="shared" si="4"/>
        <v>#REF!</v>
      </c>
      <c r="G133" s="1450"/>
    </row>
    <row r="134" spans="1:7" ht="15.75" hidden="1" customHeight="1" x14ac:dyDescent="0.25">
      <c r="A134" s="1470"/>
      <c r="B134" s="1460"/>
      <c r="C134" s="1488"/>
      <c r="D134" s="1447"/>
      <c r="E134" s="1448"/>
      <c r="F134" s="1449" t="e">
        <f t="shared" si="4"/>
        <v>#DIV/0!</v>
      </c>
      <c r="G134" s="1450"/>
    </row>
    <row r="135" spans="1:7" ht="15.75" hidden="1" customHeight="1" x14ac:dyDescent="0.25">
      <c r="A135" s="1480" t="s">
        <v>372</v>
      </c>
      <c r="B135" s="1466" t="s">
        <v>373</v>
      </c>
      <c r="C135" s="1458"/>
      <c r="D135" s="1447" t="e">
        <f>+#REF!+#REF!+#REF!+#REF!</f>
        <v>#REF!</v>
      </c>
      <c r="E135" s="1448">
        <f>+W135+AE135+AL135+AV135</f>
        <v>0</v>
      </c>
      <c r="F135" s="1449" t="e">
        <f t="shared" si="4"/>
        <v>#REF!</v>
      </c>
      <c r="G135" s="1450"/>
    </row>
    <row r="136" spans="1:7" ht="15.75" hidden="1" customHeight="1" x14ac:dyDescent="0.25">
      <c r="A136" s="1470" t="s">
        <v>198</v>
      </c>
      <c r="B136" s="1460" t="s">
        <v>199</v>
      </c>
      <c r="C136" s="1458"/>
      <c r="D136" s="1447" t="e">
        <f>+#REF!+#REF!+#REF!+#REF!</f>
        <v>#REF!</v>
      </c>
      <c r="E136" s="1448">
        <f>+W136+AE136+AL136+AV136</f>
        <v>0</v>
      </c>
      <c r="F136" s="1449" t="e">
        <f t="shared" si="4"/>
        <v>#REF!</v>
      </c>
      <c r="G136" s="1450"/>
    </row>
    <row r="137" spans="1:7" ht="15.75" hidden="1" customHeight="1" x14ac:dyDescent="0.25">
      <c r="A137" s="1470" t="s">
        <v>200</v>
      </c>
      <c r="B137" s="1460" t="s">
        <v>201</v>
      </c>
      <c r="C137" s="1458"/>
      <c r="D137" s="1447" t="e">
        <f>+#REF!+#REF!+#REF!+#REF!</f>
        <v>#REF!</v>
      </c>
      <c r="E137" s="1448">
        <f>+W137+AE137+AL137+AV137</f>
        <v>0</v>
      </c>
      <c r="F137" s="1449" t="e">
        <f t="shared" si="4"/>
        <v>#REF!</v>
      </c>
      <c r="G137" s="1450"/>
    </row>
    <row r="138" spans="1:7" ht="15.75" hidden="1" customHeight="1" x14ac:dyDescent="0.25">
      <c r="A138" s="1470" t="s">
        <v>202</v>
      </c>
      <c r="B138" s="1460" t="s">
        <v>203</v>
      </c>
      <c r="C138" s="1458"/>
      <c r="D138" s="1447" t="e">
        <f>+#REF!+#REF!+#REF!+#REF!</f>
        <v>#REF!</v>
      </c>
      <c r="E138" s="1448">
        <f>+W138+AE138+AL138+AV138</f>
        <v>0</v>
      </c>
      <c r="F138" s="1449" t="e">
        <f t="shared" ref="F138:F201" si="8">((D138-E138)/E138)</f>
        <v>#REF!</v>
      </c>
      <c r="G138" s="1450"/>
    </row>
    <row r="139" spans="1:7" ht="15.75" hidden="1" customHeight="1" x14ac:dyDescent="0.25">
      <c r="A139" s="1470"/>
      <c r="B139" s="1460"/>
      <c r="C139" s="1488"/>
      <c r="D139" s="1447"/>
      <c r="E139" s="1448"/>
      <c r="F139" s="1449" t="e">
        <f t="shared" si="8"/>
        <v>#DIV/0!</v>
      </c>
      <c r="G139" s="1450"/>
    </row>
    <row r="140" spans="1:7" ht="15.75" hidden="1" customHeight="1" x14ac:dyDescent="0.25">
      <c r="A140" s="1470"/>
      <c r="B140" s="1460"/>
      <c r="C140" s="1488"/>
      <c r="D140" s="1447"/>
      <c r="E140" s="1448"/>
      <c r="F140" s="1449" t="e">
        <f t="shared" si="8"/>
        <v>#DIV/0!</v>
      </c>
      <c r="G140" s="1450"/>
    </row>
    <row r="141" spans="1:7" ht="15.75" customHeight="1" x14ac:dyDescent="0.25">
      <c r="A141" s="1489">
        <v>2</v>
      </c>
      <c r="B141" s="1947" t="s">
        <v>204</v>
      </c>
      <c r="C141" s="1948"/>
      <c r="D141" s="1447">
        <f>132369300/1000</f>
        <v>132369.29999999999</v>
      </c>
      <c r="E141" s="1448">
        <v>157007.17000000001</v>
      </c>
      <c r="F141" s="1449">
        <f t="shared" si="8"/>
        <v>-0.15692194184507638</v>
      </c>
      <c r="G141" s="1450"/>
    </row>
    <row r="142" spans="1:7" ht="15.75" hidden="1" customHeight="1" x14ac:dyDescent="0.25">
      <c r="A142" s="1472"/>
      <c r="B142" s="1486"/>
      <c r="C142" s="1487"/>
      <c r="D142" s="1447"/>
      <c r="E142" s="1448"/>
      <c r="F142" s="1449" t="e">
        <f t="shared" si="8"/>
        <v>#DIV/0!</v>
      </c>
      <c r="G142" s="1450"/>
    </row>
    <row r="143" spans="1:7" ht="15.75" hidden="1" customHeight="1" x14ac:dyDescent="0.25">
      <c r="A143" s="1490" t="s">
        <v>205</v>
      </c>
      <c r="B143" s="1491" t="s">
        <v>206</v>
      </c>
      <c r="C143" s="1458"/>
      <c r="D143" s="1447" t="e">
        <f>+#REF!+#REF!+#REF!+#REF!</f>
        <v>#REF!</v>
      </c>
      <c r="E143" s="1448">
        <f>+W143+AE143+AL143+AV143</f>
        <v>0</v>
      </c>
      <c r="F143" s="1449" t="e">
        <f t="shared" si="8"/>
        <v>#REF!</v>
      </c>
      <c r="G143" s="1450"/>
    </row>
    <row r="144" spans="1:7" ht="15.75" hidden="1" customHeight="1" x14ac:dyDescent="0.25">
      <c r="A144" s="1470" t="s">
        <v>207</v>
      </c>
      <c r="B144" s="1460" t="s">
        <v>208</v>
      </c>
      <c r="C144" s="1458"/>
      <c r="D144" s="1447" t="e">
        <f>+#REF!+#REF!+#REF!+#REF!</f>
        <v>#REF!</v>
      </c>
      <c r="E144" s="1448">
        <f>+W144+AE144+AL144+AV144</f>
        <v>0</v>
      </c>
      <c r="F144" s="1449" t="e">
        <f t="shared" si="8"/>
        <v>#REF!</v>
      </c>
      <c r="G144" s="1450"/>
    </row>
    <row r="145" spans="1:7" ht="15.75" hidden="1" customHeight="1" x14ac:dyDescent="0.25">
      <c r="A145" s="1470" t="s">
        <v>209</v>
      </c>
      <c r="B145" s="1460" t="s">
        <v>210</v>
      </c>
      <c r="C145" s="1458"/>
      <c r="D145" s="1447" t="e">
        <f>+#REF!+#REF!+#REF!+#REF!</f>
        <v>#REF!</v>
      </c>
      <c r="E145" s="1448">
        <f>+W145+AE145+AL145+AV145</f>
        <v>0</v>
      </c>
      <c r="F145" s="1449" t="e">
        <f t="shared" si="8"/>
        <v>#REF!</v>
      </c>
      <c r="G145" s="1450"/>
    </row>
    <row r="146" spans="1:7" ht="15.75" hidden="1" customHeight="1" x14ac:dyDescent="0.25">
      <c r="A146" s="1470" t="s">
        <v>211</v>
      </c>
      <c r="B146" s="1460" t="s">
        <v>212</v>
      </c>
      <c r="C146" s="1458"/>
      <c r="D146" s="1447" t="e">
        <f>+#REF!+#REF!+#REF!+#REF!</f>
        <v>#REF!</v>
      </c>
      <c r="E146" s="1448">
        <f>+W146+AE146+AL146+AV146</f>
        <v>0</v>
      </c>
      <c r="F146" s="1449" t="e">
        <f t="shared" si="8"/>
        <v>#REF!</v>
      </c>
      <c r="G146" s="1450"/>
    </row>
    <row r="147" spans="1:7" ht="15.75" hidden="1" customHeight="1" x14ac:dyDescent="0.25">
      <c r="A147" s="1470" t="s">
        <v>213</v>
      </c>
      <c r="B147" s="1460" t="s">
        <v>214</v>
      </c>
      <c r="C147" s="1458"/>
      <c r="D147" s="1447" t="e">
        <f>+#REF!+#REF!+#REF!+#REF!</f>
        <v>#REF!</v>
      </c>
      <c r="E147" s="1448">
        <f>+W147+AE147+AL147+AV147</f>
        <v>0</v>
      </c>
      <c r="F147" s="1449" t="e">
        <f t="shared" si="8"/>
        <v>#REF!</v>
      </c>
      <c r="G147" s="1450"/>
    </row>
    <row r="148" spans="1:7" ht="15.75" hidden="1" customHeight="1" x14ac:dyDescent="0.25">
      <c r="A148" s="1470"/>
      <c r="B148" s="1460"/>
      <c r="C148" s="1465"/>
      <c r="D148" s="1447"/>
      <c r="E148" s="1448"/>
      <c r="F148" s="1449" t="e">
        <f t="shared" si="8"/>
        <v>#DIV/0!</v>
      </c>
      <c r="G148" s="1450"/>
    </row>
    <row r="149" spans="1:7" ht="15.75" hidden="1" customHeight="1" x14ac:dyDescent="0.25">
      <c r="A149" s="1480" t="s">
        <v>215</v>
      </c>
      <c r="B149" s="1466" t="s">
        <v>216</v>
      </c>
      <c r="C149" s="1458"/>
      <c r="D149" s="1447" t="e">
        <f>+#REF!+#REF!+#REF!+#REF!</f>
        <v>#REF!</v>
      </c>
      <c r="E149" s="1448">
        <f>+W149+AE149+AL149+AV149</f>
        <v>0</v>
      </c>
      <c r="F149" s="1449" t="e">
        <f t="shared" si="8"/>
        <v>#REF!</v>
      </c>
      <c r="G149" s="1450"/>
    </row>
    <row r="150" spans="1:7" ht="15.75" hidden="1" customHeight="1" x14ac:dyDescent="0.25">
      <c r="A150" s="1470" t="s">
        <v>217</v>
      </c>
      <c r="B150" s="1460" t="s">
        <v>218</v>
      </c>
      <c r="C150" s="1458"/>
      <c r="D150" s="1447" t="e">
        <f>+#REF!+#REF!+#REF!+#REF!</f>
        <v>#REF!</v>
      </c>
      <c r="E150" s="1448">
        <f>+W150+AE150+AL150+AV150</f>
        <v>0</v>
      </c>
      <c r="F150" s="1449" t="e">
        <f t="shared" si="8"/>
        <v>#REF!</v>
      </c>
      <c r="G150" s="1450"/>
    </row>
    <row r="151" spans="1:7" ht="15.75" hidden="1" customHeight="1" x14ac:dyDescent="0.25">
      <c r="A151" s="1470"/>
      <c r="B151" s="1460"/>
      <c r="C151" s="1465"/>
      <c r="D151" s="1447"/>
      <c r="E151" s="1448"/>
      <c r="F151" s="1449" t="e">
        <f t="shared" si="8"/>
        <v>#DIV/0!</v>
      </c>
      <c r="G151" s="1450"/>
    </row>
    <row r="152" spans="1:7" ht="15.75" hidden="1" customHeight="1" x14ac:dyDescent="0.25">
      <c r="A152" s="1480" t="s">
        <v>219</v>
      </c>
      <c r="B152" s="1466" t="s">
        <v>220</v>
      </c>
      <c r="C152" s="1458"/>
      <c r="D152" s="1447" t="e">
        <f>+#REF!+#REF!+#REF!+#REF!</f>
        <v>#REF!</v>
      </c>
      <c r="E152" s="1448">
        <f t="shared" ref="E152:E159" si="9">+W152+AE152+AL152+AV152</f>
        <v>0</v>
      </c>
      <c r="F152" s="1449" t="e">
        <f t="shared" si="8"/>
        <v>#REF!</v>
      </c>
      <c r="G152" s="1450"/>
    </row>
    <row r="153" spans="1:7" ht="15.75" hidden="1" customHeight="1" x14ac:dyDescent="0.25">
      <c r="A153" s="1470" t="s">
        <v>221</v>
      </c>
      <c r="B153" s="1460" t="s">
        <v>222</v>
      </c>
      <c r="C153" s="1458"/>
      <c r="D153" s="1447" t="e">
        <f>+#REF!+#REF!+#REF!+#REF!</f>
        <v>#REF!</v>
      </c>
      <c r="E153" s="1448">
        <f t="shared" si="9"/>
        <v>0</v>
      </c>
      <c r="F153" s="1449" t="e">
        <f t="shared" si="8"/>
        <v>#REF!</v>
      </c>
      <c r="G153" s="1450"/>
    </row>
    <row r="154" spans="1:7" ht="15.75" hidden="1" customHeight="1" x14ac:dyDescent="0.25">
      <c r="A154" s="1470" t="s">
        <v>223</v>
      </c>
      <c r="B154" s="1460" t="s">
        <v>224</v>
      </c>
      <c r="C154" s="1458"/>
      <c r="D154" s="1447" t="e">
        <f>+#REF!+#REF!+#REF!+#REF!</f>
        <v>#REF!</v>
      </c>
      <c r="E154" s="1448">
        <f t="shared" si="9"/>
        <v>0</v>
      </c>
      <c r="F154" s="1449" t="e">
        <f t="shared" si="8"/>
        <v>#REF!</v>
      </c>
      <c r="G154" s="1450"/>
    </row>
    <row r="155" spans="1:7" ht="15.75" hidden="1" customHeight="1" x14ac:dyDescent="0.25">
      <c r="A155" s="1470" t="s">
        <v>225</v>
      </c>
      <c r="B155" s="1460" t="s">
        <v>226</v>
      </c>
      <c r="C155" s="1458"/>
      <c r="D155" s="1447" t="e">
        <f>+#REF!+#REF!+#REF!+#REF!</f>
        <v>#REF!</v>
      </c>
      <c r="E155" s="1448">
        <f t="shared" si="9"/>
        <v>0</v>
      </c>
      <c r="F155" s="1449" t="e">
        <f t="shared" si="8"/>
        <v>#REF!</v>
      </c>
      <c r="G155" s="1450"/>
    </row>
    <row r="156" spans="1:7" ht="15.75" hidden="1" customHeight="1" x14ac:dyDescent="0.25">
      <c r="A156" s="1453" t="s">
        <v>227</v>
      </c>
      <c r="B156" s="1460" t="s">
        <v>228</v>
      </c>
      <c r="C156" s="1458"/>
      <c r="D156" s="1447" t="e">
        <f>+#REF!+#REF!+#REF!+#REF!</f>
        <v>#REF!</v>
      </c>
      <c r="E156" s="1448">
        <f t="shared" si="9"/>
        <v>0</v>
      </c>
      <c r="F156" s="1449" t="e">
        <f t="shared" si="8"/>
        <v>#REF!</v>
      </c>
      <c r="G156" s="1450"/>
    </row>
    <row r="157" spans="1:7" ht="15.75" hidden="1" customHeight="1" x14ac:dyDescent="0.25">
      <c r="A157" s="1470" t="s">
        <v>229</v>
      </c>
      <c r="B157" s="1460" t="s">
        <v>230</v>
      </c>
      <c r="C157" s="1458"/>
      <c r="D157" s="1447" t="e">
        <f>+#REF!+#REF!+#REF!+#REF!</f>
        <v>#REF!</v>
      </c>
      <c r="E157" s="1448">
        <f t="shared" si="9"/>
        <v>0</v>
      </c>
      <c r="F157" s="1449" t="e">
        <f t="shared" si="8"/>
        <v>#REF!</v>
      </c>
      <c r="G157" s="1450"/>
    </row>
    <row r="158" spans="1:7" ht="15.75" hidden="1" customHeight="1" x14ac:dyDescent="0.25">
      <c r="A158" s="1470" t="s">
        <v>231</v>
      </c>
      <c r="B158" s="1460" t="s">
        <v>232</v>
      </c>
      <c r="C158" s="1458"/>
      <c r="D158" s="1447" t="e">
        <f>+#REF!+#REF!+#REF!+#REF!</f>
        <v>#REF!</v>
      </c>
      <c r="E158" s="1448">
        <f t="shared" si="9"/>
        <v>0</v>
      </c>
      <c r="F158" s="1449" t="e">
        <f t="shared" si="8"/>
        <v>#REF!</v>
      </c>
      <c r="G158" s="1450"/>
    </row>
    <row r="159" spans="1:7" ht="15.75" hidden="1" customHeight="1" x14ac:dyDescent="0.25">
      <c r="A159" s="1470" t="s">
        <v>233</v>
      </c>
      <c r="B159" s="1460" t="s">
        <v>234</v>
      </c>
      <c r="C159" s="1458"/>
      <c r="D159" s="1447" t="e">
        <f>+#REF!+#REF!+#REF!+#REF!</f>
        <v>#REF!</v>
      </c>
      <c r="E159" s="1448">
        <f t="shared" si="9"/>
        <v>0</v>
      </c>
      <c r="F159" s="1449" t="e">
        <f t="shared" si="8"/>
        <v>#REF!</v>
      </c>
      <c r="G159" s="1450"/>
    </row>
    <row r="160" spans="1:7" ht="15.75" hidden="1" customHeight="1" x14ac:dyDescent="0.25">
      <c r="A160" s="1470"/>
      <c r="B160" s="1460"/>
      <c r="C160" s="1465"/>
      <c r="D160" s="1447"/>
      <c r="E160" s="1448"/>
      <c r="F160" s="1449" t="e">
        <f t="shared" si="8"/>
        <v>#DIV/0!</v>
      </c>
      <c r="G160" s="1450"/>
    </row>
    <row r="161" spans="1:7" ht="15.75" hidden="1" customHeight="1" x14ac:dyDescent="0.25">
      <c r="A161" s="1480" t="s">
        <v>235</v>
      </c>
      <c r="B161" s="1466" t="s">
        <v>236</v>
      </c>
      <c r="C161" s="1458"/>
      <c r="D161" s="1447" t="e">
        <f>+#REF!+#REF!+#REF!+#REF!</f>
        <v>#REF!</v>
      </c>
      <c r="E161" s="1448">
        <f>+W161+AE161+AL161+AV161</f>
        <v>0</v>
      </c>
      <c r="F161" s="1449" t="e">
        <f t="shared" si="8"/>
        <v>#REF!</v>
      </c>
      <c r="G161" s="1450"/>
    </row>
    <row r="162" spans="1:7" ht="15.75" hidden="1" customHeight="1" x14ac:dyDescent="0.25">
      <c r="A162" s="1470" t="s">
        <v>237</v>
      </c>
      <c r="B162" s="1460" t="s">
        <v>238</v>
      </c>
      <c r="C162" s="1458"/>
      <c r="D162" s="1447" t="e">
        <f>+#REF!+#REF!+#REF!+#REF!</f>
        <v>#REF!</v>
      </c>
      <c r="E162" s="1448">
        <f>+W162+AE162+AL162+AV162</f>
        <v>0</v>
      </c>
      <c r="F162" s="1449" t="e">
        <f t="shared" si="8"/>
        <v>#REF!</v>
      </c>
      <c r="G162" s="1450"/>
    </row>
    <row r="163" spans="1:7" ht="15.75" hidden="1" customHeight="1" x14ac:dyDescent="0.25">
      <c r="A163" s="1470" t="s">
        <v>239</v>
      </c>
      <c r="B163" s="1460" t="s">
        <v>240</v>
      </c>
      <c r="C163" s="1458"/>
      <c r="D163" s="1447" t="e">
        <f>+#REF!+#REF!+#REF!+#REF!</f>
        <v>#REF!</v>
      </c>
      <c r="E163" s="1448">
        <f>+W163+AE163+AL163+AV163</f>
        <v>0</v>
      </c>
      <c r="F163" s="1449" t="e">
        <f t="shared" si="8"/>
        <v>#REF!</v>
      </c>
      <c r="G163" s="1450"/>
    </row>
    <row r="164" spans="1:7" ht="15.75" hidden="1" customHeight="1" x14ac:dyDescent="0.25">
      <c r="A164" s="1470"/>
      <c r="B164" s="1460"/>
      <c r="C164" s="1465"/>
      <c r="D164" s="1447"/>
      <c r="E164" s="1448"/>
      <c r="F164" s="1449" t="e">
        <f t="shared" si="8"/>
        <v>#DIV/0!</v>
      </c>
      <c r="G164" s="1450"/>
    </row>
    <row r="165" spans="1:7" ht="15.75" hidden="1" customHeight="1" x14ac:dyDescent="0.25">
      <c r="A165" s="1480" t="s">
        <v>241</v>
      </c>
      <c r="B165" s="1466" t="s">
        <v>242</v>
      </c>
      <c r="C165" s="1458"/>
      <c r="D165" s="1447" t="e">
        <f>+#REF!+#REF!+#REF!+#REF!</f>
        <v>#REF!</v>
      </c>
      <c r="E165" s="1448">
        <f t="shared" ref="E165:E173" si="10">+W165+AE165+AL165+AV165</f>
        <v>0</v>
      </c>
      <c r="F165" s="1449" t="e">
        <f t="shared" si="8"/>
        <v>#REF!</v>
      </c>
      <c r="G165" s="1450"/>
    </row>
    <row r="166" spans="1:7" ht="15.75" hidden="1" customHeight="1" x14ac:dyDescent="0.25">
      <c r="A166" s="1470" t="s">
        <v>243</v>
      </c>
      <c r="B166" s="1460" t="s">
        <v>244</v>
      </c>
      <c r="C166" s="1458"/>
      <c r="D166" s="1447" t="e">
        <f>+#REF!+#REF!+#REF!+#REF!</f>
        <v>#REF!</v>
      </c>
      <c r="E166" s="1448">
        <f t="shared" si="10"/>
        <v>0</v>
      </c>
      <c r="F166" s="1449" t="e">
        <f t="shared" si="8"/>
        <v>#REF!</v>
      </c>
      <c r="G166" s="1450"/>
    </row>
    <row r="167" spans="1:7" ht="15.75" hidden="1" customHeight="1" x14ac:dyDescent="0.25">
      <c r="A167" s="1470" t="s">
        <v>469</v>
      </c>
      <c r="B167" s="1460" t="s">
        <v>470</v>
      </c>
      <c r="C167" s="1465"/>
      <c r="D167" s="1447" t="e">
        <f>+#REF!+#REF!+#REF!+#REF!</f>
        <v>#REF!</v>
      </c>
      <c r="E167" s="1448">
        <f t="shared" si="10"/>
        <v>0</v>
      </c>
      <c r="F167" s="1449" t="e">
        <f t="shared" si="8"/>
        <v>#REF!</v>
      </c>
      <c r="G167" s="1450"/>
    </row>
    <row r="168" spans="1:7" ht="15.75" hidden="1" customHeight="1" x14ac:dyDescent="0.25">
      <c r="A168" s="1484" t="s">
        <v>245</v>
      </c>
      <c r="B168" s="1460" t="s">
        <v>246</v>
      </c>
      <c r="C168" s="1458"/>
      <c r="D168" s="1475" t="e">
        <f>+#REF!+#REF!+#REF!+#REF!</f>
        <v>#REF!</v>
      </c>
      <c r="E168" s="1476">
        <f t="shared" si="10"/>
        <v>0</v>
      </c>
      <c r="F168" s="1449" t="e">
        <f t="shared" si="8"/>
        <v>#REF!</v>
      </c>
      <c r="G168" s="1450"/>
    </row>
    <row r="169" spans="1:7" ht="15.75" hidden="1" customHeight="1" x14ac:dyDescent="0.25">
      <c r="A169" s="1470" t="s">
        <v>247</v>
      </c>
      <c r="B169" s="1460" t="s">
        <v>248</v>
      </c>
      <c r="C169" s="1458"/>
      <c r="D169" s="1447" t="e">
        <f>+#REF!+#REF!+#REF!+#REF!</f>
        <v>#REF!</v>
      </c>
      <c r="E169" s="1448">
        <f t="shared" si="10"/>
        <v>0</v>
      </c>
      <c r="F169" s="1449" t="e">
        <f t="shared" si="8"/>
        <v>#REF!</v>
      </c>
      <c r="G169" s="1450"/>
    </row>
    <row r="170" spans="1:7" ht="15.75" hidden="1" customHeight="1" x14ac:dyDescent="0.25">
      <c r="A170" s="1470" t="s">
        <v>249</v>
      </c>
      <c r="B170" s="1460" t="s">
        <v>250</v>
      </c>
      <c r="C170" s="1458"/>
      <c r="D170" s="1447" t="e">
        <f>+#REF!+#REF!+#REF!+#REF!</f>
        <v>#REF!</v>
      </c>
      <c r="E170" s="1448">
        <f t="shared" si="10"/>
        <v>0</v>
      </c>
      <c r="F170" s="1449" t="e">
        <f t="shared" si="8"/>
        <v>#REF!</v>
      </c>
      <c r="G170" s="1450"/>
    </row>
    <row r="171" spans="1:7" ht="15.75" hidden="1" customHeight="1" x14ac:dyDescent="0.25">
      <c r="A171" s="1470" t="s">
        <v>251</v>
      </c>
      <c r="B171" s="1460" t="s">
        <v>252</v>
      </c>
      <c r="C171" s="1458"/>
      <c r="D171" s="1447" t="e">
        <f>+#REF!+#REF!+#REF!+#REF!</f>
        <v>#REF!</v>
      </c>
      <c r="E171" s="1448">
        <f t="shared" si="10"/>
        <v>0</v>
      </c>
      <c r="F171" s="1449" t="e">
        <f t="shared" si="8"/>
        <v>#REF!</v>
      </c>
      <c r="G171" s="1450"/>
    </row>
    <row r="172" spans="1:7" ht="15.75" hidden="1" customHeight="1" x14ac:dyDescent="0.25">
      <c r="A172" s="1470" t="s">
        <v>253</v>
      </c>
      <c r="B172" s="1460" t="s">
        <v>254</v>
      </c>
      <c r="C172" s="1458"/>
      <c r="D172" s="1447" t="e">
        <f>+#REF!+#REF!+#REF!+#REF!</f>
        <v>#REF!</v>
      </c>
      <c r="E172" s="1448">
        <f t="shared" si="10"/>
        <v>0</v>
      </c>
      <c r="F172" s="1449" t="e">
        <f t="shared" si="8"/>
        <v>#REF!</v>
      </c>
      <c r="G172" s="1450"/>
    </row>
    <row r="173" spans="1:7" ht="15.75" hidden="1" customHeight="1" x14ac:dyDescent="0.25">
      <c r="A173" s="1470" t="s">
        <v>255</v>
      </c>
      <c r="B173" s="1460" t="s">
        <v>256</v>
      </c>
      <c r="C173" s="1458"/>
      <c r="D173" s="1447" t="e">
        <f>+#REF!+#REF!+#REF!+#REF!</f>
        <v>#REF!</v>
      </c>
      <c r="E173" s="1448">
        <f t="shared" si="10"/>
        <v>0</v>
      </c>
      <c r="F173" s="1449" t="e">
        <f t="shared" si="8"/>
        <v>#REF!</v>
      </c>
      <c r="G173" s="1450"/>
    </row>
    <row r="174" spans="1:7" ht="15.75" hidden="1" customHeight="1" x14ac:dyDescent="0.25">
      <c r="A174" s="1470"/>
      <c r="B174" s="1460"/>
      <c r="C174" s="1465"/>
      <c r="D174" s="1447"/>
      <c r="E174" s="1448"/>
      <c r="F174" s="1449" t="e">
        <f t="shared" si="8"/>
        <v>#DIV/0!</v>
      </c>
      <c r="G174" s="1450"/>
    </row>
    <row r="175" spans="1:7" ht="15.75" hidden="1" customHeight="1" x14ac:dyDescent="0.25">
      <c r="A175" s="1453"/>
      <c r="B175" s="1460"/>
      <c r="C175" s="1465"/>
      <c r="D175" s="1447"/>
      <c r="E175" s="1448"/>
      <c r="F175" s="1449" t="e">
        <f t="shared" si="8"/>
        <v>#DIV/0!</v>
      </c>
      <c r="G175" s="1450"/>
    </row>
    <row r="176" spans="1:7" ht="15.75" customHeight="1" x14ac:dyDescent="0.25">
      <c r="A176" s="1492">
        <v>3</v>
      </c>
      <c r="B176" s="1945" t="s">
        <v>257</v>
      </c>
      <c r="C176" s="1946"/>
      <c r="D176" s="1447">
        <f>719495680/1000</f>
        <v>719495.68000000005</v>
      </c>
      <c r="E176" s="1448">
        <v>1058124.3400000001</v>
      </c>
      <c r="F176" s="1449">
        <f t="shared" si="8"/>
        <v>-0.32002728526214602</v>
      </c>
      <c r="G176" s="1450"/>
    </row>
    <row r="177" spans="1:7" ht="15.75" hidden="1" customHeight="1" x14ac:dyDescent="0.25">
      <c r="A177" s="1453"/>
      <c r="B177" s="1460"/>
      <c r="C177" s="1465"/>
      <c r="D177" s="1447"/>
      <c r="E177" s="1448"/>
      <c r="F177" s="1449" t="e">
        <f t="shared" si="8"/>
        <v>#DIV/0!</v>
      </c>
      <c r="G177" s="1450"/>
    </row>
    <row r="178" spans="1:7" ht="15.75" hidden="1" customHeight="1" x14ac:dyDescent="0.25">
      <c r="A178" s="1480" t="s">
        <v>258</v>
      </c>
      <c r="B178" s="1466" t="s">
        <v>259</v>
      </c>
      <c r="C178" s="1458"/>
      <c r="D178" s="1447" t="e">
        <f>+#REF!+#REF!+#REF!+#REF!</f>
        <v>#REF!</v>
      </c>
      <c r="E178" s="1448">
        <f t="shared" ref="E178:E188" si="11">+W178+AE178+AL178+AV178</f>
        <v>0</v>
      </c>
      <c r="F178" s="1449" t="e">
        <f t="shared" si="8"/>
        <v>#REF!</v>
      </c>
      <c r="G178" s="1450"/>
    </row>
    <row r="179" spans="1:7" ht="15.75" hidden="1" customHeight="1" x14ac:dyDescent="0.25">
      <c r="A179" s="1470" t="s">
        <v>260</v>
      </c>
      <c r="B179" s="1460" t="s">
        <v>261</v>
      </c>
      <c r="C179" s="1458"/>
      <c r="D179" s="1447" t="e">
        <f>+#REF!+#REF!+#REF!+#REF!</f>
        <v>#REF!</v>
      </c>
      <c r="E179" s="1448">
        <f t="shared" si="11"/>
        <v>0</v>
      </c>
      <c r="F179" s="1449" t="e">
        <f t="shared" si="8"/>
        <v>#REF!</v>
      </c>
      <c r="G179" s="1450"/>
    </row>
    <row r="180" spans="1:7" ht="15.75" hidden="1" customHeight="1" x14ac:dyDescent="0.25">
      <c r="A180" s="1470" t="s">
        <v>262</v>
      </c>
      <c r="B180" s="1460" t="s">
        <v>263</v>
      </c>
      <c r="C180" s="1458"/>
      <c r="D180" s="1447" t="e">
        <f>+#REF!+#REF!+#REF!+#REF!</f>
        <v>#REF!</v>
      </c>
      <c r="E180" s="1448">
        <f t="shared" si="11"/>
        <v>0</v>
      </c>
      <c r="F180" s="1449" t="e">
        <f t="shared" si="8"/>
        <v>#REF!</v>
      </c>
      <c r="G180" s="1450"/>
    </row>
    <row r="181" spans="1:7" ht="15.75" hidden="1" customHeight="1" x14ac:dyDescent="0.25">
      <c r="A181" s="1470" t="s">
        <v>264</v>
      </c>
      <c r="B181" s="1460" t="s">
        <v>265</v>
      </c>
      <c r="C181" s="1458"/>
      <c r="D181" s="1447" t="e">
        <f>+#REF!+#REF!+#REF!+#REF!</f>
        <v>#REF!</v>
      </c>
      <c r="E181" s="1448">
        <f t="shared" si="11"/>
        <v>0</v>
      </c>
      <c r="F181" s="1449" t="e">
        <f t="shared" si="8"/>
        <v>#REF!</v>
      </c>
      <c r="G181" s="1450"/>
    </row>
    <row r="182" spans="1:7" ht="15.75" hidden="1" customHeight="1" x14ac:dyDescent="0.25">
      <c r="A182" s="1470" t="s">
        <v>266</v>
      </c>
      <c r="B182" s="1460" t="s">
        <v>267</v>
      </c>
      <c r="C182" s="1458"/>
      <c r="D182" s="1447" t="e">
        <f>+#REF!+#REF!+#REF!+#REF!</f>
        <v>#REF!</v>
      </c>
      <c r="E182" s="1448">
        <f t="shared" si="11"/>
        <v>0</v>
      </c>
      <c r="F182" s="1449" t="e">
        <f t="shared" si="8"/>
        <v>#REF!</v>
      </c>
      <c r="G182" s="1450"/>
    </row>
    <row r="183" spans="1:7" ht="15.75" hidden="1" customHeight="1" x14ac:dyDescent="0.25">
      <c r="A183" s="1470" t="s">
        <v>268</v>
      </c>
      <c r="B183" s="1460" t="s">
        <v>269</v>
      </c>
      <c r="C183" s="1458"/>
      <c r="D183" s="1447" t="e">
        <f>+#REF!+#REF!+#REF!+#REF!</f>
        <v>#REF!</v>
      </c>
      <c r="E183" s="1448">
        <f t="shared" si="11"/>
        <v>0</v>
      </c>
      <c r="F183" s="1449" t="e">
        <f t="shared" si="8"/>
        <v>#REF!</v>
      </c>
      <c r="G183" s="1450"/>
    </row>
    <row r="184" spans="1:7" ht="15.75" hidden="1" customHeight="1" x14ac:dyDescent="0.25">
      <c r="A184" s="1470" t="s">
        <v>270</v>
      </c>
      <c r="B184" s="1460" t="s">
        <v>271</v>
      </c>
      <c r="C184" s="1458"/>
      <c r="D184" s="1447" t="e">
        <f>+#REF!+#REF!+#REF!+#REF!</f>
        <v>#REF!</v>
      </c>
      <c r="E184" s="1448">
        <f t="shared" si="11"/>
        <v>0</v>
      </c>
      <c r="F184" s="1449" t="e">
        <f t="shared" si="8"/>
        <v>#REF!</v>
      </c>
      <c r="G184" s="1450"/>
    </row>
    <row r="185" spans="1:7" ht="16.5" hidden="1" customHeight="1" x14ac:dyDescent="0.25">
      <c r="A185" s="1470" t="s">
        <v>272</v>
      </c>
      <c r="B185" s="1460" t="s">
        <v>273</v>
      </c>
      <c r="C185" s="1458"/>
      <c r="D185" s="1447" t="e">
        <f>+#REF!+#REF!+#REF!+#REF!</f>
        <v>#REF!</v>
      </c>
      <c r="E185" s="1448">
        <f t="shared" si="11"/>
        <v>0</v>
      </c>
      <c r="F185" s="1449" t="e">
        <f t="shared" si="8"/>
        <v>#REF!</v>
      </c>
      <c r="G185" s="1450"/>
    </row>
    <row r="186" spans="1:7" ht="16.5" hidden="1" customHeight="1" x14ac:dyDescent="0.25">
      <c r="A186" s="1470"/>
      <c r="B186" s="1460"/>
      <c r="C186" s="1465"/>
      <c r="D186" s="1447" t="e">
        <f>+#REF!+#REF!+#REF!+#REF!</f>
        <v>#REF!</v>
      </c>
      <c r="E186" s="1448">
        <f t="shared" si="11"/>
        <v>0</v>
      </c>
      <c r="F186" s="1449" t="e">
        <f t="shared" si="8"/>
        <v>#REF!</v>
      </c>
      <c r="G186" s="1450"/>
    </row>
    <row r="187" spans="1:7" ht="16.5" hidden="1" customHeight="1" x14ac:dyDescent="0.25">
      <c r="A187" s="1480" t="s">
        <v>274</v>
      </c>
      <c r="B187" s="1466" t="s">
        <v>275</v>
      </c>
      <c r="C187" s="1458"/>
      <c r="D187" s="1447" t="e">
        <f>+#REF!+#REF!+#REF!+#REF!</f>
        <v>#REF!</v>
      </c>
      <c r="E187" s="1448">
        <f t="shared" si="11"/>
        <v>0</v>
      </c>
      <c r="F187" s="1449" t="e">
        <f t="shared" si="8"/>
        <v>#REF!</v>
      </c>
      <c r="G187" s="1450"/>
    </row>
    <row r="188" spans="1:7" ht="16.5" hidden="1" customHeight="1" x14ac:dyDescent="0.25">
      <c r="A188" s="1470" t="s">
        <v>276</v>
      </c>
      <c r="B188" s="1460" t="s">
        <v>379</v>
      </c>
      <c r="C188" s="1458"/>
      <c r="D188" s="1447" t="e">
        <f>+#REF!+#REF!+#REF!+#REF!</f>
        <v>#REF!</v>
      </c>
      <c r="E188" s="1448">
        <f t="shared" si="11"/>
        <v>0</v>
      </c>
      <c r="F188" s="1449" t="e">
        <f t="shared" si="8"/>
        <v>#REF!</v>
      </c>
      <c r="G188" s="1450"/>
    </row>
    <row r="189" spans="1:7" ht="15.75" hidden="1" customHeight="1" x14ac:dyDescent="0.25">
      <c r="A189" s="1470"/>
      <c r="B189" s="1460"/>
      <c r="C189" s="1465"/>
      <c r="D189" s="1447"/>
      <c r="E189" s="1448"/>
      <c r="F189" s="1449" t="e">
        <f t="shared" si="8"/>
        <v>#DIV/0!</v>
      </c>
      <c r="G189" s="1450"/>
    </row>
    <row r="190" spans="1:7" ht="15.75" customHeight="1" x14ac:dyDescent="0.25">
      <c r="A190" s="1493">
        <v>4</v>
      </c>
      <c r="B190" s="1945" t="s">
        <v>277</v>
      </c>
      <c r="C190" s="1946"/>
      <c r="D190" s="1447">
        <f>30752000000/1000</f>
        <v>30752000</v>
      </c>
      <c r="E190" s="1448">
        <v>25900742.800000001</v>
      </c>
      <c r="F190" s="1449">
        <f t="shared" si="8"/>
        <v>0.1873018560687765</v>
      </c>
      <c r="G190" s="1450"/>
    </row>
    <row r="191" spans="1:7" ht="15.75" hidden="1" customHeight="1" x14ac:dyDescent="0.25">
      <c r="A191" s="1493"/>
      <c r="B191" s="1494"/>
      <c r="C191" s="1465"/>
      <c r="D191" s="1447"/>
      <c r="E191" s="1448"/>
      <c r="F191" s="1449" t="e">
        <f t="shared" si="8"/>
        <v>#DIV/0!</v>
      </c>
      <c r="G191" s="1450"/>
    </row>
    <row r="192" spans="1:7" ht="15.75" hidden="1" customHeight="1" x14ac:dyDescent="0.25">
      <c r="A192" s="1480" t="s">
        <v>278</v>
      </c>
      <c r="B192" s="1466" t="s">
        <v>279</v>
      </c>
      <c r="C192" s="1458"/>
      <c r="D192" s="1495" t="e">
        <f>+#REF!+#REF!+#REF!+#REF!</f>
        <v>#REF!</v>
      </c>
      <c r="E192" s="1496">
        <f t="shared" ref="E192:E198" si="12">+W192+AE192+AL192+AV192</f>
        <v>0</v>
      </c>
      <c r="F192" s="1449" t="e">
        <f t="shared" si="8"/>
        <v>#REF!</v>
      </c>
      <c r="G192" s="1450"/>
    </row>
    <row r="193" spans="1:7" ht="15.75" hidden="1" customHeight="1" x14ac:dyDescent="0.25">
      <c r="A193" s="1470" t="s">
        <v>280</v>
      </c>
      <c r="B193" s="1460" t="s">
        <v>281</v>
      </c>
      <c r="C193" s="1458"/>
      <c r="D193" s="1447" t="e">
        <f>+#REF!+#REF!+#REF!+#REF!</f>
        <v>#REF!</v>
      </c>
      <c r="E193" s="1448">
        <f t="shared" si="12"/>
        <v>0</v>
      </c>
      <c r="F193" s="1449" t="e">
        <f t="shared" si="8"/>
        <v>#REF!</v>
      </c>
      <c r="G193" s="1450"/>
    </row>
    <row r="194" spans="1:7" ht="15.75" hidden="1" customHeight="1" x14ac:dyDescent="0.25">
      <c r="A194" s="1471" t="s">
        <v>480</v>
      </c>
      <c r="B194" s="1497" t="s">
        <v>408</v>
      </c>
      <c r="C194" s="1465"/>
      <c r="D194" s="1447" t="e">
        <f>+#REF!+#REF!+#REF!+#REF!</f>
        <v>#REF!</v>
      </c>
      <c r="E194" s="1448">
        <f t="shared" si="12"/>
        <v>0</v>
      </c>
      <c r="F194" s="1449" t="e">
        <f t="shared" si="8"/>
        <v>#REF!</v>
      </c>
      <c r="G194" s="1450"/>
    </row>
    <row r="195" spans="1:7" ht="15.75" hidden="1" customHeight="1" x14ac:dyDescent="0.25">
      <c r="A195" s="1471" t="s">
        <v>481</v>
      </c>
      <c r="B195" s="1497" t="s">
        <v>282</v>
      </c>
      <c r="C195" s="1465"/>
      <c r="D195" s="1447" t="e">
        <f>+#REF!+#REF!+#REF!+#REF!</f>
        <v>#REF!</v>
      </c>
      <c r="E195" s="1448">
        <f t="shared" si="12"/>
        <v>0</v>
      </c>
      <c r="F195" s="1449" t="e">
        <f t="shared" si="8"/>
        <v>#REF!</v>
      </c>
      <c r="G195" s="1450"/>
    </row>
    <row r="196" spans="1:7" ht="15.75" hidden="1" customHeight="1" x14ac:dyDescent="0.25">
      <c r="A196" s="1471" t="s">
        <v>482</v>
      </c>
      <c r="B196" s="1497" t="s">
        <v>483</v>
      </c>
      <c r="C196" s="1465"/>
      <c r="D196" s="1447" t="e">
        <f>+#REF!+#REF!+#REF!+#REF!</f>
        <v>#REF!</v>
      </c>
      <c r="E196" s="1448">
        <f t="shared" si="12"/>
        <v>0</v>
      </c>
      <c r="F196" s="1449" t="e">
        <f t="shared" si="8"/>
        <v>#REF!</v>
      </c>
      <c r="G196" s="1450"/>
    </row>
    <row r="197" spans="1:7" ht="15.75" hidden="1" customHeight="1" x14ac:dyDescent="0.25">
      <c r="A197" s="1471" t="s">
        <v>484</v>
      </c>
      <c r="B197" s="1497" t="s">
        <v>933</v>
      </c>
      <c r="C197" s="1465"/>
      <c r="D197" s="1447" t="e">
        <f>+#REF!+#REF!+#REF!+#REF!</f>
        <v>#REF!</v>
      </c>
      <c r="E197" s="1448">
        <f t="shared" si="12"/>
        <v>0</v>
      </c>
      <c r="F197" s="1449" t="e">
        <f t="shared" si="8"/>
        <v>#REF!</v>
      </c>
      <c r="G197" s="1450"/>
    </row>
    <row r="198" spans="1:7" ht="15.75" hidden="1" customHeight="1" x14ac:dyDescent="0.25">
      <c r="A198" s="1471" t="s">
        <v>538</v>
      </c>
      <c r="B198" s="1460" t="s">
        <v>638</v>
      </c>
      <c r="C198" s="1465"/>
      <c r="D198" s="1447" t="e">
        <f>+#REF!+#REF!+#REF!+#REF!</f>
        <v>#REF!</v>
      </c>
      <c r="E198" s="1448">
        <f t="shared" si="12"/>
        <v>0</v>
      </c>
      <c r="F198" s="1449" t="e">
        <f t="shared" si="8"/>
        <v>#REF!</v>
      </c>
      <c r="G198" s="1450"/>
    </row>
    <row r="199" spans="1:7" ht="15.75" hidden="1" customHeight="1" x14ac:dyDescent="0.25">
      <c r="A199" s="1471" t="s">
        <v>538</v>
      </c>
      <c r="B199" s="1460" t="s">
        <v>932</v>
      </c>
      <c r="C199" s="1465"/>
      <c r="D199" s="1447"/>
      <c r="E199" s="1448"/>
      <c r="F199" s="1449" t="e">
        <f t="shared" si="8"/>
        <v>#DIV/0!</v>
      </c>
      <c r="G199" s="1450"/>
    </row>
    <row r="200" spans="1:7" ht="15.75" hidden="1" customHeight="1" x14ac:dyDescent="0.25">
      <c r="A200" s="1471" t="s">
        <v>753</v>
      </c>
      <c r="B200" s="1460" t="s">
        <v>931</v>
      </c>
      <c r="C200" s="1465"/>
      <c r="D200" s="1447"/>
      <c r="E200" s="1448"/>
      <c r="F200" s="1449" t="e">
        <f t="shared" si="8"/>
        <v>#DIV/0!</v>
      </c>
      <c r="G200" s="1450"/>
    </row>
    <row r="201" spans="1:7" ht="15.75" hidden="1" customHeight="1" x14ac:dyDescent="0.25">
      <c r="A201" s="1471"/>
      <c r="B201" s="1460"/>
      <c r="C201" s="1465"/>
      <c r="D201" s="1447"/>
      <c r="E201" s="1448"/>
      <c r="F201" s="1449" t="e">
        <f t="shared" si="8"/>
        <v>#DIV/0!</v>
      </c>
      <c r="G201" s="1450"/>
    </row>
    <row r="202" spans="1:7" ht="15.75" hidden="1" customHeight="1" x14ac:dyDescent="0.25">
      <c r="A202" s="1470"/>
      <c r="B202" s="1460"/>
      <c r="C202" s="1465"/>
      <c r="D202" s="1447"/>
      <c r="E202" s="1448"/>
      <c r="F202" s="1449" t="e">
        <f t="shared" ref="F202:F265" si="13">((D202-E202)/E202)</f>
        <v>#DIV/0!</v>
      </c>
      <c r="G202" s="1450"/>
    </row>
    <row r="203" spans="1:7" ht="15.75" customHeight="1" x14ac:dyDescent="0.25">
      <c r="A203" s="1493">
        <v>5</v>
      </c>
      <c r="B203" s="1945" t="s">
        <v>283</v>
      </c>
      <c r="C203" s="1946"/>
      <c r="D203" s="1447">
        <f>3529960000/1000</f>
        <v>3529960</v>
      </c>
      <c r="E203" s="1448">
        <v>3576122</v>
      </c>
      <c r="F203" s="1449">
        <f t="shared" si="13"/>
        <v>-1.2908396301915875E-2</v>
      </c>
      <c r="G203" s="1450"/>
    </row>
    <row r="204" spans="1:7" ht="15.75" hidden="1" customHeight="1" x14ac:dyDescent="0.25">
      <c r="A204" s="1470"/>
      <c r="B204" s="1460"/>
      <c r="C204" s="1465"/>
      <c r="D204" s="1447"/>
      <c r="E204" s="1448"/>
      <c r="F204" s="1449" t="e">
        <f t="shared" si="13"/>
        <v>#DIV/0!</v>
      </c>
      <c r="G204" s="1450"/>
    </row>
    <row r="205" spans="1:7" ht="15.75" hidden="1" customHeight="1" x14ac:dyDescent="0.25">
      <c r="A205" s="1480" t="s">
        <v>284</v>
      </c>
      <c r="B205" s="1466" t="s">
        <v>285</v>
      </c>
      <c r="C205" s="1458"/>
      <c r="D205" s="1447" t="e">
        <f>+#REF!+#REF!+#REF!+#REF!</f>
        <v>#REF!</v>
      </c>
      <c r="E205" s="1496">
        <f t="shared" ref="E205:E213" si="14">+W205+AE205+AL205+AV205</f>
        <v>0</v>
      </c>
      <c r="F205" s="1449" t="e">
        <f t="shared" si="13"/>
        <v>#REF!</v>
      </c>
      <c r="G205" s="1450"/>
    </row>
    <row r="206" spans="1:7" ht="15.75" hidden="1" customHeight="1" x14ac:dyDescent="0.25">
      <c r="A206" s="1471" t="s">
        <v>286</v>
      </c>
      <c r="B206" s="1460" t="s">
        <v>287</v>
      </c>
      <c r="C206" s="1458"/>
      <c r="D206" s="1447" t="e">
        <f>+#REF!+#REF!+#REF!+#REF!</f>
        <v>#REF!</v>
      </c>
      <c r="E206" s="1448">
        <f t="shared" si="14"/>
        <v>0</v>
      </c>
      <c r="F206" s="1449" t="e">
        <f t="shared" si="13"/>
        <v>#REF!</v>
      </c>
      <c r="G206" s="1450"/>
    </row>
    <row r="207" spans="1:7" ht="15.75" hidden="1" customHeight="1" x14ac:dyDescent="0.25">
      <c r="A207" s="1470" t="s">
        <v>288</v>
      </c>
      <c r="B207" s="1460" t="s">
        <v>289</v>
      </c>
      <c r="C207" s="1458"/>
      <c r="D207" s="1447" t="e">
        <f>+#REF!+#REF!+#REF!+#REF!</f>
        <v>#REF!</v>
      </c>
      <c r="E207" s="1448">
        <f t="shared" si="14"/>
        <v>0</v>
      </c>
      <c r="F207" s="1449" t="e">
        <f t="shared" si="13"/>
        <v>#REF!</v>
      </c>
      <c r="G207" s="1450"/>
    </row>
    <row r="208" spans="1:7" ht="15.75" hidden="1" customHeight="1" x14ac:dyDescent="0.25">
      <c r="A208" s="1471" t="s">
        <v>290</v>
      </c>
      <c r="B208" s="1460" t="s">
        <v>291</v>
      </c>
      <c r="C208" s="1458"/>
      <c r="D208" s="1447" t="e">
        <f>+#REF!+#REF!+#REF!+#REF!</f>
        <v>#REF!</v>
      </c>
      <c r="E208" s="1448">
        <f t="shared" si="14"/>
        <v>0</v>
      </c>
      <c r="F208" s="1449" t="e">
        <f t="shared" si="13"/>
        <v>#REF!</v>
      </c>
      <c r="G208" s="1450"/>
    </row>
    <row r="209" spans="1:7" ht="15.75" hidden="1" customHeight="1" x14ac:dyDescent="0.25">
      <c r="A209" s="1470" t="s">
        <v>292</v>
      </c>
      <c r="B209" s="1460" t="s">
        <v>293</v>
      </c>
      <c r="C209" s="1458"/>
      <c r="D209" s="1447" t="e">
        <f>+#REF!+#REF!+#REF!+#REF!</f>
        <v>#REF!</v>
      </c>
      <c r="E209" s="1448">
        <f t="shared" si="14"/>
        <v>0</v>
      </c>
      <c r="F209" s="1449" t="e">
        <f t="shared" si="13"/>
        <v>#REF!</v>
      </c>
      <c r="G209" s="1450"/>
    </row>
    <row r="210" spans="1:7" ht="15.75" hidden="1" customHeight="1" x14ac:dyDescent="0.25">
      <c r="A210" s="1470" t="s">
        <v>294</v>
      </c>
      <c r="B210" s="1460" t="s">
        <v>295</v>
      </c>
      <c r="C210" s="1458"/>
      <c r="D210" s="1447" t="e">
        <f>+#REF!+#REF!+#REF!+#REF!</f>
        <v>#REF!</v>
      </c>
      <c r="E210" s="1448">
        <f t="shared" si="14"/>
        <v>0</v>
      </c>
      <c r="F210" s="1449" t="e">
        <f t="shared" si="13"/>
        <v>#REF!</v>
      </c>
      <c r="G210" s="1450"/>
    </row>
    <row r="211" spans="1:7" ht="15.75" hidden="1" customHeight="1" x14ac:dyDescent="0.25">
      <c r="A211" s="1453" t="s">
        <v>296</v>
      </c>
      <c r="B211" s="1460" t="s">
        <v>297</v>
      </c>
      <c r="C211" s="1458"/>
      <c r="D211" s="1447" t="e">
        <f>+#REF!+#REF!+#REF!+#REF!</f>
        <v>#REF!</v>
      </c>
      <c r="E211" s="1448">
        <f t="shared" si="14"/>
        <v>0</v>
      </c>
      <c r="F211" s="1449" t="e">
        <f t="shared" si="13"/>
        <v>#REF!</v>
      </c>
      <c r="G211" s="1450"/>
    </row>
    <row r="212" spans="1:7" ht="15.75" hidden="1" customHeight="1" x14ac:dyDescent="0.25">
      <c r="A212" s="1453" t="s">
        <v>746</v>
      </c>
      <c r="B212" s="1460" t="s">
        <v>930</v>
      </c>
      <c r="C212" s="1458"/>
      <c r="D212" s="1447" t="e">
        <f>+#REF!+#REF!+#REF!+#REF!</f>
        <v>#REF!</v>
      </c>
      <c r="E212" s="1448">
        <f t="shared" si="14"/>
        <v>0</v>
      </c>
      <c r="F212" s="1449" t="e">
        <f t="shared" si="13"/>
        <v>#REF!</v>
      </c>
      <c r="G212" s="1450"/>
    </row>
    <row r="213" spans="1:7" ht="15.75" hidden="1" customHeight="1" x14ac:dyDescent="0.25">
      <c r="A213" s="1453" t="s">
        <v>298</v>
      </c>
      <c r="B213" s="1460" t="s">
        <v>299</v>
      </c>
      <c r="C213" s="1458"/>
      <c r="D213" s="1447" t="e">
        <f>+#REF!+#REF!+#REF!+#REF!</f>
        <v>#REF!</v>
      </c>
      <c r="E213" s="1448">
        <f t="shared" si="14"/>
        <v>0</v>
      </c>
      <c r="F213" s="1449" t="e">
        <f t="shared" si="13"/>
        <v>#REF!</v>
      </c>
      <c r="G213" s="1450"/>
    </row>
    <row r="214" spans="1:7" ht="15.75" hidden="1" customHeight="1" x14ac:dyDescent="0.25">
      <c r="A214" s="1471"/>
      <c r="B214" s="1460"/>
      <c r="C214" s="1465"/>
      <c r="D214" s="1447"/>
      <c r="E214" s="1448"/>
      <c r="F214" s="1449" t="e">
        <f t="shared" si="13"/>
        <v>#DIV/0!</v>
      </c>
      <c r="G214" s="1450"/>
    </row>
    <row r="215" spans="1:7" ht="15.75" hidden="1" customHeight="1" x14ac:dyDescent="0.25">
      <c r="A215" s="1480" t="s">
        <v>300</v>
      </c>
      <c r="B215" s="1466" t="s">
        <v>301</v>
      </c>
      <c r="C215" s="1458"/>
      <c r="D215" s="1447" t="e">
        <f>+#REF!+#REF!+#REF!+#REF!</f>
        <v>#REF!</v>
      </c>
      <c r="E215" s="1448">
        <f t="shared" ref="E215:E237" si="15">+W215+AE215+AL215+AV215</f>
        <v>0</v>
      </c>
      <c r="F215" s="1449" t="e">
        <f t="shared" si="13"/>
        <v>#REF!</v>
      </c>
      <c r="G215" s="1450"/>
    </row>
    <row r="216" spans="1:7" ht="15.75" hidden="1" customHeight="1" x14ac:dyDescent="0.25">
      <c r="A216" s="1471" t="s">
        <v>302</v>
      </c>
      <c r="B216" s="1460" t="s">
        <v>303</v>
      </c>
      <c r="C216" s="1465"/>
      <c r="D216" s="1447" t="e">
        <f>+#REF!+#REF!+#REF!+#REF!</f>
        <v>#REF!</v>
      </c>
      <c r="E216" s="1448">
        <f t="shared" si="15"/>
        <v>0</v>
      </c>
      <c r="F216" s="1449" t="e">
        <f t="shared" si="13"/>
        <v>#REF!</v>
      </c>
      <c r="G216" s="1450"/>
    </row>
    <row r="217" spans="1:7" ht="15.75" hidden="1" customHeight="1" x14ac:dyDescent="0.25">
      <c r="A217" s="1471" t="s">
        <v>750</v>
      </c>
      <c r="B217" s="1460" t="s">
        <v>929</v>
      </c>
      <c r="C217" s="1465"/>
      <c r="D217" s="1447" t="e">
        <f>+#REF!+#REF!+#REF!+#REF!</f>
        <v>#REF!</v>
      </c>
      <c r="E217" s="1448">
        <f t="shared" si="15"/>
        <v>0</v>
      </c>
      <c r="F217" s="1449" t="e">
        <f t="shared" si="13"/>
        <v>#REF!</v>
      </c>
      <c r="G217" s="1450"/>
    </row>
    <row r="218" spans="1:7" ht="16.5" hidden="1" customHeight="1" x14ac:dyDescent="0.25">
      <c r="A218" s="1471" t="s">
        <v>304</v>
      </c>
      <c r="B218" s="1460" t="s">
        <v>305</v>
      </c>
      <c r="C218" s="1465"/>
      <c r="D218" s="1447" t="e">
        <f>+#REF!+#REF!+#REF!+#REF!</f>
        <v>#REF!</v>
      </c>
      <c r="E218" s="1448">
        <f t="shared" si="15"/>
        <v>0</v>
      </c>
      <c r="F218" s="1449" t="e">
        <f t="shared" si="13"/>
        <v>#REF!</v>
      </c>
      <c r="G218" s="1450"/>
    </row>
    <row r="219" spans="1:7" ht="15.75" hidden="1" customHeight="1" x14ac:dyDescent="0.25">
      <c r="A219" s="1471" t="s">
        <v>528</v>
      </c>
      <c r="B219" s="1460" t="s">
        <v>558</v>
      </c>
      <c r="C219" s="1465"/>
      <c r="D219" s="1447" t="e">
        <f>+#REF!+#REF!+#REF!+#REF!</f>
        <v>#REF!</v>
      </c>
      <c r="E219" s="1448">
        <f t="shared" si="15"/>
        <v>0</v>
      </c>
      <c r="F219" s="1449" t="e">
        <f t="shared" si="13"/>
        <v>#REF!</v>
      </c>
      <c r="G219" s="1450"/>
    </row>
    <row r="220" spans="1:7" ht="15.75" hidden="1" customHeight="1" x14ac:dyDescent="0.25">
      <c r="A220" s="1471" t="s">
        <v>520</v>
      </c>
      <c r="B220" s="1460" t="s">
        <v>521</v>
      </c>
      <c r="C220" s="1465"/>
      <c r="D220" s="1447" t="e">
        <f>+#REF!+#REF!+#REF!+#REF!</f>
        <v>#REF!</v>
      </c>
      <c r="E220" s="1448">
        <f t="shared" si="15"/>
        <v>0</v>
      </c>
      <c r="F220" s="1449" t="e">
        <f t="shared" si="13"/>
        <v>#REF!</v>
      </c>
      <c r="G220" s="1450"/>
    </row>
    <row r="221" spans="1:7" ht="15.75" hidden="1" customHeight="1" x14ac:dyDescent="0.25">
      <c r="A221" s="1471" t="s">
        <v>529</v>
      </c>
      <c r="B221" s="1460" t="s">
        <v>530</v>
      </c>
      <c r="C221" s="1465"/>
      <c r="D221" s="1447" t="e">
        <f>+#REF!+#REF!+#REF!+#REF!</f>
        <v>#REF!</v>
      </c>
      <c r="E221" s="1448">
        <f t="shared" si="15"/>
        <v>0</v>
      </c>
      <c r="F221" s="1449" t="e">
        <f t="shared" si="13"/>
        <v>#REF!</v>
      </c>
      <c r="G221" s="1450"/>
    </row>
    <row r="222" spans="1:7" ht="15.75" hidden="1" customHeight="1" x14ac:dyDescent="0.25">
      <c r="A222" s="1471" t="s">
        <v>531</v>
      </c>
      <c r="B222" s="1460" t="s">
        <v>592</v>
      </c>
      <c r="C222" s="1465"/>
      <c r="D222" s="1447" t="e">
        <f>+#REF!+#REF!+#REF!+#REF!</f>
        <v>#REF!</v>
      </c>
      <c r="E222" s="1448">
        <f t="shared" si="15"/>
        <v>0</v>
      </c>
      <c r="F222" s="1449" t="e">
        <f t="shared" si="13"/>
        <v>#REF!</v>
      </c>
      <c r="G222" s="1450"/>
    </row>
    <row r="223" spans="1:7" ht="15.75" hidden="1" customHeight="1" x14ac:dyDescent="0.25">
      <c r="A223" s="1471" t="s">
        <v>532</v>
      </c>
      <c r="B223" s="1460" t="s">
        <v>539</v>
      </c>
      <c r="C223" s="1465"/>
      <c r="D223" s="1447" t="e">
        <f>+#REF!+#REF!+#REF!+#REF!</f>
        <v>#REF!</v>
      </c>
      <c r="E223" s="1448">
        <f t="shared" si="15"/>
        <v>0</v>
      </c>
      <c r="F223" s="1449" t="e">
        <f t="shared" si="13"/>
        <v>#REF!</v>
      </c>
      <c r="G223" s="1450"/>
    </row>
    <row r="224" spans="1:7" ht="15.75" hidden="1" customHeight="1" x14ac:dyDescent="0.25">
      <c r="A224" s="1471" t="s">
        <v>533</v>
      </c>
      <c r="B224" s="1460" t="s">
        <v>534</v>
      </c>
      <c r="C224" s="1465"/>
      <c r="D224" s="1447" t="e">
        <f>+#REF!+#REF!+#REF!+#REF!</f>
        <v>#REF!</v>
      </c>
      <c r="E224" s="1448">
        <f t="shared" si="15"/>
        <v>0</v>
      </c>
      <c r="F224" s="1449" t="e">
        <f t="shared" si="13"/>
        <v>#REF!</v>
      </c>
      <c r="G224" s="1450"/>
    </row>
    <row r="225" spans="1:7" ht="15.75" hidden="1" customHeight="1" x14ac:dyDescent="0.25">
      <c r="A225" s="1471" t="s">
        <v>535</v>
      </c>
      <c r="B225" s="1460" t="s">
        <v>536</v>
      </c>
      <c r="C225" s="1465"/>
      <c r="D225" s="1447" t="e">
        <f>+#REF!+#REF!+#REF!+#REF!</f>
        <v>#REF!</v>
      </c>
      <c r="E225" s="1448">
        <f t="shared" si="15"/>
        <v>0</v>
      </c>
      <c r="F225" s="1449" t="e">
        <f t="shared" si="13"/>
        <v>#REF!</v>
      </c>
      <c r="G225" s="1450"/>
    </row>
    <row r="226" spans="1:7" ht="15.75" hidden="1" customHeight="1" x14ac:dyDescent="0.25">
      <c r="A226" s="1471" t="s">
        <v>522</v>
      </c>
      <c r="B226" s="1460" t="s">
        <v>523</v>
      </c>
      <c r="C226" s="1465"/>
      <c r="D226" s="1447" t="e">
        <f>+#REF!+#REF!+#REF!+#REF!</f>
        <v>#REF!</v>
      </c>
      <c r="E226" s="1448">
        <f t="shared" si="15"/>
        <v>0</v>
      </c>
      <c r="F226" s="1449" t="e">
        <f t="shared" si="13"/>
        <v>#REF!</v>
      </c>
      <c r="G226" s="1450"/>
    </row>
    <row r="227" spans="1:7" ht="15.75" hidden="1" customHeight="1" x14ac:dyDescent="0.25">
      <c r="A227" s="1471" t="s">
        <v>554</v>
      </c>
      <c r="B227" s="1460" t="str">
        <f>+'[2]Egresos -2015 '!$B$217</f>
        <v>El Nazareno (Hojancha)</v>
      </c>
      <c r="C227" s="1465"/>
      <c r="D227" s="1447" t="e">
        <f>+#REF!+#REF!+#REF!+#REF!</f>
        <v>#REF!</v>
      </c>
      <c r="E227" s="1448">
        <f t="shared" si="15"/>
        <v>0</v>
      </c>
      <c r="F227" s="1449" t="e">
        <f t="shared" si="13"/>
        <v>#REF!</v>
      </c>
      <c r="G227" s="1450"/>
    </row>
    <row r="228" spans="1:7" ht="15.75" hidden="1" customHeight="1" x14ac:dyDescent="0.25">
      <c r="A228" s="1471" t="s">
        <v>540</v>
      </c>
      <c r="B228" s="1460" t="s">
        <v>541</v>
      </c>
      <c r="C228" s="1465"/>
      <c r="D228" s="1447" t="e">
        <f>+#REF!+#REF!+#REF!+#REF!</f>
        <v>#REF!</v>
      </c>
      <c r="E228" s="1448">
        <f t="shared" si="15"/>
        <v>0</v>
      </c>
      <c r="F228" s="1449" t="e">
        <f t="shared" si="13"/>
        <v>#REF!</v>
      </c>
      <c r="G228" s="1450"/>
    </row>
    <row r="229" spans="1:7" ht="15.75" hidden="1" customHeight="1" x14ac:dyDescent="0.25">
      <c r="A229" s="1471" t="s">
        <v>542</v>
      </c>
      <c r="B229" s="1460" t="s">
        <v>543</v>
      </c>
      <c r="C229" s="1465"/>
      <c r="D229" s="1447" t="e">
        <f>+#REF!+#REF!+#REF!+#REF!</f>
        <v>#REF!</v>
      </c>
      <c r="E229" s="1448">
        <f t="shared" si="15"/>
        <v>0</v>
      </c>
      <c r="F229" s="1449" t="e">
        <f t="shared" si="13"/>
        <v>#REF!</v>
      </c>
      <c r="G229" s="1450"/>
    </row>
    <row r="230" spans="1:7" ht="15.75" hidden="1" customHeight="1" x14ac:dyDescent="0.25">
      <c r="A230" s="1471" t="s">
        <v>544</v>
      </c>
      <c r="B230" s="1460" t="s">
        <v>545</v>
      </c>
      <c r="C230" s="1465"/>
      <c r="D230" s="1447" t="e">
        <f>+#REF!+#REF!+#REF!+#REF!</f>
        <v>#REF!</v>
      </c>
      <c r="E230" s="1448">
        <f t="shared" si="15"/>
        <v>0</v>
      </c>
      <c r="F230" s="1449" t="e">
        <f t="shared" si="13"/>
        <v>#REF!</v>
      </c>
      <c r="G230" s="1450"/>
    </row>
    <row r="231" spans="1:7" ht="15.75" hidden="1" customHeight="1" x14ac:dyDescent="0.25">
      <c r="A231" s="1471" t="s">
        <v>559</v>
      </c>
      <c r="B231" s="1460" t="s">
        <v>560</v>
      </c>
      <c r="C231" s="1465"/>
      <c r="D231" s="1447" t="e">
        <f>+#REF!+#REF!+#REF!+#REF!</f>
        <v>#REF!</v>
      </c>
      <c r="E231" s="1448">
        <f t="shared" si="15"/>
        <v>0</v>
      </c>
      <c r="F231" s="1449" t="e">
        <f t="shared" si="13"/>
        <v>#REF!</v>
      </c>
      <c r="G231" s="1450"/>
    </row>
    <row r="232" spans="1:7" ht="15.75" hidden="1" customHeight="1" x14ac:dyDescent="0.25">
      <c r="A232" s="1471" t="str">
        <f>+'[2]Egresos -2015 '!$A$224</f>
        <v>5.02.06.59</v>
      </c>
      <c r="B232" s="1460" t="str">
        <f>+'[2]Egresos -2015 '!$B$224</f>
        <v>Bono Colectivo Finca San Juan</v>
      </c>
      <c r="C232" s="1465"/>
      <c r="D232" s="1447" t="e">
        <f>+#REF!+#REF!+#REF!+#REF!</f>
        <v>#REF!</v>
      </c>
      <c r="E232" s="1448">
        <f t="shared" si="15"/>
        <v>0</v>
      </c>
      <c r="F232" s="1449" t="e">
        <f t="shared" si="13"/>
        <v>#REF!</v>
      </c>
      <c r="G232" s="1450"/>
    </row>
    <row r="233" spans="1:7" ht="16.5" hidden="1" customHeight="1" x14ac:dyDescent="0.25">
      <c r="A233" s="1471" t="str">
        <f>+'[2]Egresos -2015 '!$A$225</f>
        <v>5.02.06.60</v>
      </c>
      <c r="B233" s="1460" t="str">
        <f>+'[2]Egresos -2015 '!$B$225</f>
        <v>Finca Boschini Obras de Estabilización</v>
      </c>
      <c r="C233" s="1465"/>
      <c r="D233" s="1447" t="e">
        <f>+#REF!+#REF!+#REF!+#REF!</f>
        <v>#REF!</v>
      </c>
      <c r="E233" s="1448">
        <f t="shared" si="15"/>
        <v>0</v>
      </c>
      <c r="F233" s="1449" t="e">
        <f t="shared" si="13"/>
        <v>#REF!</v>
      </c>
      <c r="G233" s="1450"/>
    </row>
    <row r="234" spans="1:7" ht="16.5" hidden="1" customHeight="1" x14ac:dyDescent="0.25">
      <c r="A234" s="1471" t="str">
        <f>+'[2]Egresos -2015 '!$A$226</f>
        <v>5.02.06.61</v>
      </c>
      <c r="B234" s="1460" t="str">
        <f>+'[2]Egresos -2015 '!$B$226</f>
        <v>Finca Boschini Etapa 1-BANHVI</v>
      </c>
      <c r="C234" s="1465"/>
      <c r="D234" s="1447" t="e">
        <f>+#REF!+#REF!+#REF!+#REF!</f>
        <v>#REF!</v>
      </c>
      <c r="E234" s="1448">
        <f t="shared" si="15"/>
        <v>0</v>
      </c>
      <c r="F234" s="1449" t="e">
        <f t="shared" si="13"/>
        <v>#REF!</v>
      </c>
      <c r="G234" s="1450"/>
    </row>
    <row r="235" spans="1:7" ht="15.75" hidden="1" customHeight="1" x14ac:dyDescent="0.25">
      <c r="A235" s="1471"/>
      <c r="B235" s="1460" t="str">
        <f>+'[2]Egresos -2015 '!$B$227</f>
        <v>El Estero</v>
      </c>
      <c r="C235" s="1465"/>
      <c r="D235" s="1447" t="e">
        <f>+#REF!+#REF!+#REF!+#REF!</f>
        <v>#REF!</v>
      </c>
      <c r="E235" s="1448">
        <f t="shared" si="15"/>
        <v>0</v>
      </c>
      <c r="F235" s="1449" t="e">
        <f t="shared" si="13"/>
        <v>#REF!</v>
      </c>
      <c r="G235" s="1450"/>
    </row>
    <row r="236" spans="1:7" ht="15.75" hidden="1" customHeight="1" x14ac:dyDescent="0.25">
      <c r="A236" s="1471"/>
      <c r="B236" s="1460" t="str">
        <f>+'[2]Egresos -2015 '!$B$228</f>
        <v>Duarco-Cocorí</v>
      </c>
      <c r="C236" s="1465"/>
      <c r="D236" s="1447" t="e">
        <f>+#REF!+#REF!+#REF!+#REF!</f>
        <v>#REF!</v>
      </c>
      <c r="E236" s="1448">
        <f t="shared" si="15"/>
        <v>0</v>
      </c>
      <c r="F236" s="1449" t="e">
        <f t="shared" si="13"/>
        <v>#REF!</v>
      </c>
      <c r="G236" s="1450"/>
    </row>
    <row r="237" spans="1:7" ht="15.75" hidden="1" customHeight="1" x14ac:dyDescent="0.25">
      <c r="A237" s="1471"/>
      <c r="B237" s="1460" t="str">
        <f>+'[2]Egresos -2015 '!$B$229</f>
        <v xml:space="preserve">Premio Nobel </v>
      </c>
      <c r="C237" s="1465"/>
      <c r="D237" s="1447" t="e">
        <f>+#REF!+#REF!+#REF!+#REF!</f>
        <v>#REF!</v>
      </c>
      <c r="E237" s="1448">
        <f t="shared" si="15"/>
        <v>0</v>
      </c>
      <c r="F237" s="1449" t="e">
        <f t="shared" si="13"/>
        <v>#REF!</v>
      </c>
      <c r="G237" s="1450"/>
    </row>
    <row r="238" spans="1:7" ht="15.75" hidden="1" customHeight="1" x14ac:dyDescent="0.25">
      <c r="A238" s="1471"/>
      <c r="B238" s="1460"/>
      <c r="C238" s="1465"/>
      <c r="D238" s="1447"/>
      <c r="E238" s="1448"/>
      <c r="F238" s="1449" t="e">
        <f t="shared" si="13"/>
        <v>#DIV/0!</v>
      </c>
      <c r="G238" s="1450"/>
    </row>
    <row r="239" spans="1:7" ht="15" hidden="1" customHeight="1" x14ac:dyDescent="0.25">
      <c r="A239" s="1470" t="s">
        <v>306</v>
      </c>
      <c r="B239" s="1460" t="s">
        <v>307</v>
      </c>
      <c r="C239" s="1458"/>
      <c r="D239" s="1447" t="e">
        <f>+#REF!+#REF!+#REF!+#REF!</f>
        <v>#REF!</v>
      </c>
      <c r="E239" s="1448">
        <f>+W239+AE239+AL239+AV239</f>
        <v>0</v>
      </c>
      <c r="F239" s="1449" t="e">
        <f t="shared" si="13"/>
        <v>#REF!</v>
      </c>
      <c r="G239" s="1450"/>
    </row>
    <row r="240" spans="1:7" ht="15.75" hidden="1" customHeight="1" x14ac:dyDescent="0.25">
      <c r="A240" s="1470"/>
      <c r="B240" s="1460"/>
      <c r="C240" s="1488"/>
      <c r="D240" s="1447"/>
      <c r="E240" s="1448"/>
      <c r="F240" s="1449" t="e">
        <f t="shared" si="13"/>
        <v>#DIV/0!</v>
      </c>
      <c r="G240" s="1450"/>
    </row>
    <row r="241" spans="1:7" ht="15.75" hidden="1" customHeight="1" x14ac:dyDescent="0.25">
      <c r="A241" s="1480" t="s">
        <v>308</v>
      </c>
      <c r="B241" s="1466" t="s">
        <v>309</v>
      </c>
      <c r="C241" s="1458"/>
      <c r="D241" s="1447" t="e">
        <f>+#REF!+#REF!+#REF!+#REF!</f>
        <v>#REF!</v>
      </c>
      <c r="E241" s="1448">
        <f t="shared" ref="E241:E249" si="16">+W241+AE241+AL241+AV241</f>
        <v>0</v>
      </c>
      <c r="F241" s="1449" t="e">
        <f t="shared" si="13"/>
        <v>#REF!</v>
      </c>
      <c r="G241" s="1450"/>
    </row>
    <row r="242" spans="1:7" ht="15.75" hidden="1" customHeight="1" x14ac:dyDescent="0.25">
      <c r="A242" s="1470" t="s">
        <v>310</v>
      </c>
      <c r="B242" s="1460" t="s">
        <v>311</v>
      </c>
      <c r="C242" s="1458"/>
      <c r="D242" s="1447" t="e">
        <f>+#REF!+#REF!+#REF!+#REF!</f>
        <v>#REF!</v>
      </c>
      <c r="E242" s="1448">
        <f t="shared" si="16"/>
        <v>0</v>
      </c>
      <c r="F242" s="1449" t="e">
        <f t="shared" si="13"/>
        <v>#REF!</v>
      </c>
      <c r="G242" s="1450"/>
    </row>
    <row r="243" spans="1:7" ht="16.5" hidden="1" customHeight="1" x14ac:dyDescent="0.25">
      <c r="A243" s="1471" t="s">
        <v>312</v>
      </c>
      <c r="B243" s="1460" t="s">
        <v>313</v>
      </c>
      <c r="C243" s="1458"/>
      <c r="D243" s="1447" t="e">
        <f>+#REF!+#REF!+#REF!+#REF!</f>
        <v>#REF!</v>
      </c>
      <c r="E243" s="1448">
        <f t="shared" si="16"/>
        <v>0</v>
      </c>
      <c r="F243" s="1449" t="e">
        <f t="shared" si="13"/>
        <v>#REF!</v>
      </c>
      <c r="G243" s="1450"/>
    </row>
    <row r="244" spans="1:7" ht="15.75" hidden="1" customHeight="1" x14ac:dyDescent="0.25">
      <c r="A244" s="1471" t="s">
        <v>314</v>
      </c>
      <c r="B244" s="1460" t="s">
        <v>315</v>
      </c>
      <c r="C244" s="1458"/>
      <c r="D244" s="1447" t="e">
        <f>+#REF!+#REF!+#REF!+#REF!</f>
        <v>#REF!</v>
      </c>
      <c r="E244" s="1448">
        <f t="shared" si="16"/>
        <v>0</v>
      </c>
      <c r="F244" s="1449" t="e">
        <f t="shared" si="13"/>
        <v>#REF!</v>
      </c>
      <c r="G244" s="1450"/>
    </row>
    <row r="245" spans="1:7" ht="15.75" hidden="1" customHeight="1" x14ac:dyDescent="0.25">
      <c r="A245" s="1471"/>
      <c r="B245" s="1460"/>
      <c r="C245" s="1465"/>
      <c r="D245" s="1447" t="e">
        <f>+#REF!+#REF!+#REF!+#REF!</f>
        <v>#REF!</v>
      </c>
      <c r="E245" s="1448">
        <f t="shared" si="16"/>
        <v>0</v>
      </c>
      <c r="F245" s="1449" t="e">
        <f t="shared" si="13"/>
        <v>#REF!</v>
      </c>
      <c r="G245" s="1450"/>
    </row>
    <row r="246" spans="1:7" ht="15.75" hidden="1" customHeight="1" x14ac:dyDescent="0.25">
      <c r="A246" s="1471"/>
      <c r="B246" s="1460"/>
      <c r="C246" s="1465"/>
      <c r="D246" s="1447" t="e">
        <f>+#REF!+#REF!+#REF!+#REF!</f>
        <v>#REF!</v>
      </c>
      <c r="E246" s="1448">
        <f t="shared" si="16"/>
        <v>0</v>
      </c>
      <c r="F246" s="1449" t="e">
        <f t="shared" si="13"/>
        <v>#REF!</v>
      </c>
      <c r="G246" s="1450"/>
    </row>
    <row r="247" spans="1:7" ht="15.75" hidden="1" customHeight="1" x14ac:dyDescent="0.25">
      <c r="A247" s="1490" t="s">
        <v>316</v>
      </c>
      <c r="B247" s="1466" t="s">
        <v>317</v>
      </c>
      <c r="C247" s="1458"/>
      <c r="D247" s="1447" t="e">
        <f>+#REF!+#REF!+#REF!+#REF!</f>
        <v>#REF!</v>
      </c>
      <c r="E247" s="1448">
        <f t="shared" si="16"/>
        <v>0</v>
      </c>
      <c r="F247" s="1449" t="e">
        <f t="shared" si="13"/>
        <v>#REF!</v>
      </c>
      <c r="G247" s="1450"/>
    </row>
    <row r="248" spans="1:7" ht="15.75" hidden="1" customHeight="1" x14ac:dyDescent="0.25">
      <c r="A248" s="1471" t="s">
        <v>466</v>
      </c>
      <c r="B248" s="1460" t="s">
        <v>318</v>
      </c>
      <c r="C248" s="1458"/>
      <c r="D248" s="1447" t="e">
        <f>+#REF!+#REF!+#REF!+#REF!</f>
        <v>#REF!</v>
      </c>
      <c r="E248" s="1448">
        <f t="shared" si="16"/>
        <v>0</v>
      </c>
      <c r="F248" s="1449" t="e">
        <f t="shared" si="13"/>
        <v>#REF!</v>
      </c>
      <c r="G248" s="1450"/>
    </row>
    <row r="249" spans="1:7" ht="15.75" hidden="1" customHeight="1" x14ac:dyDescent="0.25">
      <c r="A249" s="1471" t="s">
        <v>467</v>
      </c>
      <c r="B249" s="1454" t="s">
        <v>465</v>
      </c>
      <c r="C249" s="1455"/>
      <c r="D249" s="1447" t="e">
        <f>+#REF!+#REF!+#REF!+#REF!</f>
        <v>#REF!</v>
      </c>
      <c r="E249" s="1448">
        <f t="shared" si="16"/>
        <v>0</v>
      </c>
      <c r="F249" s="1449" t="e">
        <f t="shared" si="13"/>
        <v>#REF!</v>
      </c>
      <c r="G249" s="1450"/>
    </row>
    <row r="250" spans="1:7" ht="15.75" hidden="1" customHeight="1" x14ac:dyDescent="0.25">
      <c r="A250" s="1498"/>
      <c r="B250" s="1460"/>
      <c r="C250" s="1465"/>
      <c r="D250" s="1475"/>
      <c r="E250" s="1476"/>
      <c r="F250" s="1449" t="e">
        <f t="shared" si="13"/>
        <v>#DIV/0!</v>
      </c>
      <c r="G250" s="1499"/>
    </row>
    <row r="251" spans="1:7" ht="15.75" hidden="1" customHeight="1" x14ac:dyDescent="0.25">
      <c r="A251" s="1471"/>
      <c r="B251" s="1460"/>
      <c r="C251" s="1465"/>
      <c r="D251" s="1447"/>
      <c r="E251" s="1448"/>
      <c r="F251" s="1449" t="e">
        <f t="shared" si="13"/>
        <v>#DIV/0!</v>
      </c>
      <c r="G251" s="1450"/>
    </row>
    <row r="252" spans="1:7" ht="15.75" hidden="1" customHeight="1" x14ac:dyDescent="0.25">
      <c r="A252" s="1471"/>
      <c r="B252" s="1460"/>
      <c r="C252" s="1465"/>
      <c r="D252" s="1447" t="e">
        <f>+#REF!+#REF!+#REF!+#REF!</f>
        <v>#REF!</v>
      </c>
      <c r="E252" s="1448">
        <f>+W252+AE252+AL252+AV252</f>
        <v>0</v>
      </c>
      <c r="F252" s="1449" t="e">
        <f t="shared" si="13"/>
        <v>#REF!</v>
      </c>
      <c r="G252" s="1450"/>
    </row>
    <row r="253" spans="1:7" ht="15.75" customHeight="1" x14ac:dyDescent="0.25">
      <c r="A253" s="1489">
        <v>6</v>
      </c>
      <c r="B253" s="1949" t="s">
        <v>319</v>
      </c>
      <c r="C253" s="1950"/>
      <c r="D253" s="1447">
        <f>956576380/1000</f>
        <v>956576.38</v>
      </c>
      <c r="E253" s="1448">
        <v>1041832.9</v>
      </c>
      <c r="F253" s="1449">
        <f t="shared" si="13"/>
        <v>-8.1833199930622283E-2</v>
      </c>
      <c r="G253" s="1450"/>
    </row>
    <row r="254" spans="1:7" ht="15.75" hidden="1" customHeight="1" x14ac:dyDescent="0.25">
      <c r="A254" s="1471"/>
      <c r="B254" s="1460"/>
      <c r="C254" s="1465"/>
      <c r="D254" s="1447" t="e">
        <f>+#REF!+#REF!+#REF!+#REF!</f>
        <v>#REF!</v>
      </c>
      <c r="E254" s="1448">
        <f>+W254+AE254+AL254+AV254</f>
        <v>0</v>
      </c>
      <c r="F254" s="1449" t="e">
        <f t="shared" si="13"/>
        <v>#REF!</v>
      </c>
      <c r="G254" s="1450"/>
    </row>
    <row r="255" spans="1:7" ht="15.75" hidden="1" customHeight="1" x14ac:dyDescent="0.25">
      <c r="A255" s="1480" t="s">
        <v>320</v>
      </c>
      <c r="B255" s="1466" t="s">
        <v>321</v>
      </c>
      <c r="C255" s="1458"/>
      <c r="D255" s="1447" t="e">
        <f>+#REF!+#REF!+#REF!+#REF!</f>
        <v>#REF!</v>
      </c>
      <c r="E255" s="1448">
        <f>+W255+AE255+AL255+AV255</f>
        <v>0</v>
      </c>
      <c r="F255" s="1449" t="e">
        <f t="shared" si="13"/>
        <v>#REF!</v>
      </c>
      <c r="G255" s="1450"/>
    </row>
    <row r="256" spans="1:7" ht="15.75" hidden="1" customHeight="1" x14ac:dyDescent="0.25">
      <c r="A256" s="1471"/>
      <c r="B256" s="1460"/>
      <c r="C256" s="1458"/>
      <c r="D256" s="1447"/>
      <c r="E256" s="1448"/>
      <c r="F256" s="1449" t="e">
        <f t="shared" si="13"/>
        <v>#DIV/0!</v>
      </c>
      <c r="G256" s="1450"/>
    </row>
    <row r="257" spans="1:7" ht="15.75" hidden="1" customHeight="1" x14ac:dyDescent="0.25">
      <c r="A257" s="1471" t="s">
        <v>324</v>
      </c>
      <c r="B257" s="1460" t="s">
        <v>325</v>
      </c>
      <c r="C257" s="1458"/>
      <c r="D257" s="1447" t="e">
        <f>+#REF!+#REF!+#REF!+#REF!</f>
        <v>#REF!</v>
      </c>
      <c r="E257" s="1448">
        <f>+W257+AE257+AL257+AV257</f>
        <v>0</v>
      </c>
      <c r="F257" s="1449" t="e">
        <f t="shared" si="13"/>
        <v>#REF!</v>
      </c>
      <c r="G257" s="1450"/>
    </row>
    <row r="258" spans="1:7" ht="15.75" hidden="1" customHeight="1" x14ac:dyDescent="0.25">
      <c r="A258" s="1471" t="s">
        <v>588</v>
      </c>
      <c r="B258" s="1460" t="s">
        <v>589</v>
      </c>
      <c r="C258" s="1465"/>
      <c r="D258" s="1447" t="e">
        <f>+#REF!+#REF!+#REF!+#REF!</f>
        <v>#REF!</v>
      </c>
      <c r="E258" s="1448">
        <f>+W258+AE258+AL258+AV258</f>
        <v>0</v>
      </c>
      <c r="F258" s="1449" t="e">
        <f t="shared" si="13"/>
        <v>#REF!</v>
      </c>
      <c r="G258" s="1450"/>
    </row>
    <row r="259" spans="1:7" ht="15.75" hidden="1" customHeight="1" thickBot="1" x14ac:dyDescent="0.3">
      <c r="A259" s="1472"/>
      <c r="B259" s="1460"/>
      <c r="C259" s="1465"/>
      <c r="D259" s="1447"/>
      <c r="E259" s="1448"/>
      <c r="F259" s="1449" t="e">
        <f t="shared" si="13"/>
        <v>#DIV/0!</v>
      </c>
      <c r="G259" s="1450"/>
    </row>
    <row r="260" spans="1:7" ht="15.75" hidden="1" customHeight="1" x14ac:dyDescent="0.25">
      <c r="A260" s="1480" t="s">
        <v>326</v>
      </c>
      <c r="B260" s="1466" t="s">
        <v>327</v>
      </c>
      <c r="C260" s="1458"/>
      <c r="D260" s="1447" t="e">
        <f>+#REF!+#REF!+#REF!+#REF!</f>
        <v>#REF!</v>
      </c>
      <c r="E260" s="1448">
        <f>+W260+AE260+AL260+AV260</f>
        <v>0</v>
      </c>
      <c r="F260" s="1449" t="e">
        <f t="shared" si="13"/>
        <v>#REF!</v>
      </c>
      <c r="G260" s="1450"/>
    </row>
    <row r="261" spans="1:7" s="1464" customFormat="1" ht="15.75" hidden="1" customHeight="1" x14ac:dyDescent="0.25">
      <c r="A261" s="1470" t="s">
        <v>328</v>
      </c>
      <c r="B261" s="1460" t="s">
        <v>329</v>
      </c>
      <c r="C261" s="1458"/>
      <c r="D261" s="1447" t="e">
        <f>+#REF!+#REF!+#REF!+#REF!</f>
        <v>#REF!</v>
      </c>
      <c r="E261" s="1500">
        <f>+W261+AE261+AL261+AV261</f>
        <v>0</v>
      </c>
      <c r="F261" s="1449" t="e">
        <f t="shared" si="13"/>
        <v>#REF!</v>
      </c>
      <c r="G261" s="1463"/>
    </row>
    <row r="262" spans="1:7" ht="15.75" hidden="1" customHeight="1" x14ac:dyDescent="0.25">
      <c r="A262" s="1470" t="s">
        <v>330</v>
      </c>
      <c r="B262" s="1460" t="s">
        <v>331</v>
      </c>
      <c r="C262" s="1458"/>
      <c r="D262" s="1447" t="e">
        <f>+#REF!+#REF!+#REF!+#REF!</f>
        <v>#REF!</v>
      </c>
      <c r="E262" s="1448">
        <f>+W262+AE262+AL262+AV262</f>
        <v>0</v>
      </c>
      <c r="F262" s="1449" t="e">
        <f t="shared" si="13"/>
        <v>#REF!</v>
      </c>
      <c r="G262" s="1450"/>
    </row>
    <row r="263" spans="1:7" s="1464" customFormat="1" ht="15.75" hidden="1" customHeight="1" x14ac:dyDescent="0.25">
      <c r="A263" s="1471" t="s">
        <v>332</v>
      </c>
      <c r="B263" s="1462" t="s">
        <v>333</v>
      </c>
      <c r="C263" s="1458"/>
      <c r="D263" s="1447" t="e">
        <f>+#REF!+#REF!+#REF!+#REF!</f>
        <v>#REF!</v>
      </c>
      <c r="E263" s="1500">
        <f>+W263+AE263+AL263+AV263</f>
        <v>0</v>
      </c>
      <c r="F263" s="1449" t="e">
        <f t="shared" si="13"/>
        <v>#REF!</v>
      </c>
      <c r="G263" s="1463"/>
    </row>
    <row r="264" spans="1:7" s="1464" customFormat="1" ht="15.75" hidden="1" customHeight="1" x14ac:dyDescent="0.25">
      <c r="A264" s="1471"/>
      <c r="B264" s="1462"/>
      <c r="C264" s="1501"/>
      <c r="D264" s="1447"/>
      <c r="E264" s="1500"/>
      <c r="F264" s="1449" t="e">
        <f t="shared" si="13"/>
        <v>#DIV/0!</v>
      </c>
      <c r="G264" s="1463"/>
    </row>
    <row r="265" spans="1:7" s="1464" customFormat="1" ht="15.75" hidden="1" customHeight="1" x14ac:dyDescent="0.25">
      <c r="A265" s="1490" t="s">
        <v>334</v>
      </c>
      <c r="B265" s="1491" t="s">
        <v>335</v>
      </c>
      <c r="C265" s="1458"/>
      <c r="D265" s="1447" t="e">
        <f>+#REF!+#REF!+#REF!+#REF!</f>
        <v>#REF!</v>
      </c>
      <c r="E265" s="1500">
        <f>+W265+AE265+AL265+AV265</f>
        <v>0</v>
      </c>
      <c r="F265" s="1449" t="e">
        <f t="shared" si="13"/>
        <v>#REF!</v>
      </c>
      <c r="G265" s="1463"/>
    </row>
    <row r="266" spans="1:7" s="1464" customFormat="1" ht="15.75" hidden="1" customHeight="1" x14ac:dyDescent="0.25">
      <c r="A266" s="1471" t="s">
        <v>928</v>
      </c>
      <c r="B266" s="1462" t="s">
        <v>927</v>
      </c>
      <c r="C266" s="1502"/>
      <c r="D266" s="1447" t="e">
        <f>+#REF!+#REF!+#REF!+#REF!</f>
        <v>#REF!</v>
      </c>
      <c r="E266" s="1500">
        <f>+W266+AE266+AL266+AV266</f>
        <v>0</v>
      </c>
      <c r="F266" s="1449" t="e">
        <f t="shared" ref="F266:F303" si="17">((D266-E266)/E266)</f>
        <v>#REF!</v>
      </c>
      <c r="G266" s="1463"/>
    </row>
    <row r="267" spans="1:7" s="1464" customFormat="1" ht="15.75" hidden="1" customHeight="1" x14ac:dyDescent="0.25">
      <c r="A267" s="1471" t="s">
        <v>658</v>
      </c>
      <c r="B267" s="1462" t="s">
        <v>659</v>
      </c>
      <c r="C267" s="1458"/>
      <c r="D267" s="1447" t="e">
        <f>+#REF!+#REF!+#REF!+#REF!</f>
        <v>#REF!</v>
      </c>
      <c r="E267" s="1500">
        <f>+W267+AE267+AL267+AV267</f>
        <v>0</v>
      </c>
      <c r="F267" s="1449" t="e">
        <f t="shared" si="17"/>
        <v>#REF!</v>
      </c>
      <c r="G267" s="1463"/>
    </row>
    <row r="268" spans="1:7" s="1464" customFormat="1" ht="15.75" hidden="1" customHeight="1" x14ac:dyDescent="0.25">
      <c r="A268" s="1471" t="s">
        <v>926</v>
      </c>
      <c r="B268" s="1462" t="s">
        <v>925</v>
      </c>
      <c r="C268" s="1458"/>
      <c r="D268" s="1447" t="e">
        <f>+#REF!+#REF!+#REF!+#REF!</f>
        <v>#REF!</v>
      </c>
      <c r="E268" s="1500">
        <f>+W268+AE268+AL268+AV268</f>
        <v>0</v>
      </c>
      <c r="F268" s="1449" t="e">
        <f t="shared" si="17"/>
        <v>#REF!</v>
      </c>
      <c r="G268" s="1463"/>
    </row>
    <row r="269" spans="1:7" s="1464" customFormat="1" ht="15.75" hidden="1" customHeight="1" x14ac:dyDescent="0.25">
      <c r="A269" s="1471" t="s">
        <v>924</v>
      </c>
      <c r="B269" s="1462" t="s">
        <v>923</v>
      </c>
      <c r="C269" s="1458"/>
      <c r="D269" s="1447" t="e">
        <f>+#REF!+#REF!+#REF!+#REF!</f>
        <v>#REF!</v>
      </c>
      <c r="E269" s="1500">
        <f>+W269+AE269+AL269+AV269</f>
        <v>0</v>
      </c>
      <c r="F269" s="1449" t="e">
        <f t="shared" si="17"/>
        <v>#REF!</v>
      </c>
      <c r="G269" s="1463"/>
    </row>
    <row r="270" spans="1:7" s="1464" customFormat="1" ht="15.75" hidden="1" customHeight="1" x14ac:dyDescent="0.25">
      <c r="A270" s="1471"/>
      <c r="B270" s="1462"/>
      <c r="C270" s="1501"/>
      <c r="D270" s="1447"/>
      <c r="E270" s="1500"/>
      <c r="F270" s="1449" t="e">
        <f t="shared" si="17"/>
        <v>#DIV/0!</v>
      </c>
      <c r="G270" s="1463"/>
    </row>
    <row r="271" spans="1:7" s="1464" customFormat="1" ht="15.75" hidden="1" customHeight="1" x14ac:dyDescent="0.25">
      <c r="A271" s="1490" t="s">
        <v>338</v>
      </c>
      <c r="B271" s="1491" t="s">
        <v>339</v>
      </c>
      <c r="C271" s="1458"/>
      <c r="D271" s="1447" t="e">
        <f>+#REF!+#REF!+#REF!+#REF!</f>
        <v>#REF!</v>
      </c>
      <c r="E271" s="1500">
        <f>+W271+AE271+AL271+AV271</f>
        <v>0</v>
      </c>
      <c r="F271" s="1449" t="e">
        <f t="shared" si="17"/>
        <v>#REF!</v>
      </c>
      <c r="G271" s="1463"/>
    </row>
    <row r="272" spans="1:7" ht="15.75" hidden="1" customHeight="1" x14ac:dyDescent="0.25">
      <c r="A272" s="1471" t="s">
        <v>340</v>
      </c>
      <c r="B272" s="1462" t="s">
        <v>341</v>
      </c>
      <c r="C272" s="1458"/>
      <c r="D272" s="1447" t="e">
        <f>+#REF!+#REF!+#REF!+#REF!</f>
        <v>#REF!</v>
      </c>
      <c r="E272" s="1448">
        <f>+W272+AE272+AL272+AV272</f>
        <v>0</v>
      </c>
      <c r="F272" s="1449" t="e">
        <f t="shared" si="17"/>
        <v>#REF!</v>
      </c>
      <c r="G272" s="1450"/>
    </row>
    <row r="273" spans="1:7" ht="15.75" hidden="1" customHeight="1" x14ac:dyDescent="0.25">
      <c r="A273" s="1471" t="s">
        <v>342</v>
      </c>
      <c r="B273" s="1462" t="s">
        <v>343</v>
      </c>
      <c r="C273" s="1458"/>
      <c r="D273" s="1447" t="e">
        <f>+#REF!+#REF!+#REF!+#REF!</f>
        <v>#REF!</v>
      </c>
      <c r="E273" s="1448">
        <f>+W273+AE273+AL273+AV273</f>
        <v>0</v>
      </c>
      <c r="F273" s="1449" t="e">
        <f t="shared" si="17"/>
        <v>#REF!</v>
      </c>
      <c r="G273" s="1450"/>
    </row>
    <row r="274" spans="1:7" ht="15.75" hidden="1" customHeight="1" x14ac:dyDescent="0.25">
      <c r="A274" s="1471"/>
      <c r="B274" s="1462"/>
      <c r="C274" s="1501"/>
      <c r="D274" s="1447"/>
      <c r="E274" s="1448"/>
      <c r="F274" s="1449" t="e">
        <f t="shared" si="17"/>
        <v>#DIV/0!</v>
      </c>
      <c r="G274" s="1450"/>
    </row>
    <row r="275" spans="1:7" ht="15.75" hidden="1" customHeight="1" x14ac:dyDescent="0.25">
      <c r="A275" s="1489" t="s">
        <v>344</v>
      </c>
      <c r="B275" s="1491" t="s">
        <v>345</v>
      </c>
      <c r="C275" s="1458"/>
      <c r="D275" s="1447" t="e">
        <f>+#REF!+#REF!+#REF!+#REF!</f>
        <v>#REF!</v>
      </c>
      <c r="E275" s="1448">
        <f>+W275+AE275+AL275+AV275</f>
        <v>0</v>
      </c>
      <c r="F275" s="1449" t="e">
        <f t="shared" si="17"/>
        <v>#REF!</v>
      </c>
      <c r="G275" s="1450"/>
    </row>
    <row r="276" spans="1:7" ht="15.75" hidden="1" customHeight="1" x14ac:dyDescent="0.25">
      <c r="A276" s="1471" t="s">
        <v>346</v>
      </c>
      <c r="B276" s="1462" t="s">
        <v>347</v>
      </c>
      <c r="C276" s="1458"/>
      <c r="D276" s="1447" t="e">
        <f>+#REF!+#REF!+#REF!+#REF!</f>
        <v>#REF!</v>
      </c>
      <c r="E276" s="1448">
        <f>+W276+AE276+AL276+AV276</f>
        <v>0</v>
      </c>
      <c r="F276" s="1449" t="e">
        <f t="shared" si="17"/>
        <v>#REF!</v>
      </c>
      <c r="G276" s="1450"/>
    </row>
    <row r="277" spans="1:7" ht="15.75" hidden="1" customHeight="1" x14ac:dyDescent="0.25">
      <c r="A277" s="1471"/>
      <c r="B277" s="1462"/>
      <c r="C277" s="1501"/>
      <c r="D277" s="1447"/>
      <c r="E277" s="1448"/>
      <c r="F277" s="1449" t="e">
        <f t="shared" si="17"/>
        <v>#DIV/0!</v>
      </c>
      <c r="G277" s="1450"/>
    </row>
    <row r="278" spans="1:7" ht="15.75" customHeight="1" x14ac:dyDescent="0.25">
      <c r="A278" s="1489">
        <v>7</v>
      </c>
      <c r="B278" s="1947" t="s">
        <v>348</v>
      </c>
      <c r="C278" s="1948"/>
      <c r="D278" s="1447">
        <f>5906221619/1000</f>
        <v>5906221.6189999999</v>
      </c>
      <c r="E278" s="1448">
        <v>7873932.3600000003</v>
      </c>
      <c r="F278" s="1449">
        <f t="shared" si="17"/>
        <v>-0.24990191063820624</v>
      </c>
      <c r="G278" s="1450"/>
    </row>
    <row r="279" spans="1:7" ht="15.75" hidden="1" customHeight="1" x14ac:dyDescent="0.25">
      <c r="A279" s="1470"/>
      <c r="B279" s="1460"/>
      <c r="C279" s="1465"/>
      <c r="D279" s="1447"/>
      <c r="E279" s="1448"/>
      <c r="F279" s="1449" t="e">
        <f t="shared" si="17"/>
        <v>#DIV/0!</v>
      </c>
      <c r="G279" s="1450"/>
    </row>
    <row r="280" spans="1:7" ht="16.5" hidden="1" customHeight="1" x14ac:dyDescent="0.25">
      <c r="A280" s="1480" t="s">
        <v>376</v>
      </c>
      <c r="B280" s="1466" t="s">
        <v>377</v>
      </c>
      <c r="C280" s="1458"/>
      <c r="D280" s="1447" t="e">
        <f>+#REF!+#REF!+#REF!+#REF!</f>
        <v>#REF!</v>
      </c>
      <c r="E280" s="1448">
        <f>+W280+AE280+AL280+AV280</f>
        <v>0</v>
      </c>
      <c r="F280" s="1449" t="e">
        <f t="shared" si="17"/>
        <v>#REF!</v>
      </c>
      <c r="G280" s="1450"/>
    </row>
    <row r="281" spans="1:7" ht="15.75" hidden="1" customHeight="1" x14ac:dyDescent="0.25">
      <c r="A281" s="1470" t="s">
        <v>374</v>
      </c>
      <c r="B281" s="1460" t="s">
        <v>378</v>
      </c>
      <c r="C281" s="1503"/>
      <c r="D281" s="1447" t="e">
        <f>+#REF!+#REF!+#REF!+#REF!</f>
        <v>#REF!</v>
      </c>
      <c r="E281" s="1448">
        <f>+W281+AE281+AL281+AV281</f>
        <v>0</v>
      </c>
      <c r="F281" s="1449" t="e">
        <f t="shared" si="17"/>
        <v>#REF!</v>
      </c>
      <c r="G281" s="1450"/>
    </row>
    <row r="282" spans="1:7" ht="15.75" hidden="1" customHeight="1" x14ac:dyDescent="0.25">
      <c r="A282" s="1470" t="s">
        <v>375</v>
      </c>
      <c r="B282" s="1460" t="s">
        <v>485</v>
      </c>
      <c r="C282" s="1503"/>
      <c r="D282" s="1447" t="e">
        <f>+#REF!+#REF!+#REF!+#REF!</f>
        <v>#REF!</v>
      </c>
      <c r="E282" s="1448">
        <f>+W282+AE282+AL282+AV282</f>
        <v>0</v>
      </c>
      <c r="F282" s="1449" t="e">
        <f t="shared" si="17"/>
        <v>#REF!</v>
      </c>
      <c r="G282" s="1450"/>
    </row>
    <row r="283" spans="1:7" ht="15.75" hidden="1" customHeight="1" x14ac:dyDescent="0.25">
      <c r="A283" s="1480"/>
      <c r="B283" s="1460"/>
      <c r="C283" s="1465"/>
      <c r="D283" s="1447"/>
      <c r="E283" s="1448"/>
      <c r="F283" s="1449" t="e">
        <f t="shared" si="17"/>
        <v>#DIV/0!</v>
      </c>
      <c r="G283" s="1450"/>
    </row>
    <row r="284" spans="1:7" ht="15.75" hidden="1" customHeight="1" x14ac:dyDescent="0.25">
      <c r="A284" s="1480" t="s">
        <v>349</v>
      </c>
      <c r="B284" s="1466" t="s">
        <v>350</v>
      </c>
      <c r="C284" s="1458"/>
      <c r="D284" s="1447" t="e">
        <f>+#REF!+#REF!+#REF!+#REF!</f>
        <v>#REF!</v>
      </c>
      <c r="E284" s="1448">
        <f t="shared" ref="E284:E293" si="18">+W284+AE284+AL284+AV284</f>
        <v>0</v>
      </c>
      <c r="F284" s="1449" t="e">
        <f t="shared" si="17"/>
        <v>#REF!</v>
      </c>
      <c r="G284" s="1450"/>
    </row>
    <row r="285" spans="1:7" ht="15.75" hidden="1" customHeight="1" x14ac:dyDescent="0.25">
      <c r="A285" s="1470" t="s">
        <v>546</v>
      </c>
      <c r="B285" s="1460" t="s">
        <v>351</v>
      </c>
      <c r="C285" s="1458"/>
      <c r="D285" s="1447" t="e">
        <f>+#REF!+#REF!+#REF!+#REF!</f>
        <v>#REF!</v>
      </c>
      <c r="E285" s="1448">
        <f t="shared" si="18"/>
        <v>0</v>
      </c>
      <c r="F285" s="1449" t="e">
        <f t="shared" si="17"/>
        <v>#REF!</v>
      </c>
      <c r="G285" s="1450"/>
    </row>
    <row r="286" spans="1:7" ht="15.75" hidden="1" customHeight="1" x14ac:dyDescent="0.25">
      <c r="A286" s="1470" t="s">
        <v>561</v>
      </c>
      <c r="B286" s="1460" t="s">
        <v>563</v>
      </c>
      <c r="C286" s="1465"/>
      <c r="D286" s="1447" t="e">
        <f>+#REF!+#REF!+#REF!+#REF!</f>
        <v>#REF!</v>
      </c>
      <c r="E286" s="1448">
        <f t="shared" si="18"/>
        <v>0</v>
      </c>
      <c r="F286" s="1449" t="e">
        <f t="shared" si="17"/>
        <v>#REF!</v>
      </c>
      <c r="G286" s="1450"/>
    </row>
    <row r="287" spans="1:7" ht="15.75" hidden="1" customHeight="1" x14ac:dyDescent="0.25">
      <c r="A287" s="1470" t="s">
        <v>547</v>
      </c>
      <c r="B287" s="1460" t="s">
        <v>922</v>
      </c>
      <c r="C287" s="1465"/>
      <c r="D287" s="1447" t="e">
        <f>+#REF!+#REF!+#REF!+#REF!</f>
        <v>#REF!</v>
      </c>
      <c r="E287" s="1448">
        <f t="shared" si="18"/>
        <v>0</v>
      </c>
      <c r="F287" s="1449" t="e">
        <f t="shared" si="17"/>
        <v>#REF!</v>
      </c>
      <c r="G287" s="1450"/>
    </row>
    <row r="288" spans="1:7" ht="15" hidden="1" customHeight="1" x14ac:dyDescent="0.25">
      <c r="A288" s="1470" t="s">
        <v>562</v>
      </c>
      <c r="B288" s="1460" t="s">
        <v>564</v>
      </c>
      <c r="C288" s="1465"/>
      <c r="D288" s="1447" t="e">
        <f>+#REF!+#REF!+#REF!+#REF!</f>
        <v>#REF!</v>
      </c>
      <c r="E288" s="1448">
        <f t="shared" si="18"/>
        <v>0</v>
      </c>
      <c r="F288" s="1449" t="e">
        <f t="shared" si="17"/>
        <v>#REF!</v>
      </c>
      <c r="G288" s="1450"/>
    </row>
    <row r="289" spans="1:7" ht="15.75" hidden="1" customHeight="1" x14ac:dyDescent="0.25">
      <c r="A289" s="1470" t="s">
        <v>593</v>
      </c>
      <c r="B289" s="1460" t="s">
        <v>594</v>
      </c>
      <c r="C289" s="1465"/>
      <c r="D289" s="1447" t="e">
        <f>+#REF!+#REF!+#REF!+#REF!</f>
        <v>#REF!</v>
      </c>
      <c r="E289" s="1448">
        <f t="shared" si="18"/>
        <v>0</v>
      </c>
      <c r="F289" s="1449" t="e">
        <f t="shared" si="17"/>
        <v>#REF!</v>
      </c>
      <c r="G289" s="1450"/>
    </row>
    <row r="290" spans="1:7" ht="15.75" hidden="1" customHeight="1" x14ac:dyDescent="0.25">
      <c r="A290" s="1470" t="str">
        <f>+'[2]Egresos -2015 '!$A$278</f>
        <v>7.02.01.09</v>
      </c>
      <c r="B290" s="1460" t="str">
        <f>+'[2]Egresos -2015 '!$B$278</f>
        <v>Casos Individuales Art.59 Proyecto BRI-BRI</v>
      </c>
      <c r="C290" s="1458"/>
      <c r="D290" s="1447" t="e">
        <f>+#REF!+#REF!+#REF!+#REF!</f>
        <v>#REF!</v>
      </c>
      <c r="E290" s="1448">
        <f t="shared" si="18"/>
        <v>0</v>
      </c>
      <c r="F290" s="1449" t="e">
        <f t="shared" si="17"/>
        <v>#REF!</v>
      </c>
      <c r="G290" s="1450"/>
    </row>
    <row r="291" spans="1:7" ht="15.75" hidden="1" customHeight="1" x14ac:dyDescent="0.25">
      <c r="A291" s="1470" t="str">
        <f>+'[2]Egresos -2015 '!$A$280</f>
        <v>7.02.01.11</v>
      </c>
      <c r="B291" s="1460" t="str">
        <f>+'[2]Egresos -2015 '!$B$280</f>
        <v>Casos Individuales Art.59 Los Lirios</v>
      </c>
      <c r="C291" s="1465"/>
      <c r="D291" s="1447" t="e">
        <f>+#REF!+#REF!+#REF!+#REF!</f>
        <v>#REF!</v>
      </c>
      <c r="E291" s="1448">
        <f t="shared" si="18"/>
        <v>0</v>
      </c>
      <c r="F291" s="1449" t="e">
        <f t="shared" si="17"/>
        <v>#REF!</v>
      </c>
      <c r="G291" s="1450"/>
    </row>
    <row r="292" spans="1:7" ht="15.75" hidden="1" customHeight="1" x14ac:dyDescent="0.25">
      <c r="A292" s="1470"/>
      <c r="B292" s="1460" t="s">
        <v>921</v>
      </c>
      <c r="C292" s="1465"/>
      <c r="D292" s="1447" t="e">
        <f>+#REF!+#REF!+#REF!+#REF!</f>
        <v>#REF!</v>
      </c>
      <c r="E292" s="1448">
        <f t="shared" si="18"/>
        <v>0</v>
      </c>
      <c r="F292" s="1449" t="e">
        <f t="shared" si="17"/>
        <v>#REF!</v>
      </c>
      <c r="G292" s="1450"/>
    </row>
    <row r="293" spans="1:7" ht="15.75" hidden="1" customHeight="1" x14ac:dyDescent="0.25">
      <c r="A293" s="1470" t="str">
        <f>+'[2]Egresos -2015 '!$A$281</f>
        <v>7.02.01.12</v>
      </c>
      <c r="B293" s="1504" t="str">
        <f>+'[2]Egresos -2015 '!$B$281</f>
        <v>Casos Individuales Art.59 Juan Rafael Mora</v>
      </c>
      <c r="C293" s="1465"/>
      <c r="D293" s="1447" t="e">
        <f>+#REF!+#REF!+#REF!+#REF!</f>
        <v>#REF!</v>
      </c>
      <c r="E293" s="1448">
        <f t="shared" si="18"/>
        <v>0</v>
      </c>
      <c r="F293" s="1449" t="e">
        <f t="shared" si="17"/>
        <v>#REF!</v>
      </c>
      <c r="G293" s="1450"/>
    </row>
    <row r="294" spans="1:7" ht="15.75" hidden="1" customHeight="1" x14ac:dyDescent="0.25">
      <c r="A294" s="1470"/>
      <c r="B294" s="1504"/>
      <c r="C294" s="1465"/>
      <c r="D294" s="1447"/>
      <c r="E294" s="1448"/>
      <c r="F294" s="1449" t="e">
        <f t="shared" si="17"/>
        <v>#DIV/0!</v>
      </c>
      <c r="G294" s="1450"/>
    </row>
    <row r="295" spans="1:7" ht="15" customHeight="1" x14ac:dyDescent="0.25">
      <c r="A295" s="1493">
        <v>8</v>
      </c>
      <c r="B295" s="1951" t="s">
        <v>352</v>
      </c>
      <c r="C295" s="1952"/>
      <c r="D295" s="1447">
        <f>10216380500/1000</f>
        <v>10216380.5</v>
      </c>
      <c r="E295" s="1448">
        <v>16463740.529999999</v>
      </c>
      <c r="F295" s="1449">
        <f t="shared" si="17"/>
        <v>-0.37946176439164275</v>
      </c>
      <c r="G295" s="1450"/>
    </row>
    <row r="296" spans="1:7" ht="15" hidden="1" customHeight="1" x14ac:dyDescent="0.25">
      <c r="A296" s="1470"/>
      <c r="B296" s="1504"/>
      <c r="C296" s="1465"/>
      <c r="D296" s="1447"/>
      <c r="E296" s="1448"/>
      <c r="F296" s="1449" t="e">
        <f t="shared" si="17"/>
        <v>#DIV/0!</v>
      </c>
      <c r="G296" s="1450"/>
    </row>
    <row r="297" spans="1:7" ht="15" hidden="1" customHeight="1" x14ac:dyDescent="0.25">
      <c r="A297" s="1480" t="s">
        <v>353</v>
      </c>
      <c r="B297" s="1505" t="s">
        <v>354</v>
      </c>
      <c r="C297" s="1458"/>
      <c r="D297" s="1447" t="e">
        <f>+#REF!+#REF!+#REF!+#REF!</f>
        <v>#REF!</v>
      </c>
      <c r="E297" s="1448">
        <f>+W297+AE297+AL297+AV297</f>
        <v>0</v>
      </c>
      <c r="F297" s="1449" t="e">
        <f t="shared" si="17"/>
        <v>#REF!</v>
      </c>
      <c r="G297" s="1450"/>
    </row>
    <row r="298" spans="1:7" ht="15" hidden="1" customHeight="1" x14ac:dyDescent="0.25">
      <c r="A298" s="1470" t="s">
        <v>355</v>
      </c>
      <c r="B298" s="1504" t="s">
        <v>356</v>
      </c>
      <c r="C298" s="1458"/>
      <c r="D298" s="1447" t="e">
        <f>+#REF!+#REF!+#REF!+#REF!</f>
        <v>#REF!</v>
      </c>
      <c r="E298" s="1448">
        <f>+W298+AE298+AL298+AV298</f>
        <v>0</v>
      </c>
      <c r="F298" s="1449" t="e">
        <f t="shared" si="17"/>
        <v>#REF!</v>
      </c>
      <c r="G298" s="1450"/>
    </row>
    <row r="299" spans="1:7" ht="15.75" hidden="1" customHeight="1" x14ac:dyDescent="0.25">
      <c r="A299" s="1470" t="s">
        <v>357</v>
      </c>
      <c r="B299" s="1504" t="s">
        <v>358</v>
      </c>
      <c r="C299" s="1458"/>
      <c r="D299" s="1447" t="e">
        <f>+#REF!+#REF!+#REF!+#REF!</f>
        <v>#REF!</v>
      </c>
      <c r="E299" s="1448">
        <f>+W299+AE299+AL299+AV299</f>
        <v>0</v>
      </c>
      <c r="F299" s="1449" t="e">
        <f t="shared" si="17"/>
        <v>#REF!</v>
      </c>
      <c r="G299" s="1450"/>
    </row>
    <row r="300" spans="1:7" ht="15.75" hidden="1" customHeight="1" x14ac:dyDescent="0.25">
      <c r="A300" s="1470" t="s">
        <v>359</v>
      </c>
      <c r="B300" s="1504" t="s">
        <v>360</v>
      </c>
      <c r="C300" s="1458"/>
      <c r="D300" s="1447" t="e">
        <f>+#REF!+#REF!+#REF!+#REF!</f>
        <v>#REF!</v>
      </c>
      <c r="E300" s="1448">
        <f>+W300+AE300+AL300+AV300</f>
        <v>0</v>
      </c>
      <c r="F300" s="1449" t="e">
        <f t="shared" si="17"/>
        <v>#REF!</v>
      </c>
      <c r="G300" s="1450"/>
    </row>
    <row r="301" spans="1:7" ht="15.75" hidden="1" customHeight="1" x14ac:dyDescent="0.25">
      <c r="A301" s="1470" t="s">
        <v>361</v>
      </c>
      <c r="B301" s="1504" t="s">
        <v>362</v>
      </c>
      <c r="C301" s="1458"/>
      <c r="D301" s="1447" t="e">
        <f>+#REF!+#REF!+#REF!+#REF!</f>
        <v>#REF!</v>
      </c>
      <c r="E301" s="1448">
        <f>+W301+AE301+AL301+AV301</f>
        <v>0</v>
      </c>
      <c r="F301" s="1449" t="e">
        <f t="shared" si="17"/>
        <v>#REF!</v>
      </c>
      <c r="G301" s="1450"/>
    </row>
    <row r="302" spans="1:7" ht="15" hidden="1" customHeight="1" x14ac:dyDescent="0.25">
      <c r="A302" s="1470"/>
      <c r="B302" s="1504"/>
      <c r="C302" s="1465"/>
      <c r="D302" s="1447"/>
      <c r="E302" s="1448"/>
      <c r="F302" s="1449" t="e">
        <f t="shared" si="17"/>
        <v>#DIV/0!</v>
      </c>
      <c r="G302" s="1450"/>
    </row>
    <row r="303" spans="1:7" ht="15" customHeight="1" thickBot="1" x14ac:dyDescent="0.3">
      <c r="A303" s="1506">
        <v>9</v>
      </c>
      <c r="B303" s="1955" t="s">
        <v>363</v>
      </c>
      <c r="C303" s="1956"/>
      <c r="D303" s="1507">
        <f>3350417504/1000</f>
        <v>3350417.5040000002</v>
      </c>
      <c r="E303" s="1508">
        <v>1009786.38</v>
      </c>
      <c r="F303" s="1509">
        <f t="shared" si="17"/>
        <v>2.3179468156423346</v>
      </c>
      <c r="G303" s="1510"/>
    </row>
    <row r="304" spans="1:7" ht="17.25" hidden="1" customHeight="1" x14ac:dyDescent="0.25">
      <c r="A304" s="1511"/>
      <c r="B304" s="1512"/>
      <c r="C304" s="1513"/>
      <c r="D304" s="1447"/>
      <c r="E304" s="1514"/>
      <c r="F304" s="1515"/>
      <c r="G304" s="1516"/>
    </row>
    <row r="305" spans="1:7" ht="16.5" hidden="1" customHeight="1" thickBot="1" x14ac:dyDescent="0.3">
      <c r="A305" s="1517" t="s">
        <v>364</v>
      </c>
      <c r="B305" s="1518" t="s">
        <v>365</v>
      </c>
      <c r="C305" s="1519"/>
      <c r="D305" s="1495" t="e">
        <f>+#REF!+#REF!+#REF!+#REF!</f>
        <v>#REF!</v>
      </c>
      <c r="E305" s="1514"/>
      <c r="F305" s="1515"/>
      <c r="G305" s="1516"/>
    </row>
    <row r="306" spans="1:7" ht="15.75" hidden="1" customHeight="1" x14ac:dyDescent="0.25">
      <c r="A306" s="1520" t="s">
        <v>366</v>
      </c>
      <c r="B306" s="1521" t="s">
        <v>367</v>
      </c>
      <c r="C306" s="1519"/>
      <c r="D306" s="1447" t="e">
        <f>+#REF!+#REF!+#REF!+#REF!</f>
        <v>#REF!</v>
      </c>
      <c r="E306" s="1514"/>
      <c r="F306" s="1515"/>
      <c r="G306" s="1516"/>
    </row>
    <row r="307" spans="1:7" ht="16.5" hidden="1" customHeight="1" thickBot="1" x14ac:dyDescent="0.3">
      <c r="A307" s="1520" t="s">
        <v>368</v>
      </c>
      <c r="B307" s="1522" t="s">
        <v>369</v>
      </c>
      <c r="C307" s="1523"/>
      <c r="D307" s="1447" t="e">
        <f>+#REF!+#REF!+#REF!+#REF!</f>
        <v>#REF!</v>
      </c>
      <c r="E307" s="1524"/>
      <c r="F307" s="1525"/>
      <c r="G307" s="1516"/>
    </row>
    <row r="308" spans="1:7" s="1434" customFormat="1" x14ac:dyDescent="0.25">
      <c r="A308" s="1942"/>
      <c r="B308" s="1943"/>
      <c r="C308" s="1943"/>
      <c r="D308" s="1943"/>
      <c r="E308" s="1943"/>
      <c r="F308" s="1943"/>
      <c r="G308" s="1944"/>
    </row>
  </sheetData>
  <mergeCells count="17">
    <mergeCell ref="B8:C8"/>
    <mergeCell ref="B303:C303"/>
    <mergeCell ref="A1:G1"/>
    <mergeCell ref="A2:G2"/>
    <mergeCell ref="A3:G3"/>
    <mergeCell ref="B9:C9"/>
    <mergeCell ref="B7:C7"/>
    <mergeCell ref="A308:G308"/>
    <mergeCell ref="B10:C10"/>
    <mergeCell ref="B67:C67"/>
    <mergeCell ref="B141:C141"/>
    <mergeCell ref="B176:C176"/>
    <mergeCell ref="B190:C190"/>
    <mergeCell ref="B203:C203"/>
    <mergeCell ref="B253:C253"/>
    <mergeCell ref="B278:C278"/>
    <mergeCell ref="B295:C295"/>
  </mergeCells>
  <pageMargins left="1" right="1" top="1" bottom="1" header="0.5" footer="0.5"/>
  <pageSetup scale="72" fitToHeight="0" orientation="landscape" r:id="rId1"/>
  <headerFooter alignWithMargins="0">
    <oddHeader>&amp;L&amp;G&amp;R&amp;6&amp;F/&amp;A</oddHeader>
    <oddFooter>&amp;L&amp;6Esta información es propiedad del Instituto Nacional de Vivienda y Urbanismo. Se autoriza su utilización, pero no su alteración. Recuerde que puede acceder a los archivos PDF para verificación.&amp;R&amp;6&amp;P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17</vt:i4>
      </vt:variant>
    </vt:vector>
  </HeadingPairs>
  <TitlesOfParts>
    <vt:vector size="30" baseType="lpstr">
      <vt:lpstr>Ingresos -2018</vt:lpstr>
      <vt:lpstr>Límite de Gasto</vt:lpstr>
      <vt:lpstr>Origen y Aplicación de Rec.</vt:lpstr>
      <vt:lpstr>clasificación Funcional</vt:lpstr>
      <vt:lpstr>Egresos por Ctro de Costos </vt:lpstr>
      <vt:lpstr> Comparativo de Ingresos 17-18</vt:lpstr>
      <vt:lpstr> Comparativo de Ingresos Reales</vt:lpstr>
      <vt:lpstr>serie Histórica de Ingresos</vt:lpstr>
      <vt:lpstr>Comparativo de Egresos</vt:lpstr>
      <vt:lpstr>Evolución de Egresos</vt:lpstr>
      <vt:lpstr>Hoja1</vt:lpstr>
      <vt:lpstr>Egresos Analísis Vertical</vt:lpstr>
      <vt:lpstr>Clasificador Económico</vt:lpstr>
      <vt:lpstr>' Comparativo de Ingresos Reales'!Área_de_impresión</vt:lpstr>
      <vt:lpstr>'Comparativo de Egresos'!Área_de_impresión</vt:lpstr>
      <vt:lpstr>'Egresos Analísis Vertical'!Área_de_impresión</vt:lpstr>
      <vt:lpstr>'Egresos por Ctro de Costos '!Área_de_impresión</vt:lpstr>
      <vt:lpstr>'Evolución de Egresos'!Área_de_impresión</vt:lpstr>
      <vt:lpstr>'Ingresos -2018'!Área_de_impresión</vt:lpstr>
      <vt:lpstr>'Origen y Aplicación de Rec.'!Área_de_impresión</vt:lpstr>
      <vt:lpstr>'serie Histórica de Ingresos'!Área_de_impresión</vt:lpstr>
      <vt:lpstr>' Comparativo de Ingresos 17-18'!Títulos_a_imprimir</vt:lpstr>
      <vt:lpstr>' Comparativo de Ingresos Reales'!Títulos_a_imprimir</vt:lpstr>
      <vt:lpstr>'Comparativo de Egresos'!Títulos_a_imprimir</vt:lpstr>
      <vt:lpstr>'Egresos Analísis Vertical'!Títulos_a_imprimir</vt:lpstr>
      <vt:lpstr>'Egresos por Ctro de Costos '!Títulos_a_imprimir</vt:lpstr>
      <vt:lpstr>'Evolución de Egresos'!Títulos_a_imprimir</vt:lpstr>
      <vt:lpstr>'Ingresos -2018'!Títulos_a_imprimir</vt:lpstr>
      <vt:lpstr>'Origen y Aplicación de Rec.'!Títulos_a_imprimir</vt:lpstr>
      <vt:lpstr>'serie Histórica de Ingresos'!Títulos_a_imprimir</vt:lpstr>
    </vt:vector>
  </TitlesOfParts>
  <Company>INVU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dhutchinson</dc:creator>
  <cp:lastModifiedBy>Tatiana Mora</cp:lastModifiedBy>
  <cp:lastPrinted>2018-04-19T14:54:37Z</cp:lastPrinted>
  <dcterms:created xsi:type="dcterms:W3CDTF">2006-05-10T15:57:17Z</dcterms:created>
  <dcterms:modified xsi:type="dcterms:W3CDTF">2018-04-19T14:54:48Z</dcterms:modified>
</cp:coreProperties>
</file>