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C:\Users\Mnavarro\Documents\Presupuesto 2025\Presupuesto en excel para publicar\"/>
    </mc:Choice>
  </mc:AlternateContent>
  <xr:revisionPtr revIDLastSave="0" documentId="8_{68DBAD18-4F40-40FE-BC5F-148734C96AF6}" xr6:coauthVersionLast="47" xr6:coauthVersionMax="47" xr10:uidLastSave="{00000000-0000-0000-0000-000000000000}"/>
  <bookViews>
    <workbookView xWindow="-108" yWindow="-108" windowWidth="23256" windowHeight="13896" activeTab="2" xr2:uid="{7F3368A6-8F09-4B6F-98DA-841D9BA8A8B8}"/>
  </bookViews>
  <sheets>
    <sheet name="Ingresos 2021" sheetId="2" r:id="rId1"/>
    <sheet name="Egresos 2021" sheetId="1" r:id="rId2"/>
    <sheet name="Indicadores" sheetId="3"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55" i="3" l="1"/>
  <c r="J35" i="3"/>
  <c r="J20" i="3"/>
  <c r="J8" i="3"/>
  <c r="H106" i="2"/>
  <c r="G106" i="2"/>
  <c r="D106" i="2" s="1"/>
  <c r="C106" i="2" s="1"/>
  <c r="H105" i="2"/>
  <c r="E105" i="2"/>
  <c r="E91" i="2" s="1"/>
  <c r="E87" i="2" s="1"/>
  <c r="E82" i="2" s="1"/>
  <c r="E81" i="2" s="1"/>
  <c r="D105" i="2"/>
  <c r="C105" i="2" s="1"/>
  <c r="D104" i="2"/>
  <c r="C104" i="2" s="1"/>
  <c r="G103" i="2"/>
  <c r="D103" i="2" s="1"/>
  <c r="C103" i="2" s="1"/>
  <c r="G102" i="2"/>
  <c r="D102" i="2" s="1"/>
  <c r="C102" i="2" s="1"/>
  <c r="D101" i="2"/>
  <c r="C101" i="2"/>
  <c r="D100" i="2"/>
  <c r="C100" i="2"/>
  <c r="D99" i="2"/>
  <c r="C99" i="2" s="1"/>
  <c r="G98" i="2"/>
  <c r="D98" i="2"/>
  <c r="C98" i="2"/>
  <c r="D97" i="2"/>
  <c r="C97" i="2" s="1"/>
  <c r="D96" i="2"/>
  <c r="C96" i="2"/>
  <c r="H95" i="2"/>
  <c r="G95" i="2"/>
  <c r="D95" i="2" s="1"/>
  <c r="C95" i="2" s="1"/>
  <c r="G94" i="2"/>
  <c r="D94" i="2" s="1"/>
  <c r="C94" i="2" s="1"/>
  <c r="G93" i="2"/>
  <c r="D93" i="2" s="1"/>
  <c r="C93" i="2" s="1"/>
  <c r="H92" i="2"/>
  <c r="G92" i="2"/>
  <c r="D92" i="2" s="1"/>
  <c r="C92" i="2" s="1"/>
  <c r="J91" i="2"/>
  <c r="I91" i="2"/>
  <c r="I87" i="2" s="1"/>
  <c r="F91" i="2"/>
  <c r="H89" i="2"/>
  <c r="H88" i="2" s="1"/>
  <c r="D89" i="2"/>
  <c r="D88" i="2" s="1"/>
  <c r="C89" i="2"/>
  <c r="J88" i="2"/>
  <c r="G88" i="2"/>
  <c r="F88" i="2"/>
  <c r="E88" i="2"/>
  <c r="I85" i="2"/>
  <c r="I84" i="2" s="1"/>
  <c r="I83" i="2" s="1"/>
  <c r="H85" i="2"/>
  <c r="H84" i="2" s="1"/>
  <c r="D85" i="2"/>
  <c r="J84" i="2"/>
  <c r="J83" i="2" s="1"/>
  <c r="D84" i="2"/>
  <c r="G83" i="2"/>
  <c r="D83" i="2"/>
  <c r="D78" i="2"/>
  <c r="C78" i="2"/>
  <c r="H77" i="2"/>
  <c r="H76" i="2" s="1"/>
  <c r="H75" i="2" s="1"/>
  <c r="G77" i="2"/>
  <c r="G76" i="2" s="1"/>
  <c r="G75" i="2" s="1"/>
  <c r="D77" i="2"/>
  <c r="C77" i="2"/>
  <c r="J76" i="2"/>
  <c r="J75" i="2" s="1"/>
  <c r="F76" i="2"/>
  <c r="F75" i="2" s="1"/>
  <c r="E76" i="2"/>
  <c r="E75" i="2" s="1"/>
  <c r="I73" i="2"/>
  <c r="C73" i="2" s="1"/>
  <c r="H73" i="2"/>
  <c r="H71" i="2" s="1"/>
  <c r="H70" i="2" s="1"/>
  <c r="H69" i="2" s="1"/>
  <c r="E72" i="2"/>
  <c r="D72" i="2" s="1"/>
  <c r="J71" i="2"/>
  <c r="J70" i="2" s="1"/>
  <c r="J69" i="2" s="1"/>
  <c r="G70" i="2"/>
  <c r="F70" i="2"/>
  <c r="F69" i="2" s="1"/>
  <c r="G69" i="2"/>
  <c r="D67" i="2"/>
  <c r="C67" i="2" s="1"/>
  <c r="G66" i="2"/>
  <c r="D66" i="2" s="1"/>
  <c r="C66" i="2" s="1"/>
  <c r="J65" i="2"/>
  <c r="J63" i="2" s="1"/>
  <c r="I65" i="2"/>
  <c r="I63" i="2" s="1"/>
  <c r="H65" i="2"/>
  <c r="H63" i="2" s="1"/>
  <c r="F65" i="2"/>
  <c r="F63" i="2" s="1"/>
  <c r="E65" i="2"/>
  <c r="E63" i="2"/>
  <c r="H58" i="2"/>
  <c r="H57" i="2" s="1"/>
  <c r="H56" i="2" s="1"/>
  <c r="D58" i="2"/>
  <c r="D57" i="2" s="1"/>
  <c r="D56" i="2" s="1"/>
  <c r="J57" i="2"/>
  <c r="J56" i="2" s="1"/>
  <c r="G57" i="2"/>
  <c r="G56" i="2" s="1"/>
  <c r="F57" i="2"/>
  <c r="F56" i="2" s="1"/>
  <c r="E57" i="2"/>
  <c r="E56" i="2" s="1"/>
  <c r="I56" i="2"/>
  <c r="H54" i="2"/>
  <c r="D54" i="2"/>
  <c r="C54" i="2" s="1"/>
  <c r="H53" i="2"/>
  <c r="E53" i="2"/>
  <c r="J52" i="2"/>
  <c r="I52" i="2"/>
  <c r="I51" i="2" s="1"/>
  <c r="G52" i="2"/>
  <c r="G51" i="2" s="1"/>
  <c r="J51" i="2"/>
  <c r="F51" i="2"/>
  <c r="I49" i="2"/>
  <c r="H49" i="2" s="1"/>
  <c r="H46" i="2" s="1"/>
  <c r="H45" i="2" s="1"/>
  <c r="D49" i="2"/>
  <c r="D48" i="2"/>
  <c r="E47" i="2"/>
  <c r="E46" i="2" s="1"/>
  <c r="E45" i="2" s="1"/>
  <c r="D47" i="2"/>
  <c r="D46" i="2" s="1"/>
  <c r="D45" i="2" s="1"/>
  <c r="C47" i="2"/>
  <c r="J46" i="2"/>
  <c r="J45" i="2" s="1"/>
  <c r="G46" i="2"/>
  <c r="F46" i="2"/>
  <c r="F45" i="2" s="1"/>
  <c r="G45" i="2"/>
  <c r="I43" i="2"/>
  <c r="C43" i="2" s="1"/>
  <c r="E41" i="2"/>
  <c r="E40" i="2" s="1"/>
  <c r="D41" i="2"/>
  <c r="D40" i="2" s="1"/>
  <c r="C41" i="2"/>
  <c r="J40" i="2"/>
  <c r="I40" i="2"/>
  <c r="G40" i="2"/>
  <c r="F40" i="2"/>
  <c r="E38" i="2"/>
  <c r="D38" i="2" s="1"/>
  <c r="E37" i="2"/>
  <c r="D37" i="2" s="1"/>
  <c r="C37" i="2" s="1"/>
  <c r="I36" i="2"/>
  <c r="I32" i="2" s="1"/>
  <c r="H36" i="2"/>
  <c r="H32" i="2" s="1"/>
  <c r="D36" i="2"/>
  <c r="C36" i="2"/>
  <c r="E35" i="2"/>
  <c r="D35" i="2" s="1"/>
  <c r="C35" i="2" s="1"/>
  <c r="E34" i="2"/>
  <c r="D34" i="2" s="1"/>
  <c r="C34" i="2" s="1"/>
  <c r="G33" i="2"/>
  <c r="G32" i="2" s="1"/>
  <c r="F33" i="2"/>
  <c r="F32" i="2" s="1"/>
  <c r="J32" i="2"/>
  <c r="D29" i="2"/>
  <c r="C29" i="2" s="1"/>
  <c r="J28" i="2"/>
  <c r="J27" i="2" s="1"/>
  <c r="I28" i="2"/>
  <c r="I27" i="2" s="1"/>
  <c r="H28" i="2"/>
  <c r="H27" i="2" s="1"/>
  <c r="G28" i="2"/>
  <c r="G27" i="2" s="1"/>
  <c r="F28" i="2"/>
  <c r="E28" i="2"/>
  <c r="E27" i="2" s="1"/>
  <c r="I25" i="2"/>
  <c r="I22" i="2" s="1"/>
  <c r="H25" i="2"/>
  <c r="H22" i="2" s="1"/>
  <c r="C25" i="2"/>
  <c r="F24" i="2"/>
  <c r="F22" i="2" s="1"/>
  <c r="E23" i="2"/>
  <c r="D23" i="2"/>
  <c r="C23" i="2" s="1"/>
  <c r="J22" i="2"/>
  <c r="G22" i="2"/>
  <c r="E22" i="2"/>
  <c r="G20" i="2"/>
  <c r="G19" i="2" s="1"/>
  <c r="J19" i="2"/>
  <c r="I19" i="2"/>
  <c r="H19" i="2"/>
  <c r="F19" i="2"/>
  <c r="F16" i="2" s="1"/>
  <c r="E19" i="2"/>
  <c r="E16" i="2" s="1"/>
  <c r="S17" i="2"/>
  <c r="I17" i="2"/>
  <c r="I16" i="2" s="1"/>
  <c r="H17" i="2"/>
  <c r="H16" i="2" s="1"/>
  <c r="C17" i="2"/>
  <c r="J16" i="2"/>
  <c r="S9" i="2"/>
  <c r="AJ274" i="1"/>
  <c r="AM271" i="1"/>
  <c r="AL271" i="1"/>
  <c r="AK271" i="1" s="1"/>
  <c r="AJ271" i="1"/>
  <c r="AJ276" i="1" s="1"/>
  <c r="AH271" i="1"/>
  <c r="Z271" i="1"/>
  <c r="Z270" i="1" s="1"/>
  <c r="Z268" i="1" s="1"/>
  <c r="E271" i="1"/>
  <c r="D271" i="1"/>
  <c r="D270" i="1" s="1"/>
  <c r="D268" i="1" s="1"/>
  <c r="AM270" i="1"/>
  <c r="AM268" i="1" s="1"/>
  <c r="AL270" i="1"/>
  <c r="AL268" i="1" s="1"/>
  <c r="AK270" i="1"/>
  <c r="AK268" i="1" s="1"/>
  <c r="AH270" i="1"/>
  <c r="AQ270" i="1" s="1"/>
  <c r="Q270" i="1"/>
  <c r="E270" i="1"/>
  <c r="AQ269" i="1"/>
  <c r="AR269" i="1" s="1"/>
  <c r="AF269" i="1"/>
  <c r="AH268" i="1"/>
  <c r="AQ268" i="1" s="1"/>
  <c r="Q268" i="1"/>
  <c r="E268" i="1"/>
  <c r="AQ267" i="1"/>
  <c r="AR267" i="1" s="1"/>
  <c r="AF267" i="1"/>
  <c r="AQ266" i="1"/>
  <c r="AM266" i="1"/>
  <c r="AM265" i="1" s="1"/>
  <c r="AM263" i="1" s="1"/>
  <c r="AK266" i="1"/>
  <c r="C266" i="1" s="1"/>
  <c r="AF266" i="1"/>
  <c r="Z266" i="1"/>
  <c r="E266" i="1"/>
  <c r="D266" i="1"/>
  <c r="AL265" i="1"/>
  <c r="AL263" i="1" s="1"/>
  <c r="AQ263" i="1" s="1"/>
  <c r="AK265" i="1"/>
  <c r="AK263" i="1" s="1"/>
  <c r="AF265" i="1"/>
  <c r="Z265" i="1"/>
  <c r="E265" i="1"/>
  <c r="E263" i="1" s="1"/>
  <c r="D265" i="1"/>
  <c r="D263" i="1" s="1"/>
  <c r="AR264" i="1"/>
  <c r="AQ264" i="1"/>
  <c r="AF264" i="1"/>
  <c r="AF263" i="1"/>
  <c r="Z263" i="1"/>
  <c r="AR262" i="1"/>
  <c r="AQ262" i="1"/>
  <c r="AQ261" i="1"/>
  <c r="AF261" i="1"/>
  <c r="D261" i="1"/>
  <c r="C261" i="1"/>
  <c r="AR261" i="1" s="1"/>
  <c r="AR260" i="1"/>
  <c r="AQ260" i="1"/>
  <c r="AM260" i="1"/>
  <c r="AF260" i="1"/>
  <c r="C260" i="1" s="1"/>
  <c r="E260" i="1"/>
  <c r="D260" i="1"/>
  <c r="AM259" i="1"/>
  <c r="AM257" i="1" s="1"/>
  <c r="AM252" i="1" s="1"/>
  <c r="AK259" i="1"/>
  <c r="AI259" i="1"/>
  <c r="AF259" i="1"/>
  <c r="Z259" i="1"/>
  <c r="E259" i="1"/>
  <c r="AM258" i="1"/>
  <c r="AK258" i="1"/>
  <c r="AI258" i="1"/>
  <c r="AQ258" i="1" s="1"/>
  <c r="AF258" i="1"/>
  <c r="Z258" i="1"/>
  <c r="Z257" i="1" s="1"/>
  <c r="E258" i="1"/>
  <c r="D258" i="1"/>
  <c r="AP257" i="1"/>
  <c r="AO257" i="1"/>
  <c r="AN257" i="1"/>
  <c r="AN252" i="1" s="1"/>
  <c r="AL257" i="1"/>
  <c r="AJ257" i="1"/>
  <c r="AI257" i="1"/>
  <c r="AH257" i="1"/>
  <c r="AG257" i="1"/>
  <c r="AG252" i="1" s="1"/>
  <c r="AE257" i="1"/>
  <c r="AD257" i="1"/>
  <c r="AC257" i="1"/>
  <c r="AB257" i="1"/>
  <c r="AA257" i="1"/>
  <c r="Y257" i="1"/>
  <c r="X257" i="1"/>
  <c r="W257" i="1"/>
  <c r="V257" i="1"/>
  <c r="U257" i="1"/>
  <c r="T257" i="1"/>
  <c r="S257" i="1"/>
  <c r="R257" i="1"/>
  <c r="Q257" i="1"/>
  <c r="Q252" i="1" s="1"/>
  <c r="P257" i="1"/>
  <c r="P252" i="1" s="1"/>
  <c r="O257" i="1"/>
  <c r="N257" i="1"/>
  <c r="M257" i="1"/>
  <c r="M252" i="1" s="1"/>
  <c r="L257" i="1"/>
  <c r="L252" i="1" s="1"/>
  <c r="K257" i="1"/>
  <c r="K252" i="1" s="1"/>
  <c r="J257" i="1"/>
  <c r="J252" i="1" s="1"/>
  <c r="I257" i="1"/>
  <c r="I252" i="1" s="1"/>
  <c r="H257" i="1"/>
  <c r="H252" i="1" s="1"/>
  <c r="G257" i="1"/>
  <c r="G252" i="1" s="1"/>
  <c r="F257" i="1"/>
  <c r="AR256" i="1"/>
  <c r="AQ256" i="1"/>
  <c r="AM255" i="1"/>
  <c r="AM254" i="1" s="1"/>
  <c r="AK255" i="1"/>
  <c r="AK254" i="1" s="1"/>
  <c r="AI255" i="1"/>
  <c r="AI254" i="1" s="1"/>
  <c r="AH255" i="1"/>
  <c r="AF255" i="1"/>
  <c r="AF254" i="1" s="1"/>
  <c r="Z255" i="1"/>
  <c r="Z254" i="1" s="1"/>
  <c r="Z252" i="1" s="1"/>
  <c r="E255" i="1"/>
  <c r="D255" i="1"/>
  <c r="D254" i="1" s="1"/>
  <c r="AP254" i="1"/>
  <c r="AP252" i="1" s="1"/>
  <c r="AO254" i="1"/>
  <c r="AO252" i="1" s="1"/>
  <c r="AN254" i="1"/>
  <c r="AL254" i="1"/>
  <c r="AJ254" i="1"/>
  <c r="AG254" i="1"/>
  <c r="AE254" i="1"/>
  <c r="AE252" i="1" s="1"/>
  <c r="AD254" i="1"/>
  <c r="AD252" i="1" s="1"/>
  <c r="AC254" i="1"/>
  <c r="AC252" i="1" s="1"/>
  <c r="AB254" i="1"/>
  <c r="AA254" i="1"/>
  <c r="Y254" i="1"/>
  <c r="Y252" i="1" s="1"/>
  <c r="X254" i="1"/>
  <c r="W254" i="1"/>
  <c r="V254" i="1"/>
  <c r="U254" i="1"/>
  <c r="T254" i="1"/>
  <c r="S254" i="1"/>
  <c r="R254" i="1"/>
  <c r="R252" i="1" s="1"/>
  <c r="Q254" i="1"/>
  <c r="P254" i="1"/>
  <c r="O254" i="1"/>
  <c r="N254" i="1"/>
  <c r="M254" i="1"/>
  <c r="L254" i="1"/>
  <c r="K254" i="1"/>
  <c r="J254" i="1"/>
  <c r="I254" i="1"/>
  <c r="H254" i="1"/>
  <c r="G254" i="1"/>
  <c r="F254" i="1"/>
  <c r="AQ253" i="1"/>
  <c r="AR253" i="1" s="1"/>
  <c r="AL252" i="1"/>
  <c r="AB252" i="1"/>
  <c r="AA252" i="1"/>
  <c r="X252" i="1"/>
  <c r="W252" i="1"/>
  <c r="V252" i="1"/>
  <c r="U252" i="1"/>
  <c r="T252" i="1"/>
  <c r="S252" i="1"/>
  <c r="O252" i="1"/>
  <c r="N252" i="1"/>
  <c r="AQ251" i="1"/>
  <c r="AR251" i="1" s="1"/>
  <c r="D251" i="1"/>
  <c r="AM250" i="1"/>
  <c r="AM249" i="1" s="1"/>
  <c r="AL250" i="1"/>
  <c r="AL249" i="1" s="1"/>
  <c r="AF250" i="1"/>
  <c r="Z250" i="1"/>
  <c r="Z249" i="1" s="1"/>
  <c r="W250" i="1"/>
  <c r="E250" i="1"/>
  <c r="AP249" i="1"/>
  <c r="AO249" i="1"/>
  <c r="AN249" i="1"/>
  <c r="AJ249" i="1"/>
  <c r="AI249" i="1"/>
  <c r="AH249" i="1"/>
  <c r="AG249" i="1"/>
  <c r="AF249" i="1"/>
  <c r="AE249" i="1"/>
  <c r="AD249" i="1"/>
  <c r="AC249" i="1"/>
  <c r="AB249" i="1"/>
  <c r="AA249" i="1"/>
  <c r="Y249" i="1"/>
  <c r="X249" i="1"/>
  <c r="V249" i="1"/>
  <c r="U249" i="1"/>
  <c r="T249" i="1"/>
  <c r="S249" i="1"/>
  <c r="R249" i="1"/>
  <c r="Q249" i="1"/>
  <c r="P249" i="1"/>
  <c r="O249" i="1"/>
  <c r="N249" i="1"/>
  <c r="M249" i="1"/>
  <c r="L249" i="1"/>
  <c r="K249" i="1"/>
  <c r="J249" i="1"/>
  <c r="I249" i="1"/>
  <c r="I231" i="1" s="1"/>
  <c r="H249" i="1"/>
  <c r="G249" i="1"/>
  <c r="F249" i="1"/>
  <c r="AQ248" i="1"/>
  <c r="AR248" i="1" s="1"/>
  <c r="AM247" i="1"/>
  <c r="AK247" i="1" s="1"/>
  <c r="AF247" i="1"/>
  <c r="Z247" i="1"/>
  <c r="Q247" i="1"/>
  <c r="AQ246" i="1"/>
  <c r="AM246" i="1"/>
  <c r="AK246" i="1" s="1"/>
  <c r="AK245" i="1" s="1"/>
  <c r="AF246" i="1"/>
  <c r="AF245" i="1" s="1"/>
  <c r="Z246" i="1"/>
  <c r="E246" i="1"/>
  <c r="D246" i="1"/>
  <c r="C246" i="1"/>
  <c r="AR246" i="1" s="1"/>
  <c r="AP245" i="1"/>
  <c r="AO245" i="1"/>
  <c r="AN245" i="1"/>
  <c r="AM245" i="1"/>
  <c r="AL245" i="1"/>
  <c r="AJ245" i="1"/>
  <c r="AI245" i="1"/>
  <c r="AH245" i="1"/>
  <c r="AG245" i="1"/>
  <c r="AE245" i="1"/>
  <c r="AD245" i="1"/>
  <c r="AC245" i="1"/>
  <c r="AB245" i="1"/>
  <c r="AA245" i="1"/>
  <c r="Z245" i="1"/>
  <c r="Y245" i="1"/>
  <c r="X245" i="1"/>
  <c r="W245" i="1"/>
  <c r="V245" i="1"/>
  <c r="U245" i="1"/>
  <c r="T245" i="1"/>
  <c r="S245" i="1"/>
  <c r="R245" i="1"/>
  <c r="Q245" i="1"/>
  <c r="P245" i="1"/>
  <c r="O245" i="1"/>
  <c r="N245" i="1"/>
  <c r="M245" i="1"/>
  <c r="L245" i="1"/>
  <c r="K245" i="1"/>
  <c r="J245" i="1"/>
  <c r="I245" i="1"/>
  <c r="H245" i="1"/>
  <c r="G245" i="1"/>
  <c r="F245" i="1"/>
  <c r="AR244" i="1"/>
  <c r="AQ244" i="1"/>
  <c r="AM243" i="1"/>
  <c r="AK243" i="1"/>
  <c r="AF243" i="1"/>
  <c r="AF241" i="1" s="1"/>
  <c r="Z243" i="1"/>
  <c r="V243" i="1"/>
  <c r="V241" i="1" s="1"/>
  <c r="U243" i="1"/>
  <c r="S243" i="1"/>
  <c r="S241" i="1" s="1"/>
  <c r="S231" i="1" s="1"/>
  <c r="R243" i="1"/>
  <c r="Q243" i="1"/>
  <c r="O243" i="1"/>
  <c r="O241" i="1" s="1"/>
  <c r="N243" i="1"/>
  <c r="K243" i="1"/>
  <c r="I243" i="1"/>
  <c r="H243" i="1"/>
  <c r="H241" i="1" s="1"/>
  <c r="G243" i="1"/>
  <c r="AM242" i="1"/>
  <c r="AM241" i="1" s="1"/>
  <c r="AL242" i="1"/>
  <c r="AK242" i="1" s="1"/>
  <c r="AK241" i="1" s="1"/>
  <c r="AF242" i="1"/>
  <c r="Z242" i="1"/>
  <c r="R242" i="1"/>
  <c r="E242" i="1"/>
  <c r="D242" i="1"/>
  <c r="C242" i="1"/>
  <c r="AP241" i="1"/>
  <c r="AO241" i="1"/>
  <c r="AN241" i="1"/>
  <c r="AL241" i="1"/>
  <c r="AJ241" i="1"/>
  <c r="AI241" i="1"/>
  <c r="AH241" i="1"/>
  <c r="AG241" i="1"/>
  <c r="AE241" i="1"/>
  <c r="AD241" i="1"/>
  <c r="AC241" i="1"/>
  <c r="AB241" i="1"/>
  <c r="AA241" i="1"/>
  <c r="Y241" i="1"/>
  <c r="X241" i="1"/>
  <c r="W241" i="1"/>
  <c r="U241" i="1"/>
  <c r="T241" i="1"/>
  <c r="Q241" i="1"/>
  <c r="P241" i="1"/>
  <c r="M241" i="1"/>
  <c r="L241" i="1"/>
  <c r="K241" i="1"/>
  <c r="J241" i="1"/>
  <c r="I241" i="1"/>
  <c r="F241" i="1"/>
  <c r="AQ240" i="1"/>
  <c r="AR240" i="1" s="1"/>
  <c r="AF240" i="1"/>
  <c r="AQ239" i="1"/>
  <c r="AM239" i="1"/>
  <c r="AK239" i="1" s="1"/>
  <c r="AF239" i="1"/>
  <c r="Z239" i="1"/>
  <c r="E239" i="1"/>
  <c r="D239" i="1"/>
  <c r="AQ238" i="1"/>
  <c r="AM238" i="1"/>
  <c r="AK238" i="1"/>
  <c r="Z238" i="1"/>
  <c r="E238" i="1"/>
  <c r="D238" i="1"/>
  <c r="C238" i="1"/>
  <c r="AR238" i="1" s="1"/>
  <c r="AM237" i="1"/>
  <c r="AK237" i="1" s="1"/>
  <c r="AF237" i="1"/>
  <c r="AE237" i="1"/>
  <c r="Z237" i="1"/>
  <c r="Z236" i="1" s="1"/>
  <c r="E237" i="1"/>
  <c r="AP236" i="1"/>
  <c r="AO236" i="1"/>
  <c r="AN236" i="1"/>
  <c r="AL236" i="1"/>
  <c r="AJ236" i="1"/>
  <c r="AI236" i="1"/>
  <c r="AH236" i="1"/>
  <c r="AG236" i="1"/>
  <c r="AD236" i="1"/>
  <c r="AC236" i="1"/>
  <c r="AB236" i="1"/>
  <c r="AA236" i="1"/>
  <c r="Y236" i="1"/>
  <c r="X236" i="1"/>
  <c r="W236" i="1"/>
  <c r="V236" i="1"/>
  <c r="U236" i="1"/>
  <c r="T236" i="1"/>
  <c r="S236" i="1"/>
  <c r="R236" i="1"/>
  <c r="Q236" i="1"/>
  <c r="P236" i="1"/>
  <c r="O236" i="1"/>
  <c r="N236" i="1"/>
  <c r="M236" i="1"/>
  <c r="L236" i="1"/>
  <c r="K236" i="1"/>
  <c r="J236" i="1"/>
  <c r="I236" i="1"/>
  <c r="H236" i="1"/>
  <c r="G236" i="1"/>
  <c r="F236" i="1"/>
  <c r="E236" i="1"/>
  <c r="AQ235" i="1"/>
  <c r="AR235" i="1" s="1"/>
  <c r="AQ234" i="1"/>
  <c r="AM234" i="1"/>
  <c r="AK234" i="1"/>
  <c r="AK233" i="1" s="1"/>
  <c r="AF234" i="1"/>
  <c r="Z234" i="1"/>
  <c r="E234" i="1"/>
  <c r="D234" i="1"/>
  <c r="AP233" i="1"/>
  <c r="AO233" i="1"/>
  <c r="AN233" i="1"/>
  <c r="AM233" i="1"/>
  <c r="AL233" i="1"/>
  <c r="AJ233" i="1"/>
  <c r="AI233" i="1"/>
  <c r="AI231" i="1" s="1"/>
  <c r="AH233" i="1"/>
  <c r="AH231" i="1" s="1"/>
  <c r="AG233" i="1"/>
  <c r="AF233" i="1"/>
  <c r="AE233" i="1"/>
  <c r="AD233" i="1"/>
  <c r="AC233" i="1"/>
  <c r="AB233" i="1"/>
  <c r="AA233" i="1"/>
  <c r="Z233" i="1"/>
  <c r="Y233" i="1"/>
  <c r="X233" i="1"/>
  <c r="W233" i="1"/>
  <c r="V233" i="1"/>
  <c r="U233" i="1"/>
  <c r="T233" i="1"/>
  <c r="R233" i="1"/>
  <c r="Q233" i="1"/>
  <c r="P233" i="1"/>
  <c r="O233" i="1"/>
  <c r="O231" i="1" s="1"/>
  <c r="N233" i="1"/>
  <c r="M233" i="1"/>
  <c r="M231" i="1" s="1"/>
  <c r="L233" i="1"/>
  <c r="L231" i="1" s="1"/>
  <c r="K233" i="1"/>
  <c r="J233" i="1"/>
  <c r="I233" i="1"/>
  <c r="H233" i="1"/>
  <c r="G233" i="1"/>
  <c r="F233" i="1"/>
  <c r="E233" i="1"/>
  <c r="D233" i="1"/>
  <c r="AQ232" i="1"/>
  <c r="AR232" i="1" s="1"/>
  <c r="AF232" i="1"/>
  <c r="AJ231" i="1"/>
  <c r="AD231" i="1"/>
  <c r="AA231" i="1"/>
  <c r="X231" i="1"/>
  <c r="T231" i="1"/>
  <c r="J231" i="1"/>
  <c r="F231" i="1"/>
  <c r="AR230" i="1"/>
  <c r="AQ230" i="1"/>
  <c r="AM229" i="1"/>
  <c r="AK229" i="1" s="1"/>
  <c r="AK228" i="1" s="1"/>
  <c r="AL229" i="1"/>
  <c r="AF229" i="1"/>
  <c r="AF228" i="1" s="1"/>
  <c r="Z229" i="1"/>
  <c r="K229" i="1"/>
  <c r="AP228" i="1"/>
  <c r="AO228" i="1"/>
  <c r="AN228" i="1"/>
  <c r="AM228" i="1"/>
  <c r="AL228" i="1"/>
  <c r="AJ228" i="1"/>
  <c r="AI228" i="1"/>
  <c r="AH228" i="1"/>
  <c r="AG228" i="1"/>
  <c r="AE228" i="1"/>
  <c r="AD228" i="1"/>
  <c r="AC228" i="1"/>
  <c r="AB228" i="1"/>
  <c r="AA228" i="1"/>
  <c r="Z228" i="1"/>
  <c r="Y228" i="1"/>
  <c r="X228" i="1"/>
  <c r="W228" i="1"/>
  <c r="V228" i="1"/>
  <c r="U228" i="1"/>
  <c r="T228" i="1"/>
  <c r="S228" i="1"/>
  <c r="R228" i="1"/>
  <c r="Q228" i="1"/>
  <c r="P228" i="1"/>
  <c r="O228" i="1"/>
  <c r="O205" i="1" s="1"/>
  <c r="N228" i="1"/>
  <c r="M228" i="1"/>
  <c r="L228" i="1"/>
  <c r="J228" i="1"/>
  <c r="I228" i="1"/>
  <c r="H228" i="1"/>
  <c r="G228" i="1"/>
  <c r="F228" i="1"/>
  <c r="AR227" i="1"/>
  <c r="AQ227" i="1"/>
  <c r="AQ226" i="1"/>
  <c r="Z226" i="1"/>
  <c r="Z224" i="1" s="1"/>
  <c r="D226" i="1"/>
  <c r="C226" i="1"/>
  <c r="AR226" i="1" s="1"/>
  <c r="AQ225" i="1"/>
  <c r="AM225" i="1"/>
  <c r="AK225" i="1"/>
  <c r="AK224" i="1" s="1"/>
  <c r="AF225" i="1"/>
  <c r="AF224" i="1" s="1"/>
  <c r="Z225" i="1"/>
  <c r="E225" i="1"/>
  <c r="D225" i="1"/>
  <c r="D224" i="1" s="1"/>
  <c r="C225" i="1"/>
  <c r="AP224" i="1"/>
  <c r="AP205" i="1" s="1"/>
  <c r="AO224" i="1"/>
  <c r="AO205" i="1" s="1"/>
  <c r="AN224" i="1"/>
  <c r="AN205" i="1" s="1"/>
  <c r="AM224" i="1"/>
  <c r="AL224" i="1"/>
  <c r="AJ224" i="1"/>
  <c r="AI224" i="1"/>
  <c r="AH224" i="1"/>
  <c r="AG224" i="1"/>
  <c r="AE224" i="1"/>
  <c r="AD224" i="1"/>
  <c r="AC224" i="1"/>
  <c r="AB224" i="1"/>
  <c r="AA224" i="1"/>
  <c r="Y224" i="1"/>
  <c r="X224" i="1"/>
  <c r="W224" i="1"/>
  <c r="W205" i="1" s="1"/>
  <c r="V224" i="1"/>
  <c r="U224" i="1"/>
  <c r="T224" i="1"/>
  <c r="S224" i="1"/>
  <c r="R224" i="1"/>
  <c r="R205" i="1" s="1"/>
  <c r="Q224" i="1"/>
  <c r="P224" i="1"/>
  <c r="P205" i="1" s="1"/>
  <c r="O224" i="1"/>
  <c r="N224" i="1"/>
  <c r="M224" i="1"/>
  <c r="L224" i="1"/>
  <c r="K224" i="1"/>
  <c r="J224" i="1"/>
  <c r="I224" i="1"/>
  <c r="H224" i="1"/>
  <c r="G224" i="1"/>
  <c r="F224" i="1"/>
  <c r="E224" i="1"/>
  <c r="AQ223" i="1"/>
  <c r="AR223" i="1" s="1"/>
  <c r="AM222" i="1"/>
  <c r="AK222" i="1"/>
  <c r="AJ222" i="1"/>
  <c r="Z222" i="1"/>
  <c r="E222" i="1"/>
  <c r="AQ221" i="1"/>
  <c r="AR221" i="1" s="1"/>
  <c r="D221" i="1"/>
  <c r="AH220" i="1"/>
  <c r="AQ220" i="1" s="1"/>
  <c r="AR220" i="1" s="1"/>
  <c r="AF220" i="1"/>
  <c r="C220" i="1" s="1"/>
  <c r="D220" i="1"/>
  <c r="AM219" i="1"/>
  <c r="AH219" i="1"/>
  <c r="AQ219" i="1" s="1"/>
  <c r="AF219" i="1"/>
  <c r="E219" i="1"/>
  <c r="D219" i="1"/>
  <c r="C219" i="1"/>
  <c r="AR219" i="1" s="1"/>
  <c r="AQ218" i="1"/>
  <c r="AM218" i="1"/>
  <c r="AM217" i="1" s="1"/>
  <c r="AH218" i="1"/>
  <c r="AH217" i="1" s="1"/>
  <c r="AH214" i="1" s="1"/>
  <c r="AF218" i="1"/>
  <c r="AF217" i="1" s="1"/>
  <c r="Z218" i="1"/>
  <c r="Z217" i="1" s="1"/>
  <c r="E218" i="1"/>
  <c r="D218" i="1"/>
  <c r="D217" i="1" s="1"/>
  <c r="C218" i="1"/>
  <c r="C217" i="1" s="1"/>
  <c r="AQ217" i="1"/>
  <c r="AR217" i="1" s="1"/>
  <c r="AK217" i="1"/>
  <c r="AQ216" i="1"/>
  <c r="AM216" i="1"/>
  <c r="AK216" i="1" s="1"/>
  <c r="AF216" i="1"/>
  <c r="Z216" i="1"/>
  <c r="E216" i="1"/>
  <c r="D216" i="1"/>
  <c r="AQ215" i="1"/>
  <c r="AM215" i="1"/>
  <c r="AK215" i="1"/>
  <c r="AF215" i="1"/>
  <c r="Z215" i="1"/>
  <c r="Q215" i="1"/>
  <c r="AP214" i="1"/>
  <c r="AO214" i="1"/>
  <c r="AN214" i="1"/>
  <c r="AL214" i="1"/>
  <c r="AJ214" i="1"/>
  <c r="AI214" i="1"/>
  <c r="AG214" i="1"/>
  <c r="AG205" i="1" s="1"/>
  <c r="AE214" i="1"/>
  <c r="AD214" i="1"/>
  <c r="AC214" i="1"/>
  <c r="AB214" i="1"/>
  <c r="AA214" i="1"/>
  <c r="Z214" i="1"/>
  <c r="Y214" i="1"/>
  <c r="X214" i="1"/>
  <c r="W214" i="1"/>
  <c r="V214" i="1"/>
  <c r="U214" i="1"/>
  <c r="T214" i="1"/>
  <c r="S214" i="1"/>
  <c r="R214" i="1"/>
  <c r="P214" i="1"/>
  <c r="O214" i="1"/>
  <c r="N214" i="1"/>
  <c r="M214" i="1"/>
  <c r="L214" i="1"/>
  <c r="K214" i="1"/>
  <c r="J214" i="1"/>
  <c r="I214" i="1"/>
  <c r="H214" i="1"/>
  <c r="G214" i="1"/>
  <c r="F214" i="1"/>
  <c r="AQ213" i="1"/>
  <c r="AR213" i="1" s="1"/>
  <c r="AQ212" i="1"/>
  <c r="AM212" i="1"/>
  <c r="AK212" i="1"/>
  <c r="C212" i="1" s="1"/>
  <c r="AR212" i="1" s="1"/>
  <c r="AF212" i="1"/>
  <c r="Z212" i="1"/>
  <c r="E212" i="1"/>
  <c r="D212" i="1"/>
  <c r="AM211" i="1"/>
  <c r="AL211" i="1"/>
  <c r="AL207" i="1" s="1"/>
  <c r="AF211" i="1"/>
  <c r="Z211" i="1"/>
  <c r="K211" i="1"/>
  <c r="AM210" i="1"/>
  <c r="AK210" i="1"/>
  <c r="AJ210" i="1"/>
  <c r="AJ207" i="1" s="1"/>
  <c r="AI210" i="1"/>
  <c r="AI207" i="1" s="1"/>
  <c r="AH210" i="1"/>
  <c r="AH207" i="1" s="1"/>
  <c r="AA210" i="1"/>
  <c r="Z210" i="1"/>
  <c r="K210" i="1"/>
  <c r="AM209" i="1"/>
  <c r="AK209" i="1"/>
  <c r="AF209" i="1"/>
  <c r="Z209" i="1"/>
  <c r="Z207" i="1" s="1"/>
  <c r="Z205" i="1" s="1"/>
  <c r="K209" i="1"/>
  <c r="AM208" i="1"/>
  <c r="AK208" i="1"/>
  <c r="AF208" i="1"/>
  <c r="Z208" i="1"/>
  <c r="K208" i="1"/>
  <c r="AP207" i="1"/>
  <c r="AO207" i="1"/>
  <c r="AN207" i="1"/>
  <c r="AG207" i="1"/>
  <c r="AE207" i="1"/>
  <c r="AD207" i="1"/>
  <c r="AD205" i="1" s="1"/>
  <c r="AC207" i="1"/>
  <c r="AB207" i="1"/>
  <c r="AA207" i="1"/>
  <c r="AA205" i="1" s="1"/>
  <c r="Y207" i="1"/>
  <c r="Y205" i="1" s="1"/>
  <c r="X207" i="1"/>
  <c r="X205" i="1" s="1"/>
  <c r="W207" i="1"/>
  <c r="V207" i="1"/>
  <c r="V205" i="1" s="1"/>
  <c r="U207" i="1"/>
  <c r="T207" i="1"/>
  <c r="T205" i="1" s="1"/>
  <c r="S207" i="1"/>
  <c r="S205" i="1" s="1"/>
  <c r="R207" i="1"/>
  <c r="Q207" i="1"/>
  <c r="P207" i="1"/>
  <c r="O207" i="1"/>
  <c r="N207" i="1"/>
  <c r="M207" i="1"/>
  <c r="L207" i="1"/>
  <c r="J207" i="1"/>
  <c r="J205" i="1" s="1"/>
  <c r="I207" i="1"/>
  <c r="I205" i="1" s="1"/>
  <c r="H207" i="1"/>
  <c r="G207" i="1"/>
  <c r="F207" i="1"/>
  <c r="AR206" i="1"/>
  <c r="AQ206" i="1"/>
  <c r="AF206" i="1"/>
  <c r="AC205" i="1"/>
  <c r="AB205" i="1"/>
  <c r="AQ204" i="1"/>
  <c r="AR204" i="1" s="1"/>
  <c r="AQ203" i="1"/>
  <c r="AM203" i="1"/>
  <c r="AK203" i="1"/>
  <c r="Z203" i="1"/>
  <c r="E203" i="1"/>
  <c r="D203" i="1"/>
  <c r="C203" i="1"/>
  <c r="AR203" i="1" s="1"/>
  <c r="AQ202" i="1"/>
  <c r="AM202" i="1"/>
  <c r="AK202" i="1"/>
  <c r="Z202" i="1"/>
  <c r="E202" i="1"/>
  <c r="C202" i="1" s="1"/>
  <c r="AR202" i="1" s="1"/>
  <c r="D202" i="1"/>
  <c r="AQ201" i="1"/>
  <c r="AM201" i="1"/>
  <c r="AK201" i="1"/>
  <c r="AK200" i="1" s="1"/>
  <c r="AK199" i="1" s="1"/>
  <c r="AK197" i="1" s="1"/>
  <c r="AF201" i="1"/>
  <c r="Z201" i="1"/>
  <c r="E201" i="1"/>
  <c r="D201" i="1"/>
  <c r="D200" i="1" s="1"/>
  <c r="D199" i="1" s="1"/>
  <c r="D197" i="1" s="1"/>
  <c r="C201" i="1"/>
  <c r="AP200" i="1"/>
  <c r="AO200" i="1"/>
  <c r="AN200" i="1"/>
  <c r="AL200" i="1"/>
  <c r="AJ200" i="1"/>
  <c r="AI200" i="1"/>
  <c r="AH200" i="1"/>
  <c r="AG200" i="1"/>
  <c r="AF200" i="1"/>
  <c r="AE200" i="1"/>
  <c r="AD200" i="1"/>
  <c r="AC200" i="1"/>
  <c r="AB200" i="1"/>
  <c r="AA200" i="1"/>
  <c r="Y200" i="1"/>
  <c r="X200" i="1"/>
  <c r="W200" i="1"/>
  <c r="V200" i="1"/>
  <c r="U200" i="1"/>
  <c r="T200" i="1"/>
  <c r="S200" i="1"/>
  <c r="R200" i="1"/>
  <c r="Q200" i="1"/>
  <c r="P200" i="1"/>
  <c r="O200" i="1"/>
  <c r="N200" i="1"/>
  <c r="M200" i="1"/>
  <c r="L200" i="1"/>
  <c r="K200" i="1"/>
  <c r="J200" i="1"/>
  <c r="I200" i="1"/>
  <c r="H200" i="1"/>
  <c r="G200" i="1"/>
  <c r="F200" i="1"/>
  <c r="AP199" i="1"/>
  <c r="AP197" i="1" s="1"/>
  <c r="AO199" i="1"/>
  <c r="AO197" i="1" s="1"/>
  <c r="AN199" i="1"/>
  <c r="AN197" i="1" s="1"/>
  <c r="AL199" i="1"/>
  <c r="AL197" i="1" s="1"/>
  <c r="AJ199" i="1"/>
  <c r="AJ197" i="1" s="1"/>
  <c r="AI199" i="1"/>
  <c r="AH199" i="1"/>
  <c r="AG199" i="1"/>
  <c r="AG197" i="1" s="1"/>
  <c r="AF199" i="1"/>
  <c r="AE199" i="1"/>
  <c r="AD199" i="1"/>
  <c r="AC199" i="1"/>
  <c r="AB199" i="1"/>
  <c r="AB197" i="1" s="1"/>
  <c r="AA199" i="1"/>
  <c r="Y199" i="1"/>
  <c r="X199" i="1"/>
  <c r="W199" i="1"/>
  <c r="W197" i="1" s="1"/>
  <c r="V199" i="1"/>
  <c r="V197" i="1" s="1"/>
  <c r="U199" i="1"/>
  <c r="U197" i="1" s="1"/>
  <c r="T199" i="1"/>
  <c r="T197" i="1" s="1"/>
  <c r="S199" i="1"/>
  <c r="S197" i="1" s="1"/>
  <c r="R199" i="1"/>
  <c r="R197" i="1" s="1"/>
  <c r="Q199" i="1"/>
  <c r="P199" i="1"/>
  <c r="P197" i="1" s="1"/>
  <c r="O199" i="1"/>
  <c r="N199" i="1"/>
  <c r="N197" i="1" s="1"/>
  <c r="M199" i="1"/>
  <c r="L199" i="1"/>
  <c r="K199" i="1"/>
  <c r="J199" i="1"/>
  <c r="J197" i="1" s="1"/>
  <c r="I199" i="1"/>
  <c r="I197" i="1" s="1"/>
  <c r="H199" i="1"/>
  <c r="G199" i="1"/>
  <c r="G197" i="1" s="1"/>
  <c r="F199" i="1"/>
  <c r="AQ198" i="1"/>
  <c r="AR198" i="1" s="1"/>
  <c r="AF198" i="1"/>
  <c r="AI197" i="1"/>
  <c r="AH197" i="1"/>
  <c r="AF197" i="1"/>
  <c r="AE197" i="1"/>
  <c r="AD197" i="1"/>
  <c r="AC197" i="1"/>
  <c r="AA197" i="1"/>
  <c r="Y197" i="1"/>
  <c r="X197" i="1"/>
  <c r="Q197" i="1"/>
  <c r="O197" i="1"/>
  <c r="M197" i="1"/>
  <c r="L197" i="1"/>
  <c r="K197" i="1"/>
  <c r="H197" i="1"/>
  <c r="AQ196" i="1"/>
  <c r="AR196" i="1" s="1"/>
  <c r="AQ195" i="1"/>
  <c r="AR195" i="1" s="1"/>
  <c r="AF195" i="1"/>
  <c r="E195" i="1"/>
  <c r="D195" i="1"/>
  <c r="C195" i="1"/>
  <c r="AP194" i="1"/>
  <c r="AO194" i="1"/>
  <c r="AO183" i="1" s="1"/>
  <c r="AN194" i="1"/>
  <c r="AM194" i="1"/>
  <c r="AL194" i="1"/>
  <c r="AK194" i="1"/>
  <c r="AJ194" i="1"/>
  <c r="AI194" i="1"/>
  <c r="AH194" i="1"/>
  <c r="AG194" i="1"/>
  <c r="AE194" i="1"/>
  <c r="AE183" i="1" s="1"/>
  <c r="AD194" i="1"/>
  <c r="AD183" i="1" s="1"/>
  <c r="AC194" i="1"/>
  <c r="AC183" i="1" s="1"/>
  <c r="AB194" i="1"/>
  <c r="AA194" i="1"/>
  <c r="AA183" i="1" s="1"/>
  <c r="Y194" i="1"/>
  <c r="X194" i="1"/>
  <c r="W194" i="1"/>
  <c r="V194" i="1"/>
  <c r="U194" i="1"/>
  <c r="T194" i="1"/>
  <c r="C194" i="1"/>
  <c r="AR193" i="1"/>
  <c r="AQ193" i="1"/>
  <c r="AQ192" i="1"/>
  <c r="AF192" i="1"/>
  <c r="E192" i="1"/>
  <c r="D192" i="1"/>
  <c r="AQ191" i="1"/>
  <c r="AM191" i="1"/>
  <c r="AK191" i="1" s="1"/>
  <c r="AF191" i="1"/>
  <c r="Z191" i="1"/>
  <c r="Z185" i="1" s="1"/>
  <c r="Z183" i="1" s="1"/>
  <c r="E191" i="1"/>
  <c r="D191" i="1"/>
  <c r="AQ190" i="1"/>
  <c r="AF190" i="1"/>
  <c r="E190" i="1"/>
  <c r="D190" i="1"/>
  <c r="C190" i="1"/>
  <c r="AR190" i="1" s="1"/>
  <c r="AQ189" i="1"/>
  <c r="AF189" i="1"/>
  <c r="E189" i="1"/>
  <c r="D189" i="1"/>
  <c r="AQ188" i="1"/>
  <c r="AF188" i="1"/>
  <c r="C188" i="1" s="1"/>
  <c r="AR188" i="1" s="1"/>
  <c r="E188" i="1"/>
  <c r="D188" i="1"/>
  <c r="AR187" i="1"/>
  <c r="AQ187" i="1"/>
  <c r="AF187" i="1"/>
  <c r="C187" i="1" s="1"/>
  <c r="E187" i="1"/>
  <c r="D187" i="1"/>
  <c r="AR186" i="1"/>
  <c r="AQ186" i="1"/>
  <c r="AF186" i="1"/>
  <c r="E186" i="1"/>
  <c r="D186" i="1"/>
  <c r="C186" i="1"/>
  <c r="AP185" i="1"/>
  <c r="AP183" i="1" s="1"/>
  <c r="AO185" i="1"/>
  <c r="AN185" i="1"/>
  <c r="AN183" i="1" s="1"/>
  <c r="AM185" i="1"/>
  <c r="AM183" i="1" s="1"/>
  <c r="AL185" i="1"/>
  <c r="AK185" i="1"/>
  <c r="AJ185" i="1"/>
  <c r="AI185" i="1"/>
  <c r="AH185" i="1"/>
  <c r="AG185" i="1"/>
  <c r="AF185" i="1"/>
  <c r="AE185" i="1"/>
  <c r="AD185" i="1"/>
  <c r="AC185" i="1"/>
  <c r="AB185" i="1"/>
  <c r="AA185" i="1"/>
  <c r="Y185" i="1"/>
  <c r="X185" i="1"/>
  <c r="W185" i="1"/>
  <c r="V185" i="1"/>
  <c r="V183" i="1" s="1"/>
  <c r="U185" i="1"/>
  <c r="U183" i="1" s="1"/>
  <c r="T185" i="1"/>
  <c r="T183" i="1" s="1"/>
  <c r="S185" i="1"/>
  <c r="R185" i="1"/>
  <c r="Q185" i="1"/>
  <c r="P185" i="1"/>
  <c r="P183" i="1" s="1"/>
  <c r="O185" i="1"/>
  <c r="N185" i="1"/>
  <c r="M185" i="1"/>
  <c r="L185" i="1"/>
  <c r="L183" i="1" s="1"/>
  <c r="K185" i="1"/>
  <c r="K183" i="1" s="1"/>
  <c r="J185" i="1"/>
  <c r="J183" i="1" s="1"/>
  <c r="I185" i="1"/>
  <c r="H185" i="1"/>
  <c r="G185" i="1"/>
  <c r="F185" i="1"/>
  <c r="AQ184" i="1"/>
  <c r="AR184" i="1" s="1"/>
  <c r="AJ183" i="1"/>
  <c r="AI183" i="1"/>
  <c r="AH183" i="1"/>
  <c r="AG183" i="1"/>
  <c r="AF183" i="1"/>
  <c r="AB183" i="1"/>
  <c r="Y183" i="1"/>
  <c r="X183" i="1"/>
  <c r="S183" i="1"/>
  <c r="R183" i="1"/>
  <c r="Q183" i="1"/>
  <c r="O183" i="1"/>
  <c r="N183" i="1"/>
  <c r="M183" i="1"/>
  <c r="I183" i="1"/>
  <c r="H183" i="1"/>
  <c r="G183" i="1"/>
  <c r="F183" i="1"/>
  <c r="AR182" i="1"/>
  <c r="AQ182" i="1"/>
  <c r="AM181" i="1"/>
  <c r="AK181" i="1" s="1"/>
  <c r="AF181" i="1"/>
  <c r="Z181" i="1"/>
  <c r="Z173" i="1" s="1"/>
  <c r="R181" i="1"/>
  <c r="R173" i="1" s="1"/>
  <c r="Q181" i="1"/>
  <c r="AQ181" i="1" s="1"/>
  <c r="E181" i="1"/>
  <c r="D181" i="1"/>
  <c r="C181" i="1"/>
  <c r="AR181" i="1" s="1"/>
  <c r="AQ180" i="1"/>
  <c r="AR180" i="1" s="1"/>
  <c r="AM180" i="1"/>
  <c r="AK180" i="1"/>
  <c r="AF180" i="1"/>
  <c r="Z180" i="1"/>
  <c r="C180" i="1" s="1"/>
  <c r="F180" i="1"/>
  <c r="E180" i="1"/>
  <c r="D180" i="1"/>
  <c r="AM179" i="1"/>
  <c r="AK179" i="1"/>
  <c r="AF179" i="1"/>
  <c r="Z179" i="1"/>
  <c r="J179" i="1"/>
  <c r="E179" i="1"/>
  <c r="D179" i="1"/>
  <c r="C179" i="1"/>
  <c r="AQ178" i="1"/>
  <c r="AM178" i="1"/>
  <c r="AK178" i="1"/>
  <c r="AF178" i="1"/>
  <c r="Z178" i="1"/>
  <c r="K178" i="1"/>
  <c r="E178" i="1"/>
  <c r="D178" i="1"/>
  <c r="AR177" i="1"/>
  <c r="AQ177" i="1"/>
  <c r="AM177" i="1"/>
  <c r="AK177" i="1" s="1"/>
  <c r="C177" i="1" s="1"/>
  <c r="AF177" i="1"/>
  <c r="Z177" i="1"/>
  <c r="E177" i="1"/>
  <c r="D177" i="1"/>
  <c r="AO176" i="1"/>
  <c r="AO173" i="1" s="1"/>
  <c r="AN176" i="1"/>
  <c r="AN173" i="1" s="1"/>
  <c r="AM176" i="1"/>
  <c r="AK176" i="1"/>
  <c r="AJ176" i="1"/>
  <c r="AH176" i="1"/>
  <c r="Z176" i="1"/>
  <c r="W176" i="1"/>
  <c r="Q176" i="1"/>
  <c r="K176" i="1"/>
  <c r="H176" i="1"/>
  <c r="F176" i="1"/>
  <c r="AQ175" i="1"/>
  <c r="AM175" i="1"/>
  <c r="AK175" i="1"/>
  <c r="AF175" i="1"/>
  <c r="Z175" i="1"/>
  <c r="E175" i="1"/>
  <c r="D175" i="1"/>
  <c r="C175" i="1"/>
  <c r="AR175" i="1" s="1"/>
  <c r="AM174" i="1"/>
  <c r="AK174" i="1"/>
  <c r="AH174" i="1"/>
  <c r="AG174" i="1"/>
  <c r="AG173" i="1" s="1"/>
  <c r="AF174" i="1"/>
  <c r="Z174" i="1"/>
  <c r="K174" i="1"/>
  <c r="F174" i="1"/>
  <c r="AP173" i="1"/>
  <c r="AL173" i="1"/>
  <c r="AI173" i="1"/>
  <c r="AH173" i="1"/>
  <c r="AE173" i="1"/>
  <c r="AD173" i="1"/>
  <c r="AD147" i="1" s="1"/>
  <c r="AC173" i="1"/>
  <c r="AC147" i="1" s="1"/>
  <c r="AB173" i="1"/>
  <c r="AA173" i="1"/>
  <c r="Y173" i="1"/>
  <c r="X173" i="1"/>
  <c r="W173" i="1"/>
  <c r="V173" i="1"/>
  <c r="U173" i="1"/>
  <c r="T173" i="1"/>
  <c r="S173" i="1"/>
  <c r="P173" i="1"/>
  <c r="O173" i="1"/>
  <c r="N173" i="1"/>
  <c r="M173" i="1"/>
  <c r="L173" i="1"/>
  <c r="I173" i="1"/>
  <c r="H173" i="1"/>
  <c r="H147" i="1" s="1"/>
  <c r="G173" i="1"/>
  <c r="AQ172" i="1"/>
  <c r="AR172" i="1" s="1"/>
  <c r="AM171" i="1"/>
  <c r="AK171" i="1" s="1"/>
  <c r="AK169" i="1" s="1"/>
  <c r="AF171" i="1"/>
  <c r="Z171" i="1"/>
  <c r="J171" i="1"/>
  <c r="AQ171" i="1" s="1"/>
  <c r="E171" i="1"/>
  <c r="D171" i="1"/>
  <c r="AM170" i="1"/>
  <c r="AK170" i="1" s="1"/>
  <c r="AF170" i="1"/>
  <c r="AF169" i="1" s="1"/>
  <c r="Z170" i="1"/>
  <c r="K170" i="1"/>
  <c r="E170" i="1"/>
  <c r="E169" i="1" s="1"/>
  <c r="D170" i="1"/>
  <c r="AP169" i="1"/>
  <c r="AO169" i="1"/>
  <c r="AN169" i="1"/>
  <c r="AL169" i="1"/>
  <c r="AJ169" i="1"/>
  <c r="AI169" i="1"/>
  <c r="AH169" i="1"/>
  <c r="AG169" i="1"/>
  <c r="AE169" i="1"/>
  <c r="AD169" i="1"/>
  <c r="AC169" i="1"/>
  <c r="AB169" i="1"/>
  <c r="AA169" i="1"/>
  <c r="Z169" i="1"/>
  <c r="Y169" i="1"/>
  <c r="X169" i="1"/>
  <c r="W169" i="1"/>
  <c r="V169" i="1"/>
  <c r="U169" i="1"/>
  <c r="U147" i="1" s="1"/>
  <c r="T169" i="1"/>
  <c r="T147" i="1" s="1"/>
  <c r="S169" i="1"/>
  <c r="R169" i="1"/>
  <c r="Q169" i="1"/>
  <c r="P169" i="1"/>
  <c r="O169" i="1"/>
  <c r="N169" i="1"/>
  <c r="M169" i="1"/>
  <c r="L169" i="1"/>
  <c r="J169" i="1"/>
  <c r="I169" i="1"/>
  <c r="H169" i="1"/>
  <c r="G169" i="1"/>
  <c r="F169" i="1"/>
  <c r="D169" i="1"/>
  <c r="AQ168" i="1"/>
  <c r="AR168" i="1" s="1"/>
  <c r="E168" i="1"/>
  <c r="AQ167" i="1"/>
  <c r="AM167" i="1"/>
  <c r="AK167" i="1"/>
  <c r="AF167" i="1"/>
  <c r="Z167" i="1"/>
  <c r="E167" i="1"/>
  <c r="D167" i="1"/>
  <c r="AQ166" i="1"/>
  <c r="AM166" i="1"/>
  <c r="AK166" i="1" s="1"/>
  <c r="AF166" i="1"/>
  <c r="Z166" i="1"/>
  <c r="E166" i="1"/>
  <c r="D166" i="1"/>
  <c r="C166" i="1"/>
  <c r="AR166" i="1" s="1"/>
  <c r="AQ165" i="1"/>
  <c r="AM165" i="1"/>
  <c r="AK165" i="1"/>
  <c r="AF165" i="1"/>
  <c r="Z165" i="1"/>
  <c r="E165" i="1"/>
  <c r="D165" i="1"/>
  <c r="AO164" i="1"/>
  <c r="AO160" i="1" s="1"/>
  <c r="AL164" i="1"/>
  <c r="AG164" i="1"/>
  <c r="AF164" i="1" s="1"/>
  <c r="AC164" i="1"/>
  <c r="AB164" i="1"/>
  <c r="AA164" i="1"/>
  <c r="Z164" i="1"/>
  <c r="Q164" i="1"/>
  <c r="K164" i="1"/>
  <c r="E164" i="1"/>
  <c r="D164" i="1"/>
  <c r="AM163" i="1"/>
  <c r="AL163" i="1"/>
  <c r="D163" i="1" s="1"/>
  <c r="AF163" i="1"/>
  <c r="Z163" i="1"/>
  <c r="Q163" i="1"/>
  <c r="AQ163" i="1" s="1"/>
  <c r="E163" i="1"/>
  <c r="AM162" i="1"/>
  <c r="AL162" i="1"/>
  <c r="AK162" i="1" s="1"/>
  <c r="AF162" i="1"/>
  <c r="Z162" i="1"/>
  <c r="Q162" i="1"/>
  <c r="E162" i="1"/>
  <c r="AM161" i="1"/>
  <c r="AL161" i="1"/>
  <c r="AK161" i="1" s="1"/>
  <c r="AF161" i="1"/>
  <c r="AF160" i="1" s="1"/>
  <c r="Z161" i="1"/>
  <c r="Z160" i="1" s="1"/>
  <c r="Q161" i="1"/>
  <c r="Q160" i="1" s="1"/>
  <c r="K161" i="1"/>
  <c r="AP160" i="1"/>
  <c r="AN160" i="1"/>
  <c r="AJ160" i="1"/>
  <c r="AI160" i="1"/>
  <c r="AH160" i="1"/>
  <c r="AG160" i="1"/>
  <c r="AE160" i="1"/>
  <c r="AE147" i="1" s="1"/>
  <c r="AD160" i="1"/>
  <c r="AC160" i="1"/>
  <c r="AB160" i="1"/>
  <c r="Y160" i="1"/>
  <c r="X160" i="1"/>
  <c r="W160" i="1"/>
  <c r="V160" i="1"/>
  <c r="U160" i="1"/>
  <c r="T160" i="1"/>
  <c r="S160" i="1"/>
  <c r="R160" i="1"/>
  <c r="P160" i="1"/>
  <c r="O160" i="1"/>
  <c r="N160" i="1"/>
  <c r="M160" i="1"/>
  <c r="L160" i="1"/>
  <c r="J160" i="1"/>
  <c r="I160" i="1"/>
  <c r="I147" i="1" s="1"/>
  <c r="H160" i="1"/>
  <c r="G160" i="1"/>
  <c r="F160" i="1"/>
  <c r="AQ159" i="1"/>
  <c r="AR159" i="1" s="1"/>
  <c r="AM158" i="1"/>
  <c r="AK158" i="1"/>
  <c r="C158" i="1" s="1"/>
  <c r="Q158" i="1"/>
  <c r="E158" i="1"/>
  <c r="D158" i="1"/>
  <c r="AM157" i="1"/>
  <c r="AM156" i="1" s="1"/>
  <c r="AF157" i="1"/>
  <c r="AB157" i="1"/>
  <c r="AB156" i="1" s="1"/>
  <c r="AA157" i="1"/>
  <c r="E157" i="1"/>
  <c r="AP156" i="1"/>
  <c r="AO156" i="1"/>
  <c r="AN156" i="1"/>
  <c r="AL156" i="1"/>
  <c r="AJ156" i="1"/>
  <c r="AI156" i="1"/>
  <c r="AH156" i="1"/>
  <c r="AG156" i="1"/>
  <c r="AF156" i="1"/>
  <c r="AE156" i="1"/>
  <c r="AD156" i="1"/>
  <c r="AC156" i="1"/>
  <c r="Y156" i="1"/>
  <c r="X156" i="1"/>
  <c r="W156" i="1"/>
  <c r="V156" i="1"/>
  <c r="U156" i="1"/>
  <c r="T156" i="1"/>
  <c r="S156" i="1"/>
  <c r="R156" i="1"/>
  <c r="P156" i="1"/>
  <c r="O156" i="1"/>
  <c r="N156" i="1"/>
  <c r="M156" i="1"/>
  <c r="L156" i="1"/>
  <c r="K156" i="1"/>
  <c r="J156" i="1"/>
  <c r="I156" i="1"/>
  <c r="H156" i="1"/>
  <c r="G156" i="1"/>
  <c r="F156" i="1"/>
  <c r="E156" i="1"/>
  <c r="AQ155" i="1"/>
  <c r="AR155" i="1" s="1"/>
  <c r="AR154" i="1"/>
  <c r="AQ154" i="1"/>
  <c r="AM154" i="1"/>
  <c r="AK154" i="1" s="1"/>
  <c r="AF154" i="1"/>
  <c r="Z154" i="1"/>
  <c r="E154" i="1"/>
  <c r="D154" i="1"/>
  <c r="C154" i="1"/>
  <c r="AM153" i="1"/>
  <c r="AK153" i="1"/>
  <c r="AF153" i="1"/>
  <c r="Z153" i="1"/>
  <c r="L153" i="1"/>
  <c r="K153" i="1"/>
  <c r="AQ153" i="1" s="1"/>
  <c r="E153" i="1"/>
  <c r="D153" i="1"/>
  <c r="C153" i="1"/>
  <c r="AR153" i="1" s="1"/>
  <c r="AQ152" i="1"/>
  <c r="AM152" i="1"/>
  <c r="AM149" i="1" s="1"/>
  <c r="AK152" i="1"/>
  <c r="Z152" i="1"/>
  <c r="E152" i="1"/>
  <c r="D152" i="1"/>
  <c r="AQ151" i="1"/>
  <c r="AM151" i="1"/>
  <c r="AK151" i="1" s="1"/>
  <c r="Z151" i="1"/>
  <c r="K151" i="1"/>
  <c r="E151" i="1"/>
  <c r="D151" i="1"/>
  <c r="AM150" i="1"/>
  <c r="AK150" i="1" s="1"/>
  <c r="AF150" i="1"/>
  <c r="AF149" i="1" s="1"/>
  <c r="Z150" i="1"/>
  <c r="K150" i="1"/>
  <c r="E150" i="1"/>
  <c r="D150" i="1"/>
  <c r="D149" i="1" s="1"/>
  <c r="AP149" i="1"/>
  <c r="AO149" i="1"/>
  <c r="AO147" i="1" s="1"/>
  <c r="AN149" i="1"/>
  <c r="AN147" i="1" s="1"/>
  <c r="AL149" i="1"/>
  <c r="AJ149" i="1"/>
  <c r="AI149" i="1"/>
  <c r="AH149" i="1"/>
  <c r="AG149" i="1"/>
  <c r="AE149" i="1"/>
  <c r="AD149" i="1"/>
  <c r="AC149" i="1"/>
  <c r="AB149" i="1"/>
  <c r="AA149" i="1"/>
  <c r="Y149" i="1"/>
  <c r="X149" i="1"/>
  <c r="W149" i="1"/>
  <c r="V149" i="1"/>
  <c r="U149" i="1"/>
  <c r="T149" i="1"/>
  <c r="S149" i="1"/>
  <c r="R149" i="1"/>
  <c r="Q149" i="1"/>
  <c r="P149" i="1"/>
  <c r="P147" i="1" s="1"/>
  <c r="O149" i="1"/>
  <c r="N149" i="1"/>
  <c r="M149" i="1"/>
  <c r="M147" i="1" s="1"/>
  <c r="L149" i="1"/>
  <c r="J149" i="1"/>
  <c r="I149" i="1"/>
  <c r="H149" i="1"/>
  <c r="G149" i="1"/>
  <c r="F149" i="1"/>
  <c r="AQ148" i="1"/>
  <c r="AR148" i="1" s="1"/>
  <c r="AI147" i="1"/>
  <c r="AH147" i="1"/>
  <c r="S147" i="1"/>
  <c r="R147" i="1"/>
  <c r="G147" i="1"/>
  <c r="AQ146" i="1"/>
  <c r="AR146" i="1" s="1"/>
  <c r="AF146" i="1"/>
  <c r="AQ145" i="1"/>
  <c r="AM145" i="1"/>
  <c r="AK145" i="1"/>
  <c r="AF145" i="1"/>
  <c r="Z145" i="1"/>
  <c r="E145" i="1"/>
  <c r="D145" i="1"/>
  <c r="C145" i="1"/>
  <c r="AR145" i="1" s="1"/>
  <c r="AQ144" i="1"/>
  <c r="AM144" i="1"/>
  <c r="AK144" i="1"/>
  <c r="AF144" i="1"/>
  <c r="Z144" i="1"/>
  <c r="E144" i="1"/>
  <c r="D144" i="1"/>
  <c r="C144" i="1"/>
  <c r="AR144" i="1" s="1"/>
  <c r="AQ143" i="1"/>
  <c r="AR143" i="1" s="1"/>
  <c r="AM143" i="1"/>
  <c r="AK143" i="1" s="1"/>
  <c r="AF143" i="1"/>
  <c r="Z143" i="1"/>
  <c r="E143" i="1"/>
  <c r="D143" i="1"/>
  <c r="C143" i="1"/>
  <c r="AP142" i="1"/>
  <c r="AO142" i="1"/>
  <c r="AN142" i="1"/>
  <c r="AM142" i="1"/>
  <c r="AL142" i="1"/>
  <c r="AJ142" i="1"/>
  <c r="AI142" i="1"/>
  <c r="AH142" i="1"/>
  <c r="AG142" i="1"/>
  <c r="AF142" i="1"/>
  <c r="AF140" i="1" s="1"/>
  <c r="AE142" i="1"/>
  <c r="AD142" i="1"/>
  <c r="AC142" i="1"/>
  <c r="AB142" i="1"/>
  <c r="AA142" i="1"/>
  <c r="Y142" i="1"/>
  <c r="X142" i="1"/>
  <c r="W142" i="1"/>
  <c r="V142" i="1"/>
  <c r="U142" i="1"/>
  <c r="T142" i="1"/>
  <c r="S142" i="1"/>
  <c r="R142" i="1"/>
  <c r="Q142" i="1"/>
  <c r="P142" i="1"/>
  <c r="K142" i="1"/>
  <c r="AQ141" i="1"/>
  <c r="AR141" i="1" s="1"/>
  <c r="E141" i="1"/>
  <c r="AQ140" i="1"/>
  <c r="AM140" i="1"/>
  <c r="AK140" i="1"/>
  <c r="Z140" i="1"/>
  <c r="E140" i="1"/>
  <c r="D140" i="1"/>
  <c r="C140" i="1"/>
  <c r="AR140" i="1" s="1"/>
  <c r="AJ139" i="1"/>
  <c r="AF139" i="1"/>
  <c r="D139" i="1"/>
  <c r="D138" i="1" s="1"/>
  <c r="AP138" i="1"/>
  <c r="AO138" i="1"/>
  <c r="AN138" i="1"/>
  <c r="AM138" i="1"/>
  <c r="AL138" i="1"/>
  <c r="AK138" i="1"/>
  <c r="AI138" i="1"/>
  <c r="AH138" i="1"/>
  <c r="AG138" i="1"/>
  <c r="AE138" i="1"/>
  <c r="AD138" i="1"/>
  <c r="AC138" i="1"/>
  <c r="AB138" i="1"/>
  <c r="AA138" i="1"/>
  <c r="Z138" i="1"/>
  <c r="Y138" i="1"/>
  <c r="X138" i="1"/>
  <c r="W138" i="1"/>
  <c r="V138" i="1"/>
  <c r="U138" i="1"/>
  <c r="T138" i="1"/>
  <c r="S138" i="1"/>
  <c r="R138" i="1"/>
  <c r="Q138" i="1"/>
  <c r="P138" i="1"/>
  <c r="O138" i="1"/>
  <c r="N138" i="1"/>
  <c r="M138" i="1"/>
  <c r="L138" i="1"/>
  <c r="K138" i="1"/>
  <c r="J138" i="1"/>
  <c r="I138" i="1"/>
  <c r="H138" i="1"/>
  <c r="G138" i="1"/>
  <c r="F138" i="1"/>
  <c r="E138" i="1"/>
  <c r="AR137" i="1"/>
  <c r="AQ137" i="1"/>
  <c r="AM137" i="1"/>
  <c r="AQ136" i="1"/>
  <c r="AM136" i="1"/>
  <c r="AK136" i="1" s="1"/>
  <c r="AJ136" i="1"/>
  <c r="AJ128" i="1" s="1"/>
  <c r="AF136" i="1"/>
  <c r="Z136" i="1"/>
  <c r="K136" i="1"/>
  <c r="AM135" i="1"/>
  <c r="AL135" i="1"/>
  <c r="AF135" i="1"/>
  <c r="AD135" i="1"/>
  <c r="Z135" i="1"/>
  <c r="K135" i="1"/>
  <c r="E135" i="1" s="1"/>
  <c r="AM134" i="1"/>
  <c r="AL134" i="1"/>
  <c r="AK134" i="1"/>
  <c r="AF134" i="1"/>
  <c r="AC134" i="1"/>
  <c r="AQ134" i="1" s="1"/>
  <c r="AB134" i="1"/>
  <c r="Q134" i="1"/>
  <c r="K134" i="1"/>
  <c r="E134" i="1"/>
  <c r="AM133" i="1"/>
  <c r="AL133" i="1"/>
  <c r="AQ133" i="1" s="1"/>
  <c r="AK133" i="1"/>
  <c r="C133" i="1" s="1"/>
  <c r="AR133" i="1" s="1"/>
  <c r="AF133" i="1"/>
  <c r="Z133" i="1"/>
  <c r="E133" i="1"/>
  <c r="D133" i="1"/>
  <c r="AQ132" i="1"/>
  <c r="AM132" i="1"/>
  <c r="AK132" i="1"/>
  <c r="AF132" i="1"/>
  <c r="C132" i="1" s="1"/>
  <c r="AR132" i="1" s="1"/>
  <c r="Z132" i="1"/>
  <c r="E132" i="1"/>
  <c r="D132" i="1"/>
  <c r="AQ131" i="1"/>
  <c r="AM131" i="1"/>
  <c r="AK131" i="1" s="1"/>
  <c r="AF131" i="1"/>
  <c r="Z131" i="1"/>
  <c r="E131" i="1"/>
  <c r="D131" i="1"/>
  <c r="AM130" i="1"/>
  <c r="AL130" i="1"/>
  <c r="AK130" i="1" s="1"/>
  <c r="AF130" i="1"/>
  <c r="Z130" i="1"/>
  <c r="Q130" i="1"/>
  <c r="E130" i="1"/>
  <c r="AQ129" i="1"/>
  <c r="AR129" i="1" s="1"/>
  <c r="AP128" i="1"/>
  <c r="AO128" i="1"/>
  <c r="AN128" i="1"/>
  <c r="AL128" i="1"/>
  <c r="AI128" i="1"/>
  <c r="AH128" i="1"/>
  <c r="AG128" i="1"/>
  <c r="AE128" i="1"/>
  <c r="AD128" i="1"/>
  <c r="AB128" i="1"/>
  <c r="AA128" i="1"/>
  <c r="Y128" i="1"/>
  <c r="X128" i="1"/>
  <c r="W128" i="1"/>
  <c r="V128" i="1"/>
  <c r="U128" i="1"/>
  <c r="T128" i="1"/>
  <c r="S128" i="1"/>
  <c r="R128" i="1"/>
  <c r="P128" i="1"/>
  <c r="O128" i="1"/>
  <c r="N128" i="1"/>
  <c r="M128" i="1"/>
  <c r="L128" i="1"/>
  <c r="J128" i="1"/>
  <c r="I128" i="1"/>
  <c r="H128" i="1"/>
  <c r="G128" i="1"/>
  <c r="F128" i="1"/>
  <c r="AQ127" i="1"/>
  <c r="AR127" i="1" s="1"/>
  <c r="AQ126" i="1"/>
  <c r="AR126" i="1" s="1"/>
  <c r="AQ125" i="1"/>
  <c r="AM125" i="1"/>
  <c r="AK125" i="1"/>
  <c r="AH125" i="1"/>
  <c r="AF125" i="1"/>
  <c r="AD125" i="1"/>
  <c r="Z125" i="1"/>
  <c r="Z123" i="1" s="1"/>
  <c r="E125" i="1"/>
  <c r="D125" i="1"/>
  <c r="C125" i="1"/>
  <c r="AR125" i="1" s="1"/>
  <c r="AQ124" i="1"/>
  <c r="AM124" i="1"/>
  <c r="AK124" i="1"/>
  <c r="AF124" i="1"/>
  <c r="AF123" i="1" s="1"/>
  <c r="Z124" i="1"/>
  <c r="R124" i="1"/>
  <c r="E124" i="1" s="1"/>
  <c r="D124" i="1"/>
  <c r="D123" i="1" s="1"/>
  <c r="AQ123" i="1"/>
  <c r="AP123" i="1"/>
  <c r="AO123" i="1"/>
  <c r="AN123" i="1"/>
  <c r="AM123" i="1"/>
  <c r="AL123" i="1"/>
  <c r="AJ123" i="1"/>
  <c r="AI123" i="1"/>
  <c r="AH123" i="1"/>
  <c r="AG123" i="1"/>
  <c r="AE123" i="1"/>
  <c r="AD123" i="1"/>
  <c r="AC123" i="1"/>
  <c r="AB123" i="1"/>
  <c r="AA123" i="1"/>
  <c r="Y123" i="1"/>
  <c r="X123" i="1"/>
  <c r="W123" i="1"/>
  <c r="V123" i="1"/>
  <c r="U123" i="1"/>
  <c r="T123" i="1"/>
  <c r="S123" i="1"/>
  <c r="R123" i="1"/>
  <c r="Q123" i="1"/>
  <c r="P123" i="1"/>
  <c r="O123" i="1"/>
  <c r="N123" i="1"/>
  <c r="M123" i="1"/>
  <c r="L123" i="1"/>
  <c r="K123" i="1"/>
  <c r="J123" i="1"/>
  <c r="I123" i="1"/>
  <c r="H123" i="1"/>
  <c r="G123" i="1"/>
  <c r="F123" i="1"/>
  <c r="AQ122" i="1"/>
  <c r="AR122" i="1" s="1"/>
  <c r="AQ121" i="1"/>
  <c r="AM121" i="1"/>
  <c r="AK121" i="1"/>
  <c r="AF121" i="1"/>
  <c r="Z121" i="1"/>
  <c r="E121" i="1"/>
  <c r="D121" i="1"/>
  <c r="C121" i="1"/>
  <c r="AR121" i="1" s="1"/>
  <c r="AQ120" i="1"/>
  <c r="AK120" i="1"/>
  <c r="AF120" i="1"/>
  <c r="Z120" i="1"/>
  <c r="Q120" i="1"/>
  <c r="D120" i="1" s="1"/>
  <c r="AM119" i="1"/>
  <c r="AL119" i="1"/>
  <c r="AL118" i="1" s="1"/>
  <c r="AI119" i="1"/>
  <c r="AH119" i="1"/>
  <c r="AF119" i="1"/>
  <c r="Z119" i="1"/>
  <c r="Z118" i="1" s="1"/>
  <c r="Z117" i="1" s="1"/>
  <c r="V119" i="1"/>
  <c r="R119" i="1"/>
  <c r="Q119" i="1"/>
  <c r="AQ119" i="1" s="1"/>
  <c r="AP118" i="1"/>
  <c r="AO118" i="1"/>
  <c r="AN118" i="1"/>
  <c r="AM118" i="1"/>
  <c r="AJ118" i="1"/>
  <c r="AI118" i="1"/>
  <c r="AH118" i="1"/>
  <c r="AG118" i="1"/>
  <c r="AE118" i="1"/>
  <c r="AD118" i="1"/>
  <c r="AC118" i="1"/>
  <c r="AB118" i="1"/>
  <c r="AA118" i="1"/>
  <c r="Y118" i="1"/>
  <c r="X118" i="1"/>
  <c r="W118" i="1"/>
  <c r="V118" i="1"/>
  <c r="U118" i="1"/>
  <c r="T118" i="1"/>
  <c r="S118" i="1"/>
  <c r="R118" i="1"/>
  <c r="P118" i="1"/>
  <c r="O118" i="1"/>
  <c r="N118" i="1"/>
  <c r="M118" i="1"/>
  <c r="L118" i="1"/>
  <c r="K118" i="1"/>
  <c r="J118" i="1"/>
  <c r="I118" i="1"/>
  <c r="H118" i="1"/>
  <c r="G118" i="1"/>
  <c r="F118" i="1"/>
  <c r="AQ117" i="1"/>
  <c r="AR117" i="1" s="1"/>
  <c r="AM116" i="1"/>
  <c r="AK116" i="1"/>
  <c r="AH116" i="1"/>
  <c r="Z116" i="1"/>
  <c r="E116" i="1"/>
  <c r="D116" i="1"/>
  <c r="AQ115" i="1"/>
  <c r="AM115" i="1"/>
  <c r="AM114" i="1" s="1"/>
  <c r="AF115" i="1"/>
  <c r="AE115" i="1"/>
  <c r="AE114" i="1" s="1"/>
  <c r="AD115" i="1"/>
  <c r="AD114" i="1" s="1"/>
  <c r="AB115" i="1"/>
  <c r="AA115" i="1"/>
  <c r="Z115" i="1"/>
  <c r="Z114" i="1" s="1"/>
  <c r="O115" i="1"/>
  <c r="E115" i="1" s="1"/>
  <c r="D115" i="1"/>
  <c r="AP114" i="1"/>
  <c r="AO114" i="1"/>
  <c r="AN114" i="1"/>
  <c r="AL114" i="1"/>
  <c r="AJ114" i="1"/>
  <c r="AI114" i="1"/>
  <c r="AH114" i="1"/>
  <c r="AG114" i="1"/>
  <c r="AC114" i="1"/>
  <c r="AB114" i="1"/>
  <c r="AA114" i="1"/>
  <c r="Y114" i="1"/>
  <c r="X114" i="1"/>
  <c r="W114" i="1"/>
  <c r="V114" i="1"/>
  <c r="U114" i="1"/>
  <c r="T114" i="1"/>
  <c r="S114" i="1"/>
  <c r="R114" i="1"/>
  <c r="Q114" i="1"/>
  <c r="P114" i="1"/>
  <c r="O114" i="1"/>
  <c r="N114" i="1"/>
  <c r="M114" i="1"/>
  <c r="L114" i="1"/>
  <c r="K114" i="1"/>
  <c r="J114" i="1"/>
  <c r="I114" i="1"/>
  <c r="H114" i="1"/>
  <c r="G114" i="1"/>
  <c r="F114" i="1"/>
  <c r="AQ113" i="1"/>
  <c r="AR113" i="1" s="1"/>
  <c r="AF113" i="1"/>
  <c r="AM112" i="1"/>
  <c r="AL112" i="1"/>
  <c r="AK112" i="1" s="1"/>
  <c r="AF112" i="1"/>
  <c r="Z112" i="1"/>
  <c r="R112" i="1"/>
  <c r="Q112" i="1"/>
  <c r="I112" i="1"/>
  <c r="I80" i="1" s="1"/>
  <c r="E112" i="1"/>
  <c r="C112" i="1" s="1"/>
  <c r="D112" i="1"/>
  <c r="AP111" i="1"/>
  <c r="AM111" i="1"/>
  <c r="AL111" i="1"/>
  <c r="AK111" i="1"/>
  <c r="AF111" i="1"/>
  <c r="Z111" i="1"/>
  <c r="U111" i="1"/>
  <c r="Q111" i="1"/>
  <c r="E111" i="1"/>
  <c r="AM110" i="1"/>
  <c r="AL110" i="1"/>
  <c r="AK110" i="1"/>
  <c r="AF110" i="1"/>
  <c r="Z110" i="1"/>
  <c r="K110" i="1"/>
  <c r="D110" i="1" s="1"/>
  <c r="AQ109" i="1"/>
  <c r="AM109" i="1"/>
  <c r="AK109" i="1" s="1"/>
  <c r="AH109" i="1"/>
  <c r="AF109" i="1"/>
  <c r="Z109" i="1"/>
  <c r="E109" i="1"/>
  <c r="D109" i="1"/>
  <c r="AM108" i="1"/>
  <c r="AK108" i="1"/>
  <c r="AJ108" i="1"/>
  <c r="AF108" i="1"/>
  <c r="Z108" i="1"/>
  <c r="E108" i="1"/>
  <c r="D108" i="1"/>
  <c r="C108" i="1"/>
  <c r="AQ107" i="1"/>
  <c r="AF107" i="1"/>
  <c r="Z107" i="1"/>
  <c r="C107" i="1" s="1"/>
  <c r="AR107" i="1" s="1"/>
  <c r="D107" i="1"/>
  <c r="AQ106" i="1"/>
  <c r="AR106" i="1" s="1"/>
  <c r="AM106" i="1"/>
  <c r="AK106" i="1"/>
  <c r="AF106" i="1"/>
  <c r="Z106" i="1"/>
  <c r="E106" i="1"/>
  <c r="D106" i="1"/>
  <c r="C106" i="1"/>
  <c r="AQ105" i="1"/>
  <c r="AM105" i="1"/>
  <c r="AK105" i="1"/>
  <c r="AF105" i="1"/>
  <c r="Z105" i="1"/>
  <c r="Z101" i="1" s="1"/>
  <c r="E105" i="1"/>
  <c r="C105" i="1" s="1"/>
  <c r="AR105" i="1" s="1"/>
  <c r="D105" i="1"/>
  <c r="AQ104" i="1"/>
  <c r="AF104" i="1"/>
  <c r="Z104" i="1"/>
  <c r="D104" i="1"/>
  <c r="C104" i="1"/>
  <c r="AR104" i="1" s="1"/>
  <c r="AQ103" i="1"/>
  <c r="AM103" i="1"/>
  <c r="AK103" i="1" s="1"/>
  <c r="AF103" i="1"/>
  <c r="Z103" i="1"/>
  <c r="E103" i="1"/>
  <c r="D103" i="1"/>
  <c r="C103" i="1"/>
  <c r="AR103" i="1" s="1"/>
  <c r="AM102" i="1"/>
  <c r="AL102" i="1"/>
  <c r="AK102" i="1" s="1"/>
  <c r="AK101" i="1" s="1"/>
  <c r="AF102" i="1"/>
  <c r="Z102" i="1"/>
  <c r="P102" i="1"/>
  <c r="AQ102" i="1" s="1"/>
  <c r="N102" i="1"/>
  <c r="I102" i="1"/>
  <c r="E102" i="1"/>
  <c r="D102" i="1"/>
  <c r="D101" i="1" s="1"/>
  <c r="AP101" i="1"/>
  <c r="AO101" i="1"/>
  <c r="AN101" i="1"/>
  <c r="AL101" i="1"/>
  <c r="AI101" i="1"/>
  <c r="AH101" i="1"/>
  <c r="AG101" i="1"/>
  <c r="AF101" i="1"/>
  <c r="AE101" i="1"/>
  <c r="AD101" i="1"/>
  <c r="AC101" i="1"/>
  <c r="AC80" i="1" s="1"/>
  <c r="AB101" i="1"/>
  <c r="AA101" i="1"/>
  <c r="Y101" i="1"/>
  <c r="X101" i="1"/>
  <c r="W101" i="1"/>
  <c r="V101" i="1"/>
  <c r="U101" i="1"/>
  <c r="T101" i="1"/>
  <c r="S101" i="1"/>
  <c r="R101" i="1"/>
  <c r="Q101" i="1"/>
  <c r="P101" i="1"/>
  <c r="O101" i="1"/>
  <c r="N101" i="1"/>
  <c r="M101" i="1"/>
  <c r="L101" i="1"/>
  <c r="K101" i="1"/>
  <c r="J101" i="1"/>
  <c r="J80" i="1" s="1"/>
  <c r="I101" i="1"/>
  <c r="H101" i="1"/>
  <c r="G101" i="1"/>
  <c r="F101" i="1"/>
  <c r="AQ100" i="1"/>
  <c r="AM100" i="1"/>
  <c r="AK100" i="1" s="1"/>
  <c r="AH100" i="1"/>
  <c r="AF100" i="1" s="1"/>
  <c r="Z100" i="1"/>
  <c r="E100" i="1"/>
  <c r="D100" i="1"/>
  <c r="C100" i="1"/>
  <c r="AR100" i="1" s="1"/>
  <c r="AR99" i="1"/>
  <c r="AQ99" i="1"/>
  <c r="AM99" i="1"/>
  <c r="AK99" i="1"/>
  <c r="AF99" i="1"/>
  <c r="Z99" i="1"/>
  <c r="E99" i="1"/>
  <c r="D99" i="1"/>
  <c r="C99" i="1"/>
  <c r="AQ98" i="1"/>
  <c r="AF98" i="1"/>
  <c r="C98" i="1" s="1"/>
  <c r="AR98" i="1" s="1"/>
  <c r="D98" i="1"/>
  <c r="AQ97" i="1"/>
  <c r="AM97" i="1"/>
  <c r="AK97" i="1" s="1"/>
  <c r="AJ97" i="1"/>
  <c r="AF97" i="1" s="1"/>
  <c r="Z97" i="1"/>
  <c r="E97" i="1"/>
  <c r="D97" i="1"/>
  <c r="C97" i="1"/>
  <c r="AR97" i="1" s="1"/>
  <c r="AQ96" i="1"/>
  <c r="AM96" i="1"/>
  <c r="AK96" i="1"/>
  <c r="AF96" i="1"/>
  <c r="Z96" i="1"/>
  <c r="C96" i="1" s="1"/>
  <c r="AR96" i="1" s="1"/>
  <c r="E96" i="1"/>
  <c r="D96" i="1"/>
  <c r="AR95" i="1"/>
  <c r="AQ95" i="1"/>
  <c r="AM95" i="1"/>
  <c r="AK95" i="1" s="1"/>
  <c r="AF95" i="1"/>
  <c r="Z95" i="1"/>
  <c r="C95" i="1" s="1"/>
  <c r="E95" i="1"/>
  <c r="D95" i="1"/>
  <c r="AQ94" i="1"/>
  <c r="AM94" i="1"/>
  <c r="AK94" i="1"/>
  <c r="AF94" i="1"/>
  <c r="Z94" i="1"/>
  <c r="E94" i="1"/>
  <c r="C94" i="1" s="1"/>
  <c r="AR94" i="1" s="1"/>
  <c r="D94" i="1"/>
  <c r="AQ93" i="1"/>
  <c r="AM93" i="1"/>
  <c r="AK93" i="1"/>
  <c r="AF93" i="1"/>
  <c r="C93" i="1" s="1"/>
  <c r="AR93" i="1" s="1"/>
  <c r="Z93" i="1"/>
  <c r="E93" i="1"/>
  <c r="D93" i="1"/>
  <c r="AR92" i="1"/>
  <c r="AQ92" i="1"/>
  <c r="AF92" i="1"/>
  <c r="D92" i="1"/>
  <c r="C92" i="1"/>
  <c r="AQ91" i="1"/>
  <c r="AM91" i="1"/>
  <c r="AK91" i="1"/>
  <c r="AF91" i="1"/>
  <c r="Z91" i="1"/>
  <c r="E91" i="1"/>
  <c r="D91" i="1"/>
  <c r="C91" i="1"/>
  <c r="AR91" i="1" s="1"/>
  <c r="AQ90" i="1"/>
  <c r="AM90" i="1"/>
  <c r="AM88" i="1" s="1"/>
  <c r="AK90" i="1"/>
  <c r="AK88" i="1" s="1"/>
  <c r="AF90" i="1"/>
  <c r="C90" i="1" s="1"/>
  <c r="AR90" i="1" s="1"/>
  <c r="Z90" i="1"/>
  <c r="E90" i="1"/>
  <c r="D90" i="1"/>
  <c r="AM89" i="1"/>
  <c r="AK89" i="1"/>
  <c r="AJ89" i="1"/>
  <c r="AF89" i="1" s="1"/>
  <c r="AH89" i="1"/>
  <c r="Z89" i="1"/>
  <c r="E89" i="1"/>
  <c r="C89" i="1"/>
  <c r="AP88" i="1"/>
  <c r="AO88" i="1"/>
  <c r="AO80" i="1" s="1"/>
  <c r="AN88" i="1"/>
  <c r="AN80" i="1" s="1"/>
  <c r="AL88" i="1"/>
  <c r="AJ88" i="1"/>
  <c r="AI88" i="1"/>
  <c r="AI80" i="1" s="1"/>
  <c r="AG88" i="1"/>
  <c r="AE88" i="1"/>
  <c r="AE80" i="1" s="1"/>
  <c r="AD88" i="1"/>
  <c r="AD80" i="1" s="1"/>
  <c r="AC88" i="1"/>
  <c r="AB88" i="1"/>
  <c r="AA88" i="1"/>
  <c r="Y88" i="1"/>
  <c r="X88" i="1"/>
  <c r="W88" i="1"/>
  <c r="V88" i="1"/>
  <c r="U88" i="1"/>
  <c r="T88" i="1"/>
  <c r="S88" i="1"/>
  <c r="R88" i="1"/>
  <c r="R80" i="1" s="1"/>
  <c r="Q88" i="1"/>
  <c r="P88" i="1"/>
  <c r="O88" i="1"/>
  <c r="O80" i="1" s="1"/>
  <c r="N88" i="1"/>
  <c r="M88" i="1"/>
  <c r="L88" i="1"/>
  <c r="K88" i="1"/>
  <c r="J88" i="1"/>
  <c r="I88" i="1"/>
  <c r="H88" i="1"/>
  <c r="G88" i="1"/>
  <c r="F88" i="1"/>
  <c r="AQ87" i="1"/>
  <c r="AM87" i="1"/>
  <c r="AK87" i="1"/>
  <c r="AJ87" i="1"/>
  <c r="AF87" i="1"/>
  <c r="Z87" i="1"/>
  <c r="E87" i="1"/>
  <c r="D87" i="1"/>
  <c r="C87" i="1"/>
  <c r="AR87" i="1" s="1"/>
  <c r="AQ86" i="1"/>
  <c r="AM86" i="1"/>
  <c r="AK86" i="1"/>
  <c r="AH86" i="1"/>
  <c r="AF86" i="1"/>
  <c r="Z86" i="1"/>
  <c r="E86" i="1"/>
  <c r="C86" i="1" s="1"/>
  <c r="AR86" i="1" s="1"/>
  <c r="D86" i="1"/>
  <c r="AQ85" i="1"/>
  <c r="AM85" i="1"/>
  <c r="AK85" i="1"/>
  <c r="C85" i="1" s="1"/>
  <c r="AR85" i="1" s="1"/>
  <c r="AF85" i="1"/>
  <c r="D85" i="1"/>
  <c r="AM84" i="1"/>
  <c r="AK84" i="1"/>
  <c r="AF84" i="1"/>
  <c r="Z84" i="1"/>
  <c r="V84" i="1"/>
  <c r="AQ83" i="1"/>
  <c r="AF83" i="1"/>
  <c r="D83" i="1"/>
  <c r="C83" i="1"/>
  <c r="AR83" i="1" s="1"/>
  <c r="AM82" i="1"/>
  <c r="AK82" i="1"/>
  <c r="AF82" i="1"/>
  <c r="Z82" i="1"/>
  <c r="L82" i="1"/>
  <c r="I82" i="1"/>
  <c r="I81" i="1" s="1"/>
  <c r="H82" i="1"/>
  <c r="H81" i="1" s="1"/>
  <c r="AP81" i="1"/>
  <c r="AO81" i="1"/>
  <c r="AN81" i="1"/>
  <c r="AM81" i="1"/>
  <c r="AL81" i="1"/>
  <c r="AK81" i="1"/>
  <c r="AJ81" i="1"/>
  <c r="AI81" i="1"/>
  <c r="AH81" i="1"/>
  <c r="AG81" i="1"/>
  <c r="AG80" i="1" s="1"/>
  <c r="AE81" i="1"/>
  <c r="AD81" i="1"/>
  <c r="AC81" i="1"/>
  <c r="AB81" i="1"/>
  <c r="AB80" i="1" s="1"/>
  <c r="AA81" i="1"/>
  <c r="AA80" i="1" s="1"/>
  <c r="Y81" i="1"/>
  <c r="Y80" i="1" s="1"/>
  <c r="X81" i="1"/>
  <c r="X80" i="1" s="1"/>
  <c r="W81" i="1"/>
  <c r="U81" i="1"/>
  <c r="T81" i="1"/>
  <c r="S81" i="1"/>
  <c r="R81" i="1"/>
  <c r="Q81" i="1"/>
  <c r="Q80" i="1" s="1"/>
  <c r="P81" i="1"/>
  <c r="O81" i="1"/>
  <c r="N81" i="1"/>
  <c r="N80" i="1" s="1"/>
  <c r="M81" i="1"/>
  <c r="K81" i="1"/>
  <c r="J81" i="1"/>
  <c r="G81" i="1"/>
  <c r="F81" i="1"/>
  <c r="F80" i="1" s="1"/>
  <c r="AP80" i="1"/>
  <c r="U80" i="1"/>
  <c r="T80" i="1"/>
  <c r="T54" i="1" s="1"/>
  <c r="S80" i="1"/>
  <c r="S54" i="1" s="1"/>
  <c r="G80" i="1"/>
  <c r="AQ79" i="1"/>
  <c r="AR79" i="1" s="1"/>
  <c r="AM78" i="1"/>
  <c r="AL78" i="1"/>
  <c r="AK78" i="1" s="1"/>
  <c r="AK70" i="1" s="1"/>
  <c r="AF78" i="1"/>
  <c r="Z78" i="1"/>
  <c r="K78" i="1"/>
  <c r="E78" i="1"/>
  <c r="D78" i="1"/>
  <c r="AV77" i="1"/>
  <c r="AQ77" i="1"/>
  <c r="AR77" i="1" s="1"/>
  <c r="AK77" i="1"/>
  <c r="AF77" i="1"/>
  <c r="Z77" i="1"/>
  <c r="E77" i="1"/>
  <c r="E75" i="1" s="1"/>
  <c r="D77" i="1"/>
  <c r="C77" i="1"/>
  <c r="AL76" i="1"/>
  <c r="D76" i="1" s="1"/>
  <c r="AK76" i="1"/>
  <c r="AF76" i="1"/>
  <c r="Z76" i="1"/>
  <c r="S76" i="1"/>
  <c r="E76" i="1"/>
  <c r="AP75" i="1"/>
  <c r="AP70" i="1" s="1"/>
  <c r="AO75" i="1"/>
  <c r="AO70" i="1" s="1"/>
  <c r="AN75" i="1"/>
  <c r="AN70" i="1" s="1"/>
  <c r="AM75" i="1"/>
  <c r="AM70" i="1" s="1"/>
  <c r="AL75" i="1"/>
  <c r="AK75" i="1"/>
  <c r="AJ75" i="1"/>
  <c r="AI75" i="1"/>
  <c r="AH75" i="1"/>
  <c r="AH70" i="1" s="1"/>
  <c r="AG75" i="1"/>
  <c r="AE75" i="1"/>
  <c r="AD75" i="1"/>
  <c r="AC75" i="1"/>
  <c r="AB75" i="1"/>
  <c r="AA75" i="1"/>
  <c r="Y75" i="1"/>
  <c r="X75" i="1"/>
  <c r="W75" i="1"/>
  <c r="V75" i="1"/>
  <c r="U75" i="1"/>
  <c r="T75" i="1"/>
  <c r="T70" i="1" s="1"/>
  <c r="S75" i="1"/>
  <c r="S70" i="1" s="1"/>
  <c r="R75" i="1"/>
  <c r="R70" i="1" s="1"/>
  <c r="Q75" i="1"/>
  <c r="P75" i="1"/>
  <c r="P70" i="1" s="1"/>
  <c r="O75" i="1"/>
  <c r="O70" i="1" s="1"/>
  <c r="O54" i="1" s="1"/>
  <c r="N75" i="1"/>
  <c r="N70" i="1" s="1"/>
  <c r="M75" i="1"/>
  <c r="L75" i="1"/>
  <c r="L70" i="1" s="1"/>
  <c r="K75" i="1"/>
  <c r="K70" i="1" s="1"/>
  <c r="J75" i="1"/>
  <c r="J70" i="1" s="1"/>
  <c r="I75" i="1"/>
  <c r="H75" i="1"/>
  <c r="G75" i="1"/>
  <c r="F75" i="1"/>
  <c r="AM74" i="1"/>
  <c r="AK74" i="1"/>
  <c r="AF74" i="1"/>
  <c r="Z74" i="1"/>
  <c r="Q74" i="1"/>
  <c r="E74" i="1" s="1"/>
  <c r="C74" i="1" s="1"/>
  <c r="D74" i="1"/>
  <c r="AM73" i="1"/>
  <c r="AK73" i="1"/>
  <c r="AH73" i="1"/>
  <c r="AQ73" i="1" s="1"/>
  <c r="AF73" i="1"/>
  <c r="Z73" i="1"/>
  <c r="F73" i="1"/>
  <c r="E73" i="1"/>
  <c r="C73" i="1" s="1"/>
  <c r="AR73" i="1" s="1"/>
  <c r="D73" i="1"/>
  <c r="AM72" i="1"/>
  <c r="AK72" i="1"/>
  <c r="AF72" i="1"/>
  <c r="Z72" i="1"/>
  <c r="Y72" i="1"/>
  <c r="E72" i="1"/>
  <c r="D72" i="1"/>
  <c r="AM71" i="1"/>
  <c r="AK71" i="1"/>
  <c r="AG71" i="1"/>
  <c r="AF71" i="1" s="1"/>
  <c r="AD71" i="1"/>
  <c r="AC71" i="1"/>
  <c r="AB71" i="1"/>
  <c r="AB70" i="1" s="1"/>
  <c r="AA71" i="1"/>
  <c r="Q71" i="1"/>
  <c r="E71" i="1"/>
  <c r="AJ70" i="1"/>
  <c r="AI70" i="1"/>
  <c r="AE70" i="1"/>
  <c r="AD70" i="1"/>
  <c r="AC70" i="1"/>
  <c r="X70" i="1"/>
  <c r="W70" i="1"/>
  <c r="V70" i="1"/>
  <c r="U70" i="1"/>
  <c r="M70" i="1"/>
  <c r="I70" i="1"/>
  <c r="H70" i="1"/>
  <c r="G70" i="1"/>
  <c r="F70" i="1"/>
  <c r="AQ69" i="1"/>
  <c r="AR69" i="1" s="1"/>
  <c r="AM68" i="1"/>
  <c r="AM63" i="1" s="1"/>
  <c r="AL68" i="1"/>
  <c r="D68" i="1" s="1"/>
  <c r="AK68" i="1"/>
  <c r="AF68" i="1"/>
  <c r="Z68" i="1"/>
  <c r="Q68" i="1"/>
  <c r="E68" i="1" s="1"/>
  <c r="AM67" i="1"/>
  <c r="AL67" i="1"/>
  <c r="AK67" i="1" s="1"/>
  <c r="AF67" i="1"/>
  <c r="Z67" i="1"/>
  <c r="Q67" i="1"/>
  <c r="E67" i="1"/>
  <c r="AM66" i="1"/>
  <c r="AL66" i="1"/>
  <c r="AK66" i="1"/>
  <c r="AF66" i="1"/>
  <c r="AB66" i="1"/>
  <c r="Z66" i="1"/>
  <c r="Q66" i="1"/>
  <c r="E66" i="1"/>
  <c r="AM65" i="1"/>
  <c r="AL65" i="1"/>
  <c r="AQ65" i="1" s="1"/>
  <c r="AK65" i="1"/>
  <c r="AF65" i="1"/>
  <c r="Z65" i="1"/>
  <c r="Q65" i="1"/>
  <c r="E65" i="1" s="1"/>
  <c r="AM64" i="1"/>
  <c r="AL64" i="1"/>
  <c r="AK64" i="1"/>
  <c r="C64" i="1" s="1"/>
  <c r="AF64" i="1"/>
  <c r="Z64" i="1"/>
  <c r="Q64" i="1"/>
  <c r="E64" i="1"/>
  <c r="AP63" i="1"/>
  <c r="AP54" i="1" s="1"/>
  <c r="AO63" i="1"/>
  <c r="AO54" i="1" s="1"/>
  <c r="AN63" i="1"/>
  <c r="AJ63" i="1"/>
  <c r="AI63" i="1"/>
  <c r="AH63" i="1"/>
  <c r="AG63" i="1"/>
  <c r="AE63" i="1"/>
  <c r="AD63" i="1"/>
  <c r="AC63" i="1"/>
  <c r="AB63" i="1"/>
  <c r="AA63" i="1"/>
  <c r="Z63" i="1"/>
  <c r="Y63" i="1"/>
  <c r="X63" i="1"/>
  <c r="W63" i="1"/>
  <c r="V63" i="1"/>
  <c r="U63" i="1"/>
  <c r="T63" i="1"/>
  <c r="S63" i="1"/>
  <c r="R63" i="1"/>
  <c r="Q63" i="1"/>
  <c r="E63" i="1" s="1"/>
  <c r="P63" i="1"/>
  <c r="O63" i="1"/>
  <c r="N63" i="1"/>
  <c r="M63" i="1"/>
  <c r="L63" i="1"/>
  <c r="K63" i="1"/>
  <c r="J63" i="1"/>
  <c r="I63" i="1"/>
  <c r="H63" i="1"/>
  <c r="G63" i="1"/>
  <c r="F63" i="1"/>
  <c r="AQ62" i="1"/>
  <c r="AR62" i="1" s="1"/>
  <c r="AF62" i="1"/>
  <c r="AM61" i="1"/>
  <c r="AL61" i="1"/>
  <c r="AQ61" i="1" s="1"/>
  <c r="AF61" i="1"/>
  <c r="Z61" i="1"/>
  <c r="Q61" i="1"/>
  <c r="E61" i="1"/>
  <c r="D61" i="1"/>
  <c r="AQ60" i="1"/>
  <c r="AM60" i="1"/>
  <c r="AK60" i="1" s="1"/>
  <c r="AF60" i="1"/>
  <c r="Z60" i="1"/>
  <c r="E60" i="1"/>
  <c r="D60" i="1"/>
  <c r="AM59" i="1"/>
  <c r="AL59" i="1"/>
  <c r="D59" i="1" s="1"/>
  <c r="AF59" i="1"/>
  <c r="Z59" i="1"/>
  <c r="Q59" i="1"/>
  <c r="E59" i="1" s="1"/>
  <c r="AM58" i="1"/>
  <c r="AM56" i="1" s="1"/>
  <c r="AL58" i="1"/>
  <c r="AQ58" i="1" s="1"/>
  <c r="AF58" i="1"/>
  <c r="AF56" i="1" s="1"/>
  <c r="AB58" i="1"/>
  <c r="AB56" i="1" s="1"/>
  <c r="AA58" i="1"/>
  <c r="Q58" i="1"/>
  <c r="E58" i="1"/>
  <c r="AQ57" i="1"/>
  <c r="AM57" i="1"/>
  <c r="AK57" i="1" s="1"/>
  <c r="AF57" i="1"/>
  <c r="Z57" i="1"/>
  <c r="E57" i="1"/>
  <c r="D57" i="1"/>
  <c r="AP56" i="1"/>
  <c r="AO56" i="1"/>
  <c r="AN56" i="1"/>
  <c r="AJ56" i="1"/>
  <c r="AI56" i="1"/>
  <c r="AH56" i="1"/>
  <c r="AG56" i="1"/>
  <c r="AE56" i="1"/>
  <c r="AD56" i="1"/>
  <c r="AC56" i="1"/>
  <c r="Y56" i="1"/>
  <c r="X56" i="1"/>
  <c r="W56" i="1"/>
  <c r="V56" i="1"/>
  <c r="U56" i="1"/>
  <c r="T56" i="1"/>
  <c r="S56" i="1"/>
  <c r="R56" i="1"/>
  <c r="Q56" i="1"/>
  <c r="P56" i="1"/>
  <c r="O56" i="1"/>
  <c r="N56" i="1"/>
  <c r="M56" i="1"/>
  <c r="L56" i="1"/>
  <c r="K56" i="1"/>
  <c r="J56" i="1"/>
  <c r="I56" i="1"/>
  <c r="H56" i="1"/>
  <c r="G56" i="1"/>
  <c r="F56" i="1"/>
  <c r="AR55" i="1"/>
  <c r="AQ55" i="1"/>
  <c r="AF55" i="1"/>
  <c r="AQ53" i="1"/>
  <c r="AR53" i="1" s="1"/>
  <c r="AQ52" i="1"/>
  <c r="AM52" i="1"/>
  <c r="AK52" i="1"/>
  <c r="AF52" i="1"/>
  <c r="Z52" i="1"/>
  <c r="E52" i="1"/>
  <c r="D52" i="1"/>
  <c r="C52" i="1"/>
  <c r="AR52" i="1" s="1"/>
  <c r="AQ51" i="1"/>
  <c r="AM51" i="1"/>
  <c r="AK51" i="1" s="1"/>
  <c r="AF51" i="1"/>
  <c r="Z51" i="1"/>
  <c r="E51" i="1"/>
  <c r="D51" i="1"/>
  <c r="AQ50" i="1"/>
  <c r="AM50" i="1"/>
  <c r="AK50" i="1"/>
  <c r="AF50" i="1"/>
  <c r="Z50" i="1"/>
  <c r="E50" i="1"/>
  <c r="D50" i="1"/>
  <c r="C50" i="1"/>
  <c r="AR50" i="1" s="1"/>
  <c r="AQ49" i="1"/>
  <c r="AM49" i="1"/>
  <c r="AK49" i="1"/>
  <c r="AF49" i="1"/>
  <c r="AF48" i="1" s="1"/>
  <c r="Z49" i="1"/>
  <c r="Z48" i="1" s="1"/>
  <c r="E49" i="1"/>
  <c r="E48" i="1" s="1"/>
  <c r="D49" i="1"/>
  <c r="D48" i="1" s="1"/>
  <c r="C49" i="1"/>
  <c r="AP48" i="1"/>
  <c r="AO48" i="1"/>
  <c r="AN48" i="1"/>
  <c r="AL48" i="1"/>
  <c r="AJ48" i="1"/>
  <c r="AI48" i="1"/>
  <c r="AH48" i="1"/>
  <c r="AG48" i="1"/>
  <c r="AE48" i="1"/>
  <c r="AD48" i="1"/>
  <c r="AC48" i="1"/>
  <c r="AB48" i="1"/>
  <c r="AA48" i="1"/>
  <c r="Y48" i="1"/>
  <c r="X48" i="1"/>
  <c r="W48" i="1"/>
  <c r="V48" i="1"/>
  <c r="U48" i="1"/>
  <c r="T48" i="1"/>
  <c r="S48" i="1"/>
  <c r="R48" i="1"/>
  <c r="Q48" i="1"/>
  <c r="P48" i="1"/>
  <c r="O48" i="1"/>
  <c r="N48" i="1"/>
  <c r="M48" i="1"/>
  <c r="L48" i="1"/>
  <c r="K48" i="1"/>
  <c r="J48" i="1"/>
  <c r="I48" i="1"/>
  <c r="H48" i="1"/>
  <c r="G48" i="1"/>
  <c r="F48" i="1"/>
  <c r="AQ47" i="1"/>
  <c r="AR47" i="1" s="1"/>
  <c r="AF47" i="1"/>
  <c r="AQ46" i="1"/>
  <c r="AM46" i="1"/>
  <c r="AK46" i="1"/>
  <c r="AF46" i="1"/>
  <c r="Z46" i="1"/>
  <c r="Z41" i="1" s="1"/>
  <c r="E46" i="1"/>
  <c r="D46" i="1"/>
  <c r="AQ45" i="1"/>
  <c r="AM45" i="1"/>
  <c r="AK45" i="1" s="1"/>
  <c r="AF45" i="1"/>
  <c r="Z45" i="1"/>
  <c r="E45" i="1"/>
  <c r="D45" i="1"/>
  <c r="C45" i="1"/>
  <c r="AR45" i="1" s="1"/>
  <c r="AW44" i="1"/>
  <c r="AQ44" i="1"/>
  <c r="AM44" i="1"/>
  <c r="AK44" i="1" s="1"/>
  <c r="AF44" i="1"/>
  <c r="Z44" i="1"/>
  <c r="E44" i="1"/>
  <c r="D44" i="1"/>
  <c r="D41" i="1" s="1"/>
  <c r="C44" i="1"/>
  <c r="AR44" i="1" s="1"/>
  <c r="AQ43" i="1"/>
  <c r="AR43" i="1" s="1"/>
  <c r="AM43" i="1"/>
  <c r="AK43" i="1"/>
  <c r="AF43" i="1"/>
  <c r="Z43" i="1"/>
  <c r="E43" i="1"/>
  <c r="D43" i="1"/>
  <c r="C43" i="1"/>
  <c r="AQ42" i="1"/>
  <c r="AM42" i="1"/>
  <c r="AK42" i="1"/>
  <c r="AF42" i="1"/>
  <c r="Z42" i="1"/>
  <c r="E42" i="1"/>
  <c r="D42" i="1"/>
  <c r="C42" i="1"/>
  <c r="AR42" i="1" s="1"/>
  <c r="AP41" i="1"/>
  <c r="AO41" i="1"/>
  <c r="AN41" i="1"/>
  <c r="AM41" i="1"/>
  <c r="AL41" i="1"/>
  <c r="AJ41" i="1"/>
  <c r="AI41" i="1"/>
  <c r="AH41" i="1"/>
  <c r="AG41" i="1"/>
  <c r="AE41" i="1"/>
  <c r="AD41" i="1"/>
  <c r="AC41" i="1"/>
  <c r="AB41" i="1"/>
  <c r="AA41" i="1"/>
  <c r="Y41" i="1"/>
  <c r="X41" i="1"/>
  <c r="W41" i="1"/>
  <c r="V41" i="1"/>
  <c r="U41" i="1"/>
  <c r="U9" i="1" s="1"/>
  <c r="T41" i="1"/>
  <c r="T9" i="1" s="1"/>
  <c r="S41" i="1"/>
  <c r="R41" i="1"/>
  <c r="Q41" i="1"/>
  <c r="P41" i="1"/>
  <c r="AQ41" i="1" s="1"/>
  <c r="O41" i="1"/>
  <c r="N41" i="1"/>
  <c r="M41" i="1"/>
  <c r="L41" i="1"/>
  <c r="K41" i="1"/>
  <c r="J41" i="1"/>
  <c r="I41" i="1"/>
  <c r="H41" i="1"/>
  <c r="G41" i="1"/>
  <c r="F41" i="1"/>
  <c r="AQ40" i="1"/>
  <c r="AR40" i="1" s="1"/>
  <c r="AF40" i="1"/>
  <c r="AQ39" i="1"/>
  <c r="AM39" i="1"/>
  <c r="AK39" i="1"/>
  <c r="AF39" i="1"/>
  <c r="Z39" i="1"/>
  <c r="E39" i="1"/>
  <c r="AQ38" i="1"/>
  <c r="AM38" i="1"/>
  <c r="AK38" i="1"/>
  <c r="AF38" i="1"/>
  <c r="Z38" i="1"/>
  <c r="E38" i="1"/>
  <c r="C38" i="1"/>
  <c r="AR38" i="1" s="1"/>
  <c r="AQ37" i="1"/>
  <c r="AM37" i="1"/>
  <c r="AK37" i="1"/>
  <c r="AF37" i="1"/>
  <c r="Z37" i="1"/>
  <c r="E37" i="1"/>
  <c r="D37" i="1"/>
  <c r="C37" i="1"/>
  <c r="AR37" i="1" s="1"/>
  <c r="AQ36" i="1"/>
  <c r="AM36" i="1"/>
  <c r="AK36" i="1" s="1"/>
  <c r="C36" i="1" s="1"/>
  <c r="AR36" i="1" s="1"/>
  <c r="AF36" i="1"/>
  <c r="Z36" i="1"/>
  <c r="E36" i="1"/>
  <c r="D36" i="1"/>
  <c r="AQ35" i="1"/>
  <c r="AM35" i="1"/>
  <c r="AF35" i="1"/>
  <c r="Z35" i="1"/>
  <c r="E35" i="1"/>
  <c r="AQ34" i="1"/>
  <c r="AM34" i="1"/>
  <c r="AK34" i="1"/>
  <c r="AF34" i="1"/>
  <c r="Z34" i="1"/>
  <c r="E34" i="1"/>
  <c r="C34" i="1" s="1"/>
  <c r="AR34" i="1" s="1"/>
  <c r="D34" i="1"/>
  <c r="AQ33" i="1"/>
  <c r="AM33" i="1"/>
  <c r="AK33" i="1"/>
  <c r="AF33" i="1"/>
  <c r="Z33" i="1"/>
  <c r="Z32" i="1" s="1"/>
  <c r="E33" i="1"/>
  <c r="D33" i="1"/>
  <c r="C33" i="1"/>
  <c r="AR33" i="1" s="1"/>
  <c r="AP32" i="1"/>
  <c r="AO32" i="1"/>
  <c r="AN32" i="1"/>
  <c r="AL32" i="1"/>
  <c r="AJ32" i="1"/>
  <c r="AI32" i="1"/>
  <c r="AH32" i="1"/>
  <c r="AG32" i="1"/>
  <c r="AF32" i="1"/>
  <c r="AE32" i="1"/>
  <c r="AD32" i="1"/>
  <c r="AC32" i="1"/>
  <c r="AB32" i="1"/>
  <c r="AA32" i="1"/>
  <c r="Y32" i="1"/>
  <c r="X32" i="1"/>
  <c r="W32" i="1"/>
  <c r="V32" i="1"/>
  <c r="U32" i="1"/>
  <c r="T32" i="1"/>
  <c r="S32" i="1"/>
  <c r="R32" i="1"/>
  <c r="Q32" i="1"/>
  <c r="P32" i="1"/>
  <c r="O32" i="1"/>
  <c r="N32" i="1"/>
  <c r="M32" i="1"/>
  <c r="L32" i="1"/>
  <c r="K32" i="1"/>
  <c r="J32" i="1"/>
  <c r="I32" i="1"/>
  <c r="H32" i="1"/>
  <c r="G32" i="1"/>
  <c r="F32" i="1"/>
  <c r="D32" i="1"/>
  <c r="AQ31" i="1"/>
  <c r="AR31" i="1" s="1"/>
  <c r="AF31" i="1"/>
  <c r="AQ30" i="1"/>
  <c r="AM30" i="1"/>
  <c r="AK30" i="1"/>
  <c r="AF30" i="1"/>
  <c r="C30" i="1" s="1"/>
  <c r="AR30" i="1" s="1"/>
  <c r="Z30" i="1"/>
  <c r="E30" i="1"/>
  <c r="D30" i="1"/>
  <c r="AQ29" i="1"/>
  <c r="AM29" i="1"/>
  <c r="AK29" i="1" s="1"/>
  <c r="C29" i="1" s="1"/>
  <c r="AR29" i="1" s="1"/>
  <c r="AF29" i="1"/>
  <c r="Z29" i="1"/>
  <c r="E29" i="1"/>
  <c r="D29" i="1"/>
  <c r="AQ28" i="1"/>
  <c r="AR28" i="1" s="1"/>
  <c r="AF28" i="1"/>
  <c r="AP27" i="1"/>
  <c r="AP25" i="1" s="1"/>
  <c r="AO27" i="1"/>
  <c r="AN27" i="1"/>
  <c r="AM27" i="1"/>
  <c r="AL27" i="1"/>
  <c r="AL25" i="1" s="1"/>
  <c r="AK27" i="1"/>
  <c r="AF27" i="1"/>
  <c r="AE27" i="1"/>
  <c r="AE25" i="1" s="1"/>
  <c r="AD27" i="1"/>
  <c r="AC27" i="1"/>
  <c r="AB27" i="1"/>
  <c r="Z27" i="1" s="1"/>
  <c r="C27" i="1" s="1"/>
  <c r="AA27" i="1"/>
  <c r="E27" i="1"/>
  <c r="AQ26" i="1"/>
  <c r="AM26" i="1"/>
  <c r="AM25" i="1" s="1"/>
  <c r="AK26" i="1"/>
  <c r="AK25" i="1" s="1"/>
  <c r="AF26" i="1"/>
  <c r="AF25" i="1" s="1"/>
  <c r="Z26" i="1"/>
  <c r="E26" i="1"/>
  <c r="D26" i="1"/>
  <c r="AO25" i="1"/>
  <c r="AN25" i="1"/>
  <c r="AN20" i="1" s="1"/>
  <c r="AJ25" i="1"/>
  <c r="AJ20" i="1" s="1"/>
  <c r="AJ9" i="1" s="1"/>
  <c r="AI25" i="1"/>
  <c r="AH25" i="1"/>
  <c r="AG25" i="1"/>
  <c r="AD25" i="1"/>
  <c r="AD20" i="1" s="1"/>
  <c r="AC25" i="1"/>
  <c r="AC20" i="1" s="1"/>
  <c r="AA25" i="1"/>
  <c r="Z25" i="1"/>
  <c r="Y25" i="1"/>
  <c r="X25" i="1"/>
  <c r="W25" i="1"/>
  <c r="V25" i="1"/>
  <c r="U25" i="1"/>
  <c r="T25" i="1"/>
  <c r="S25" i="1"/>
  <c r="R25" i="1"/>
  <c r="Q25" i="1"/>
  <c r="P25" i="1"/>
  <c r="O25" i="1"/>
  <c r="N25" i="1"/>
  <c r="M25" i="1"/>
  <c r="L25" i="1"/>
  <c r="K25" i="1"/>
  <c r="J25" i="1"/>
  <c r="I25" i="1"/>
  <c r="H25" i="1"/>
  <c r="G25" i="1"/>
  <c r="G20" i="1" s="1"/>
  <c r="F25" i="1"/>
  <c r="F20" i="1" s="1"/>
  <c r="AQ24" i="1"/>
  <c r="AR24" i="1" s="1"/>
  <c r="AF24" i="1"/>
  <c r="AM23" i="1"/>
  <c r="AK23" i="1"/>
  <c r="AK21" i="1" s="1"/>
  <c r="AF23" i="1"/>
  <c r="Z23" i="1"/>
  <c r="Y23" i="1"/>
  <c r="Y21" i="1" s="1"/>
  <c r="X23" i="1"/>
  <c r="X21" i="1" s="1"/>
  <c r="X20" i="1" s="1"/>
  <c r="W23" i="1"/>
  <c r="E23" i="1"/>
  <c r="D23" i="1"/>
  <c r="D21" i="1" s="1"/>
  <c r="AQ22" i="1"/>
  <c r="AM22" i="1"/>
  <c r="AK22" i="1"/>
  <c r="AF22" i="1"/>
  <c r="Z22" i="1"/>
  <c r="E22" i="1"/>
  <c r="C22" i="1" s="1"/>
  <c r="D22" i="1"/>
  <c r="AP21" i="1"/>
  <c r="AP20" i="1" s="1"/>
  <c r="AO21" i="1"/>
  <c r="AO20" i="1" s="1"/>
  <c r="AN21" i="1"/>
  <c r="AM21" i="1"/>
  <c r="AL21" i="1"/>
  <c r="AL20" i="1" s="1"/>
  <c r="AH21" i="1"/>
  <c r="AG21" i="1"/>
  <c r="AG20" i="1" s="1"/>
  <c r="AF21" i="1"/>
  <c r="AE21" i="1"/>
  <c r="AE20" i="1" s="1"/>
  <c r="AD21" i="1"/>
  <c r="AC21" i="1"/>
  <c r="AB21" i="1"/>
  <c r="AA21" i="1"/>
  <c r="Z21" i="1"/>
  <c r="V21" i="1"/>
  <c r="U21" i="1"/>
  <c r="U20" i="1" s="1"/>
  <c r="T21" i="1"/>
  <c r="S21" i="1"/>
  <c r="R21" i="1"/>
  <c r="Q21" i="1"/>
  <c r="P21" i="1"/>
  <c r="P20" i="1" s="1"/>
  <c r="O21" i="1"/>
  <c r="N21" i="1"/>
  <c r="N20" i="1" s="1"/>
  <c r="M21" i="1"/>
  <c r="M20" i="1" s="1"/>
  <c r="L21" i="1"/>
  <c r="L20" i="1" s="1"/>
  <c r="K21" i="1"/>
  <c r="J21" i="1"/>
  <c r="I21" i="1"/>
  <c r="H21" i="1"/>
  <c r="G21" i="1"/>
  <c r="AI20" i="1"/>
  <c r="AH20" i="1"/>
  <c r="AA20" i="1"/>
  <c r="AA9" i="1" s="1"/>
  <c r="T20" i="1"/>
  <c r="S20" i="1"/>
  <c r="R20" i="1"/>
  <c r="Q20" i="1"/>
  <c r="O20" i="1"/>
  <c r="K20" i="1"/>
  <c r="J20" i="1"/>
  <c r="J9" i="1" s="1"/>
  <c r="I20" i="1"/>
  <c r="AQ19" i="1"/>
  <c r="AR19" i="1" s="1"/>
  <c r="AF19" i="1"/>
  <c r="AM18" i="1"/>
  <c r="AK18" i="1"/>
  <c r="AF18" i="1"/>
  <c r="Z18" i="1"/>
  <c r="F18" i="1"/>
  <c r="E18" i="1"/>
  <c r="D18" i="1"/>
  <c r="AP17" i="1"/>
  <c r="AO17" i="1"/>
  <c r="AO15" i="1" s="1"/>
  <c r="AN17" i="1"/>
  <c r="AM17" i="1"/>
  <c r="AL17" i="1"/>
  <c r="AF17" i="1"/>
  <c r="AE17" i="1"/>
  <c r="AD17" i="1"/>
  <c r="AC17" i="1"/>
  <c r="AB17" i="1"/>
  <c r="Z17" i="1"/>
  <c r="R17" i="1"/>
  <c r="P17" i="1"/>
  <c r="P15" i="1" s="1"/>
  <c r="P9" i="1" s="1"/>
  <c r="O17" i="1"/>
  <c r="M17" i="1"/>
  <c r="L17" i="1"/>
  <c r="J17" i="1"/>
  <c r="I17" i="1"/>
  <c r="H17" i="1"/>
  <c r="G17" i="1"/>
  <c r="AN16" i="1"/>
  <c r="AN15" i="1" s="1"/>
  <c r="AM16" i="1"/>
  <c r="AF16" i="1"/>
  <c r="AE16" i="1"/>
  <c r="AC16" i="1"/>
  <c r="AB16" i="1"/>
  <c r="AA16" i="1"/>
  <c r="Z16" i="1"/>
  <c r="P16" i="1"/>
  <c r="O16" i="1"/>
  <c r="N16" i="1"/>
  <c r="N15" i="1" s="1"/>
  <c r="M16" i="1"/>
  <c r="L16" i="1"/>
  <c r="J16" i="1"/>
  <c r="I16" i="1"/>
  <c r="H16" i="1"/>
  <c r="G16" i="1"/>
  <c r="AP15" i="1"/>
  <c r="AG15" i="1"/>
  <c r="AE15" i="1"/>
  <c r="AD15" i="1"/>
  <c r="AC15" i="1"/>
  <c r="AB15" i="1"/>
  <c r="AA15" i="1"/>
  <c r="Z15" i="1"/>
  <c r="Y15" i="1"/>
  <c r="X15" i="1"/>
  <c r="W15" i="1"/>
  <c r="V15" i="1"/>
  <c r="U15" i="1"/>
  <c r="T15" i="1"/>
  <c r="S15" i="1"/>
  <c r="R15" i="1"/>
  <c r="Q15" i="1"/>
  <c r="K15" i="1"/>
  <c r="J15" i="1"/>
  <c r="H15" i="1"/>
  <c r="AQ14" i="1"/>
  <c r="AR14" i="1" s="1"/>
  <c r="AF14" i="1"/>
  <c r="AM13" i="1"/>
  <c r="AK13" i="1" s="1"/>
  <c r="AF13" i="1"/>
  <c r="AF11" i="1" s="1"/>
  <c r="AE13" i="1"/>
  <c r="AB13" i="1"/>
  <c r="U13" i="1"/>
  <c r="E13" i="1"/>
  <c r="AQ12" i="1"/>
  <c r="AM12" i="1"/>
  <c r="AM11" i="1" s="1"/>
  <c r="AL12" i="1"/>
  <c r="AF12" i="1"/>
  <c r="Z12" i="1"/>
  <c r="E12" i="1"/>
  <c r="E11" i="1" s="1"/>
  <c r="AP11" i="1"/>
  <c r="AO11" i="1"/>
  <c r="AN11" i="1"/>
  <c r="AJ11" i="1"/>
  <c r="AI11" i="1"/>
  <c r="AH11" i="1"/>
  <c r="AH9" i="1" s="1"/>
  <c r="AG11" i="1"/>
  <c r="AE11" i="1"/>
  <c r="AE9" i="1" s="1"/>
  <c r="AD11" i="1"/>
  <c r="AD9" i="1" s="1"/>
  <c r="AC11" i="1"/>
  <c r="AC9" i="1" s="1"/>
  <c r="AA11" i="1"/>
  <c r="Y11" i="1"/>
  <c r="X11" i="1"/>
  <c r="W11" i="1"/>
  <c r="V11" i="1"/>
  <c r="U11" i="1"/>
  <c r="T11" i="1"/>
  <c r="S11" i="1"/>
  <c r="R11" i="1"/>
  <c r="Q11" i="1"/>
  <c r="P11" i="1"/>
  <c r="O11" i="1"/>
  <c r="N11" i="1"/>
  <c r="M11" i="1"/>
  <c r="L11" i="1"/>
  <c r="K11" i="1"/>
  <c r="J11" i="1"/>
  <c r="I11" i="1"/>
  <c r="H11" i="1"/>
  <c r="G11" i="1"/>
  <c r="F11" i="1"/>
  <c r="AV10" i="1"/>
  <c r="AQ10" i="1"/>
  <c r="AR10" i="1" s="1"/>
  <c r="AF10" i="1"/>
  <c r="AV9" i="1"/>
  <c r="AI9" i="1"/>
  <c r="AR8" i="1"/>
  <c r="AQ8" i="1"/>
  <c r="AN3" i="1"/>
  <c r="C78" i="1" l="1"/>
  <c r="D67" i="1"/>
  <c r="C67" i="1"/>
  <c r="AL70" i="1"/>
  <c r="AQ78" i="1"/>
  <c r="AQ110" i="1"/>
  <c r="AK163" i="1"/>
  <c r="C163" i="1" s="1"/>
  <c r="AR163" i="1" s="1"/>
  <c r="AK119" i="1"/>
  <c r="AK128" i="1"/>
  <c r="AK58" i="1"/>
  <c r="AK61" i="1"/>
  <c r="C61" i="1" s="1"/>
  <c r="AR61" i="1" s="1"/>
  <c r="AQ67" i="1"/>
  <c r="D65" i="1"/>
  <c r="D135" i="1"/>
  <c r="AL160" i="1"/>
  <c r="AK59" i="1"/>
  <c r="C59" i="1" s="1"/>
  <c r="AQ118" i="1"/>
  <c r="AL231" i="1"/>
  <c r="C68" i="1"/>
  <c r="K80" i="1"/>
  <c r="AK250" i="1"/>
  <c r="AK249" i="1" s="1"/>
  <c r="C162" i="1"/>
  <c r="AK135" i="1"/>
  <c r="C135" i="1" s="1"/>
  <c r="AR135" i="1" s="1"/>
  <c r="AQ135" i="1"/>
  <c r="C66" i="1"/>
  <c r="Q118" i="1"/>
  <c r="E119" i="1"/>
  <c r="D66" i="1"/>
  <c r="D119" i="1"/>
  <c r="D118" i="1" s="1"/>
  <c r="H43" i="2"/>
  <c r="H40" i="2" s="1"/>
  <c r="C85" i="2"/>
  <c r="C40" i="2"/>
  <c r="I71" i="2"/>
  <c r="I70" i="2" s="1"/>
  <c r="I69" i="2" s="1"/>
  <c r="I62" i="2" s="1"/>
  <c r="C58" i="2"/>
  <c r="C57" i="2" s="1"/>
  <c r="D76" i="2"/>
  <c r="D75" i="2" s="1"/>
  <c r="C75" i="2" s="1"/>
  <c r="D28" i="2"/>
  <c r="C28" i="2" s="1"/>
  <c r="F31" i="2"/>
  <c r="G31" i="2"/>
  <c r="G91" i="2"/>
  <c r="G87" i="2" s="1"/>
  <c r="G82" i="2" s="1"/>
  <c r="G81" i="2" s="1"/>
  <c r="F87" i="2"/>
  <c r="F82" i="2" s="1"/>
  <c r="F81" i="2" s="1"/>
  <c r="G65" i="2"/>
  <c r="G63" i="2" s="1"/>
  <c r="G62" i="2" s="1"/>
  <c r="I82" i="2"/>
  <c r="I81" i="2" s="1"/>
  <c r="I61" i="2" s="1"/>
  <c r="J87" i="2"/>
  <c r="J82" i="2" s="1"/>
  <c r="J81" i="2" s="1"/>
  <c r="G14" i="2"/>
  <c r="G12" i="2" s="1"/>
  <c r="G10" i="2" s="1"/>
  <c r="H52" i="2"/>
  <c r="H51" i="2" s="1"/>
  <c r="C65" i="2"/>
  <c r="F27" i="2"/>
  <c r="F14" i="2" s="1"/>
  <c r="F12" i="2" s="1"/>
  <c r="F10" i="2" s="1"/>
  <c r="H14" i="2"/>
  <c r="J31" i="2"/>
  <c r="H91" i="2"/>
  <c r="H87" i="2" s="1"/>
  <c r="I14" i="2"/>
  <c r="J14" i="2"/>
  <c r="H62" i="2"/>
  <c r="H31" i="2"/>
  <c r="J62" i="2"/>
  <c r="E33" i="2"/>
  <c r="E32" i="2" s="1"/>
  <c r="E31" i="2" s="1"/>
  <c r="C38" i="2"/>
  <c r="C33" i="2" s="1"/>
  <c r="D33" i="2"/>
  <c r="D32" i="2" s="1"/>
  <c r="D31" i="2" s="1"/>
  <c r="C83" i="2"/>
  <c r="H83" i="2"/>
  <c r="C84" i="2"/>
  <c r="E14" i="2"/>
  <c r="D53" i="2"/>
  <c r="E52" i="2"/>
  <c r="E51" i="2" s="1"/>
  <c r="D91" i="2"/>
  <c r="D87" i="2" s="1"/>
  <c r="D82" i="2" s="1"/>
  <c r="D81" i="2" s="1"/>
  <c r="D63" i="2"/>
  <c r="C88" i="2"/>
  <c r="D71" i="2"/>
  <c r="D70" i="2" s="1"/>
  <c r="D69" i="2" s="1"/>
  <c r="C72" i="2"/>
  <c r="C49" i="2"/>
  <c r="I46" i="2"/>
  <c r="I45" i="2" s="1"/>
  <c r="I31" i="2" s="1"/>
  <c r="I12" i="2" s="1"/>
  <c r="I10" i="2" s="1"/>
  <c r="D65" i="2"/>
  <c r="C76" i="2"/>
  <c r="D24" i="2"/>
  <c r="F62" i="2"/>
  <c r="E71" i="2"/>
  <c r="E70" i="2" s="1"/>
  <c r="E69" i="2" s="1"/>
  <c r="E62" i="2" s="1"/>
  <c r="E61" i="2" s="1"/>
  <c r="C16" i="2"/>
  <c r="D20" i="2"/>
  <c r="C91" i="2"/>
  <c r="AJ80" i="1"/>
  <c r="AF70" i="1"/>
  <c r="AQ236" i="1"/>
  <c r="G9" i="1"/>
  <c r="AQ68" i="1"/>
  <c r="AQ139" i="1"/>
  <c r="AJ138" i="1"/>
  <c r="AQ138" i="1" s="1"/>
  <c r="L15" i="1"/>
  <c r="L9" i="1" s="1"/>
  <c r="L7" i="1" s="1"/>
  <c r="E16" i="1"/>
  <c r="D16" i="1"/>
  <c r="E82" i="1"/>
  <c r="D82" i="1"/>
  <c r="D81" i="1" s="1"/>
  <c r="L81" i="1"/>
  <c r="L80" i="1" s="1"/>
  <c r="N9" i="1"/>
  <c r="AM48" i="1"/>
  <c r="E123" i="1"/>
  <c r="C124" i="1"/>
  <c r="AQ82" i="1"/>
  <c r="AQ157" i="1"/>
  <c r="D157" i="1"/>
  <c r="D156" i="1" s="1"/>
  <c r="Z157" i="1"/>
  <c r="AQ214" i="1"/>
  <c r="T7" i="1"/>
  <c r="U54" i="1"/>
  <c r="K231" i="1"/>
  <c r="U7" i="1"/>
  <c r="AQ161" i="1"/>
  <c r="C119" i="1"/>
  <c r="E118" i="1"/>
  <c r="AK157" i="1"/>
  <c r="AK156" i="1" s="1"/>
  <c r="AQ164" i="1"/>
  <c r="AA160" i="1"/>
  <c r="W9" i="1"/>
  <c r="Q231" i="1"/>
  <c r="AO231" i="1"/>
  <c r="AI54" i="1"/>
  <c r="AI7" i="1" s="1"/>
  <c r="AD7" i="1"/>
  <c r="C102" i="1"/>
  <c r="E101" i="1"/>
  <c r="E17" i="1"/>
  <c r="C17" i="1" s="1"/>
  <c r="AR17" i="1" s="1"/>
  <c r="AQ17" i="1"/>
  <c r="D17" i="1"/>
  <c r="E114" i="1"/>
  <c r="C115" i="1"/>
  <c r="AK48" i="1"/>
  <c r="AK149" i="1"/>
  <c r="C150" i="1"/>
  <c r="O15" i="1"/>
  <c r="O9" i="1" s="1"/>
  <c r="X54" i="1"/>
  <c r="AR49" i="1"/>
  <c r="R54" i="1"/>
  <c r="AQ142" i="1"/>
  <c r="C152" i="1"/>
  <c r="AR152" i="1" s="1"/>
  <c r="Z149" i="1"/>
  <c r="AQ200" i="1"/>
  <c r="AF20" i="1"/>
  <c r="AF9" i="1" s="1"/>
  <c r="H20" i="1"/>
  <c r="H9" i="1" s="1"/>
  <c r="H7" i="1" s="1"/>
  <c r="AQ21" i="1"/>
  <c r="AA156" i="1"/>
  <c r="AA147" i="1" s="1"/>
  <c r="Z13" i="1"/>
  <c r="C13" i="1" s="1"/>
  <c r="D13" i="1"/>
  <c r="AQ13" i="1"/>
  <c r="AF116" i="1"/>
  <c r="AQ116" i="1"/>
  <c r="AK183" i="1"/>
  <c r="AP231" i="1"/>
  <c r="C139" i="1"/>
  <c r="AF138" i="1"/>
  <c r="E176" i="1"/>
  <c r="D176" i="1"/>
  <c r="AQ176" i="1"/>
  <c r="M15" i="1"/>
  <c r="M9" i="1" s="1"/>
  <c r="Z134" i="1"/>
  <c r="C134" i="1" s="1"/>
  <c r="AR134" i="1" s="1"/>
  <c r="AC128" i="1"/>
  <c r="D134" i="1"/>
  <c r="AF81" i="1"/>
  <c r="AF80" i="1" s="1"/>
  <c r="AQ25" i="1"/>
  <c r="AM169" i="1"/>
  <c r="D35" i="1"/>
  <c r="AM128" i="1"/>
  <c r="AK35" i="1"/>
  <c r="AM32" i="1"/>
  <c r="AM20" i="1" s="1"/>
  <c r="AM9" i="1" s="1"/>
  <c r="C39" i="1"/>
  <c r="AR39" i="1" s="1"/>
  <c r="E32" i="1"/>
  <c r="D245" i="1"/>
  <c r="X9" i="1"/>
  <c r="P231" i="1"/>
  <c r="AN231" i="1"/>
  <c r="AM54" i="1"/>
  <c r="AL147" i="1"/>
  <c r="AB11" i="1"/>
  <c r="AB9" i="1" s="1"/>
  <c r="AB7" i="1" s="1"/>
  <c r="M80" i="1"/>
  <c r="M54" i="1" s="1"/>
  <c r="AQ114" i="1"/>
  <c r="O147" i="1"/>
  <c r="AL183" i="1"/>
  <c r="C189" i="1"/>
  <c r="AR189" i="1" s="1"/>
  <c r="AR158" i="1"/>
  <c r="D174" i="1"/>
  <c r="F173" i="1"/>
  <c r="E174" i="1"/>
  <c r="F197" i="1"/>
  <c r="AQ197" i="1" s="1"/>
  <c r="AQ199" i="1"/>
  <c r="G205" i="1"/>
  <c r="C224" i="1"/>
  <c r="AR224" i="1" s="1"/>
  <c r="AR225" i="1"/>
  <c r="AL15" i="1"/>
  <c r="AK17" i="1"/>
  <c r="C130" i="1"/>
  <c r="AK236" i="1"/>
  <c r="AK231" i="1" s="1"/>
  <c r="H54" i="1"/>
  <c r="D71" i="1"/>
  <c r="D70" i="1" s="1"/>
  <c r="Z71" i="1"/>
  <c r="AQ71" i="1"/>
  <c r="AA70" i="1"/>
  <c r="AQ70" i="1" s="1"/>
  <c r="C250" i="1"/>
  <c r="E249" i="1"/>
  <c r="AF63" i="1"/>
  <c r="I54" i="1"/>
  <c r="AF118" i="1"/>
  <c r="AQ211" i="1"/>
  <c r="D211" i="1"/>
  <c r="E211" i="1"/>
  <c r="C211" i="1" s="1"/>
  <c r="AR211" i="1" s="1"/>
  <c r="D222" i="1"/>
  <c r="AF222" i="1"/>
  <c r="C222" i="1" s="1"/>
  <c r="AR222" i="1" s="1"/>
  <c r="AL56" i="1"/>
  <c r="W80" i="1"/>
  <c r="W54" i="1" s="1"/>
  <c r="AM173" i="1"/>
  <c r="AK80" i="1"/>
  <c r="D114" i="1"/>
  <c r="K207" i="1"/>
  <c r="K205" i="1" s="1"/>
  <c r="E208" i="1"/>
  <c r="D208" i="1"/>
  <c r="D207" i="1" s="1"/>
  <c r="C32" i="1"/>
  <c r="AR32" i="1" s="1"/>
  <c r="AK32" i="1"/>
  <c r="AK20" i="1" s="1"/>
  <c r="N54" i="1"/>
  <c r="AN54" i="1"/>
  <c r="E110" i="1"/>
  <c r="C110" i="1" s="1"/>
  <c r="C165" i="1"/>
  <c r="AR165" i="1" s="1"/>
  <c r="J173" i="1"/>
  <c r="J147" i="1" s="1"/>
  <c r="AQ179" i="1"/>
  <c r="AK211" i="1"/>
  <c r="AK207" i="1" s="1"/>
  <c r="AK205" i="1" s="1"/>
  <c r="AQ222" i="1"/>
  <c r="R241" i="1"/>
  <c r="R231" i="1" s="1"/>
  <c r="AJ252" i="1"/>
  <c r="AG9" i="1"/>
  <c r="AL63" i="1"/>
  <c r="D64" i="1"/>
  <c r="AR266" i="1"/>
  <c r="C265" i="1"/>
  <c r="C23" i="1"/>
  <c r="F54" i="1"/>
  <c r="AQ63" i="1"/>
  <c r="AQ23" i="1"/>
  <c r="W21" i="1"/>
  <c r="W20" i="1" s="1"/>
  <c r="AQ208" i="1"/>
  <c r="AK214" i="1"/>
  <c r="AQ224" i="1"/>
  <c r="H231" i="1"/>
  <c r="AG231" i="1"/>
  <c r="C239" i="1"/>
  <c r="AR239" i="1" s="1"/>
  <c r="AQ81" i="1"/>
  <c r="K9" i="1"/>
  <c r="AP9" i="1"/>
  <c r="AP7" i="1" s="1"/>
  <c r="G15" i="1"/>
  <c r="F15" i="1"/>
  <c r="F9" i="1" s="1"/>
  <c r="AQ18" i="1"/>
  <c r="C72" i="1"/>
  <c r="AR72" i="1" s="1"/>
  <c r="E70" i="1"/>
  <c r="AQ112" i="1"/>
  <c r="AR112" i="1" s="1"/>
  <c r="N147" i="1"/>
  <c r="C171" i="1"/>
  <c r="AR171" i="1" s="1"/>
  <c r="AQ242" i="1"/>
  <c r="AQ48" i="1"/>
  <c r="AQ162" i="1"/>
  <c r="AR162" i="1" s="1"/>
  <c r="D162" i="1"/>
  <c r="AM15" i="1"/>
  <c r="AK16" i="1"/>
  <c r="AR22" i="1"/>
  <c r="E41" i="1"/>
  <c r="Z75" i="1"/>
  <c r="C76" i="1"/>
  <c r="D130" i="1"/>
  <c r="AQ130" i="1"/>
  <c r="Q128" i="1"/>
  <c r="E149" i="1"/>
  <c r="AF176" i="1"/>
  <c r="AF173" i="1" s="1"/>
  <c r="AF147" i="1" s="1"/>
  <c r="AJ173" i="1"/>
  <c r="AJ147" i="1" s="1"/>
  <c r="AQ66" i="1"/>
  <c r="AR66" i="1" s="1"/>
  <c r="E84" i="1"/>
  <c r="C84" i="1" s="1"/>
  <c r="D84" i="1"/>
  <c r="AQ84" i="1"/>
  <c r="V81" i="1"/>
  <c r="V80" i="1" s="1"/>
  <c r="AQ150" i="1"/>
  <c r="K149" i="1"/>
  <c r="AK173" i="1"/>
  <c r="AR179" i="1"/>
  <c r="M205" i="1"/>
  <c r="AR242" i="1"/>
  <c r="D250" i="1"/>
  <c r="D249" i="1" s="1"/>
  <c r="W249" i="1"/>
  <c r="AQ249" i="1" s="1"/>
  <c r="AQ250" i="1"/>
  <c r="AQ254" i="1"/>
  <c r="AQ265" i="1"/>
  <c r="AF41" i="1"/>
  <c r="L54" i="1"/>
  <c r="AK63" i="1"/>
  <c r="AR74" i="1"/>
  <c r="W147" i="1"/>
  <c r="AR201" i="1"/>
  <c r="C200" i="1"/>
  <c r="K228" i="1"/>
  <c r="AQ228" i="1" s="1"/>
  <c r="AQ229" i="1"/>
  <c r="E229" i="1"/>
  <c r="D229" i="1"/>
  <c r="D228" i="1" s="1"/>
  <c r="AQ64" i="1"/>
  <c r="AR64" i="1" s="1"/>
  <c r="AM80" i="1"/>
  <c r="AQ174" i="1"/>
  <c r="Z200" i="1"/>
  <c r="Z199" i="1" s="1"/>
  <c r="Z197" i="1" s="1"/>
  <c r="AF207" i="1"/>
  <c r="AL205" i="1"/>
  <c r="Z241" i="1"/>
  <c r="Z231" i="1" s="1"/>
  <c r="C245" i="1"/>
  <c r="C41" i="1"/>
  <c r="AR41" i="1" s="1"/>
  <c r="P54" i="1"/>
  <c r="P7" i="1" s="1"/>
  <c r="E136" i="1"/>
  <c r="C136" i="1" s="1"/>
  <c r="AR136" i="1" s="1"/>
  <c r="D136" i="1"/>
  <c r="E247" i="1"/>
  <c r="C247" i="1" s="1"/>
  <c r="D247" i="1"/>
  <c r="AQ247" i="1"/>
  <c r="C18" i="1"/>
  <c r="C142" i="1"/>
  <c r="AM207" i="1"/>
  <c r="AR218" i="1"/>
  <c r="I15" i="1"/>
  <c r="I9" i="1" s="1"/>
  <c r="I7" i="1" s="1"/>
  <c r="E56" i="1"/>
  <c r="C57" i="1"/>
  <c r="AQ59" i="1"/>
  <c r="AQ75" i="1"/>
  <c r="AL11" i="1"/>
  <c r="AL9" i="1" s="1"/>
  <c r="AK12" i="1"/>
  <c r="AK11" i="1" s="1"/>
  <c r="D12" i="1"/>
  <c r="D11" i="1" s="1"/>
  <c r="Y20" i="1"/>
  <c r="Y9" i="1" s="1"/>
  <c r="Y7" i="1" s="1"/>
  <c r="C26" i="1"/>
  <c r="E25" i="1"/>
  <c r="Y70" i="1"/>
  <c r="AQ72" i="1"/>
  <c r="AF75" i="1"/>
  <c r="K128" i="1"/>
  <c r="E161" i="1"/>
  <c r="D161" i="1"/>
  <c r="K160" i="1"/>
  <c r="C192" i="1"/>
  <c r="AR192" i="1" s="1"/>
  <c r="U205" i="1"/>
  <c r="E209" i="1"/>
  <c r="C209" i="1" s="1"/>
  <c r="D209" i="1"/>
  <c r="AQ209" i="1"/>
  <c r="C255" i="1"/>
  <c r="E254" i="1"/>
  <c r="C258" i="1"/>
  <c r="E257" i="1"/>
  <c r="C237" i="1"/>
  <c r="AK41" i="1"/>
  <c r="V54" i="1"/>
  <c r="Z81" i="1"/>
  <c r="C88" i="1"/>
  <c r="C111" i="1"/>
  <c r="D142" i="1"/>
  <c r="C167" i="1"/>
  <c r="AR167" i="1" s="1"/>
  <c r="H205" i="1"/>
  <c r="AE205" i="1"/>
  <c r="D210" i="1"/>
  <c r="AH254" i="1"/>
  <c r="AH252" i="1" s="1"/>
  <c r="AQ255" i="1"/>
  <c r="AF257" i="1"/>
  <c r="AF252" i="1" s="1"/>
  <c r="AO9" i="1"/>
  <c r="AO7" i="1" s="1"/>
  <c r="C60" i="1"/>
  <c r="AR60" i="1" s="1"/>
  <c r="C65" i="1"/>
  <c r="AR65" i="1" s="1"/>
  <c r="P80" i="1"/>
  <c r="D89" i="1"/>
  <c r="D88" i="1" s="1"/>
  <c r="D111" i="1"/>
  <c r="AQ111" i="1"/>
  <c r="E142" i="1"/>
  <c r="AB147" i="1"/>
  <c r="AF210" i="1"/>
  <c r="C216" i="1"/>
  <c r="AR216" i="1" s="1"/>
  <c r="D237" i="1"/>
  <c r="D236" i="1" s="1"/>
  <c r="AE236" i="1"/>
  <c r="AE231" i="1" s="1"/>
  <c r="AQ237" i="1"/>
  <c r="AI252" i="1"/>
  <c r="AB25" i="1"/>
  <c r="AB20" i="1" s="1"/>
  <c r="E88" i="1"/>
  <c r="Z142" i="1"/>
  <c r="AP147" i="1"/>
  <c r="AH205" i="1"/>
  <c r="Y231" i="1"/>
  <c r="AF236" i="1"/>
  <c r="AF231" i="1" s="1"/>
  <c r="AK257" i="1"/>
  <c r="AK252" i="1" s="1"/>
  <c r="R9" i="1"/>
  <c r="R7" i="1" s="1"/>
  <c r="AQ27" i="1"/>
  <c r="AR27" i="1" s="1"/>
  <c r="D27" i="1"/>
  <c r="D25" i="1" s="1"/>
  <c r="D20" i="1" s="1"/>
  <c r="Y54" i="1"/>
  <c r="J54" i="1"/>
  <c r="J7" i="1" s="1"/>
  <c r="AQ108" i="1"/>
  <c r="AR108" i="1" s="1"/>
  <c r="AJ101" i="1"/>
  <c r="E120" i="1"/>
  <c r="C120" i="1" s="1"/>
  <c r="AR120" i="1" s="1"/>
  <c r="C151" i="1"/>
  <c r="AR151" i="1" s="1"/>
  <c r="AG147" i="1"/>
  <c r="AM164" i="1"/>
  <c r="C170" i="1"/>
  <c r="V231" i="1"/>
  <c r="AF271" i="1"/>
  <c r="Q9" i="1"/>
  <c r="S9" i="1"/>
  <c r="S7" i="1" s="1"/>
  <c r="E21" i="1"/>
  <c r="E20" i="1" s="1"/>
  <c r="AC54" i="1"/>
  <c r="AC7" i="1" s="1"/>
  <c r="AG70" i="1"/>
  <c r="AG54" i="1" s="1"/>
  <c r="AQ101" i="1"/>
  <c r="AK142" i="1"/>
  <c r="C191" i="1"/>
  <c r="AR191" i="1" s="1"/>
  <c r="E185" i="1"/>
  <c r="AJ205" i="1"/>
  <c r="AM214" i="1"/>
  <c r="AM236" i="1"/>
  <c r="AM231" i="1" s="1"/>
  <c r="AD54" i="1"/>
  <c r="AF88" i="1"/>
  <c r="AM101" i="1"/>
  <c r="V147" i="1"/>
  <c r="AQ185" i="1"/>
  <c r="AB231" i="1"/>
  <c r="AF15" i="1"/>
  <c r="C35" i="1"/>
  <c r="AR35" i="1" s="1"/>
  <c r="D38" i="1"/>
  <c r="C51" i="1"/>
  <c r="AR51" i="1" s="1"/>
  <c r="AE54" i="1"/>
  <c r="AE7" i="1" s="1"/>
  <c r="AK115" i="1"/>
  <c r="AK114" i="1" s="1"/>
  <c r="AQ170" i="1"/>
  <c r="K169" i="1"/>
  <c r="AQ169" i="1" s="1"/>
  <c r="C178" i="1"/>
  <c r="AR178" i="1" s="1"/>
  <c r="AQ233" i="1"/>
  <c r="AC231" i="1"/>
  <c r="V20" i="1"/>
  <c r="AQ20" i="1" s="1"/>
  <c r="V9" i="1"/>
  <c r="V7" i="1" s="1"/>
  <c r="Z20" i="1"/>
  <c r="AB54" i="1"/>
  <c r="AQ74" i="1"/>
  <c r="Q70" i="1"/>
  <c r="H80" i="1"/>
  <c r="L147" i="1"/>
  <c r="D259" i="1"/>
  <c r="D257" i="1" s="1"/>
  <c r="D252" i="1" s="1"/>
  <c r="AQ259" i="1"/>
  <c r="AK118" i="1"/>
  <c r="X147" i="1"/>
  <c r="AF194" i="1"/>
  <c r="E217" i="1"/>
  <c r="E245" i="1"/>
  <c r="AN9" i="1"/>
  <c r="AN7" i="1" s="1"/>
  <c r="AA56" i="1"/>
  <c r="Z58" i="1"/>
  <c r="D58" i="1"/>
  <c r="D56" i="1" s="1"/>
  <c r="AL80" i="1"/>
  <c r="C109" i="1"/>
  <c r="AR109" i="1" s="1"/>
  <c r="Y147" i="1"/>
  <c r="F205" i="1"/>
  <c r="E215" i="1"/>
  <c r="D215" i="1"/>
  <c r="Q214" i="1"/>
  <c r="Q205" i="1" s="1"/>
  <c r="U231" i="1"/>
  <c r="Z88" i="1"/>
  <c r="AF128" i="1"/>
  <c r="AI205" i="1"/>
  <c r="AQ271" i="1"/>
  <c r="AQ160" i="1"/>
  <c r="K173" i="1"/>
  <c r="Q173" i="1"/>
  <c r="W183" i="1"/>
  <c r="AQ183" i="1" s="1"/>
  <c r="E243" i="1"/>
  <c r="C243" i="1" s="1"/>
  <c r="C241" i="1" s="1"/>
  <c r="AR241" i="1" s="1"/>
  <c r="N241" i="1"/>
  <c r="D243" i="1"/>
  <c r="D241" i="1" s="1"/>
  <c r="C46" i="1"/>
  <c r="AR46" i="1" s="1"/>
  <c r="N231" i="1"/>
  <c r="L205" i="1"/>
  <c r="AR194" i="1"/>
  <c r="AQ245" i="1"/>
  <c r="AQ257" i="1"/>
  <c r="G54" i="1"/>
  <c r="E200" i="1"/>
  <c r="E199" i="1" s="1"/>
  <c r="E197" i="1" s="1"/>
  <c r="N205" i="1"/>
  <c r="F252" i="1"/>
  <c r="C131" i="1"/>
  <c r="AR131" i="1" s="1"/>
  <c r="AQ194" i="1"/>
  <c r="D75" i="1"/>
  <c r="C234" i="1"/>
  <c r="C259" i="1"/>
  <c r="AR259" i="1" s="1"/>
  <c r="AQ149" i="1"/>
  <c r="AM200" i="1"/>
  <c r="AM199" i="1" s="1"/>
  <c r="AM197" i="1" s="1"/>
  <c r="AM192" i="1" s="1"/>
  <c r="AQ32" i="1"/>
  <c r="AK123" i="1"/>
  <c r="AQ243" i="1"/>
  <c r="G241" i="1"/>
  <c r="AQ241" i="1" s="1"/>
  <c r="AQ76" i="1"/>
  <c r="AH88" i="1"/>
  <c r="AH80" i="1" s="1"/>
  <c r="AH54" i="1" s="1"/>
  <c r="AH7" i="1" s="1"/>
  <c r="AQ89" i="1"/>
  <c r="AR89" i="1" s="1"/>
  <c r="AQ158" i="1"/>
  <c r="Q156" i="1"/>
  <c r="AQ156" i="1" s="1"/>
  <c r="AQ210" i="1"/>
  <c r="E210" i="1"/>
  <c r="C210" i="1" s="1"/>
  <c r="AR210" i="1" s="1"/>
  <c r="E194" i="1"/>
  <c r="AR68" i="1" l="1"/>
  <c r="AR59" i="1"/>
  <c r="W231" i="1"/>
  <c r="AK56" i="1"/>
  <c r="AK54" i="1" s="1"/>
  <c r="D63" i="1"/>
  <c r="C63" i="1"/>
  <c r="AR67" i="1"/>
  <c r="AQ56" i="1"/>
  <c r="Q54" i="1"/>
  <c r="D231" i="1"/>
  <c r="AQ128" i="1"/>
  <c r="AR78" i="1"/>
  <c r="AR110" i="1"/>
  <c r="J61" i="2"/>
  <c r="J12" i="2"/>
  <c r="J10" i="2" s="1"/>
  <c r="D27" i="2"/>
  <c r="C27" i="2" s="1"/>
  <c r="I8" i="2"/>
  <c r="F61" i="2"/>
  <c r="J8" i="2"/>
  <c r="H82" i="2"/>
  <c r="H81" i="2" s="1"/>
  <c r="H12" i="2"/>
  <c r="H10" i="2" s="1"/>
  <c r="C53" i="2"/>
  <c r="C52" i="2" s="1"/>
  <c r="D52" i="2"/>
  <c r="D51" i="2" s="1"/>
  <c r="C46" i="2"/>
  <c r="C82" i="2"/>
  <c r="C87" i="2"/>
  <c r="C56" i="2"/>
  <c r="H61" i="2"/>
  <c r="E12" i="2"/>
  <c r="E10" i="2" s="1"/>
  <c r="E8" i="2" s="1"/>
  <c r="D19" i="2"/>
  <c r="C20" i="2"/>
  <c r="C71" i="2"/>
  <c r="C24" i="2"/>
  <c r="C22" i="2" s="1"/>
  <c r="D22" i="2"/>
  <c r="G61" i="2"/>
  <c r="F8" i="2"/>
  <c r="C32" i="2"/>
  <c r="D62" i="2"/>
  <c r="D61" i="2" s="1"/>
  <c r="C63" i="2"/>
  <c r="G8" i="2"/>
  <c r="AQ9" i="1"/>
  <c r="E252" i="1"/>
  <c r="AJ54" i="1"/>
  <c r="AJ7" i="1" s="1"/>
  <c r="AR115" i="1"/>
  <c r="C236" i="1"/>
  <c r="AR236" i="1" s="1"/>
  <c r="AR237" i="1"/>
  <c r="Z70" i="1"/>
  <c r="C71" i="1"/>
  <c r="C208" i="1"/>
  <c r="E207" i="1"/>
  <c r="D185" i="1"/>
  <c r="D183" i="1" s="1"/>
  <c r="E183" i="1"/>
  <c r="AR258" i="1"/>
  <c r="C257" i="1"/>
  <c r="AR257" i="1" s="1"/>
  <c r="C263" i="1"/>
  <c r="AR263" i="1" s="1"/>
  <c r="AR265" i="1"/>
  <c r="D128" i="1"/>
  <c r="AR57" i="1"/>
  <c r="E128" i="1"/>
  <c r="C157" i="1"/>
  <c r="Z156" i="1"/>
  <c r="AU58" i="1"/>
  <c r="AL54" i="1"/>
  <c r="AL7" i="1" s="1"/>
  <c r="AG7" i="1"/>
  <c r="AG273" i="1" s="1"/>
  <c r="AK15" i="1"/>
  <c r="AM205" i="1"/>
  <c r="C185" i="1"/>
  <c r="C123" i="1"/>
  <c r="AR123" i="1" s="1"/>
  <c r="AR124" i="1"/>
  <c r="C271" i="1"/>
  <c r="AF270" i="1"/>
  <c r="AF268" i="1" s="1"/>
  <c r="E241" i="1"/>
  <c r="E231" i="1" s="1"/>
  <c r="C12" i="1"/>
  <c r="W7" i="1"/>
  <c r="AR23" i="1"/>
  <c r="AQ80" i="1"/>
  <c r="C138" i="1"/>
  <c r="AR138" i="1" s="1"/>
  <c r="AR139" i="1"/>
  <c r="AF214" i="1"/>
  <c r="AF205" i="1" s="1"/>
  <c r="AQ173" i="1"/>
  <c r="F147" i="1"/>
  <c r="O7" i="1"/>
  <c r="C82" i="1"/>
  <c r="E81" i="1"/>
  <c r="E80" i="1" s="1"/>
  <c r="E54" i="1" s="1"/>
  <c r="AR63" i="1"/>
  <c r="D9" i="1"/>
  <c r="AK9" i="1"/>
  <c r="AU59" i="1"/>
  <c r="AR13" i="1"/>
  <c r="Z56" i="1"/>
  <c r="Z54" i="1" s="1"/>
  <c r="C58" i="1"/>
  <c r="AR58" i="1" s="1"/>
  <c r="AR245" i="1"/>
  <c r="AQ15" i="1"/>
  <c r="Q147" i="1"/>
  <c r="AQ11" i="1"/>
  <c r="C21" i="1"/>
  <c r="M7" i="1"/>
  <c r="D160" i="1"/>
  <c r="D147" i="1" s="1"/>
  <c r="AQ88" i="1"/>
  <c r="AR88" i="1" s="1"/>
  <c r="G231" i="1"/>
  <c r="AQ231" i="1" s="1"/>
  <c r="C161" i="1"/>
  <c r="E160" i="1"/>
  <c r="AQ252" i="1"/>
  <c r="C229" i="1"/>
  <c r="E228" i="1"/>
  <c r="N7" i="1"/>
  <c r="Z128" i="1"/>
  <c r="AR111" i="1"/>
  <c r="K54" i="1"/>
  <c r="K7" i="1" s="1"/>
  <c r="C48" i="1"/>
  <c r="AR48" i="1" s="1"/>
  <c r="D194" i="1"/>
  <c r="C215" i="1"/>
  <c r="E214" i="1"/>
  <c r="AR247" i="1"/>
  <c r="C249" i="1"/>
  <c r="AR249" i="1" s="1"/>
  <c r="AR250" i="1"/>
  <c r="D173" i="1"/>
  <c r="AR150" i="1"/>
  <c r="C149" i="1"/>
  <c r="AR119" i="1"/>
  <c r="C118" i="1"/>
  <c r="AR118" i="1" s="1"/>
  <c r="D15" i="1"/>
  <c r="AR26" i="1"/>
  <c r="C25" i="1"/>
  <c r="AR25" i="1" s="1"/>
  <c r="AF114" i="1"/>
  <c r="AF54" i="1" s="1"/>
  <c r="AF7" i="1" s="1"/>
  <c r="C116" i="1"/>
  <c r="AR116" i="1" s="1"/>
  <c r="AA54" i="1"/>
  <c r="AA7" i="1" s="1"/>
  <c r="AR255" i="1"/>
  <c r="C254" i="1"/>
  <c r="G7" i="1"/>
  <c r="C75" i="1"/>
  <c r="AR75" i="1" s="1"/>
  <c r="AR76" i="1"/>
  <c r="AR243" i="1"/>
  <c r="C128" i="1"/>
  <c r="AR130" i="1"/>
  <c r="C101" i="1"/>
  <c r="AR101" i="1" s="1"/>
  <c r="AR102" i="1"/>
  <c r="AR209" i="1"/>
  <c r="Z11" i="1"/>
  <c r="Z9" i="1" s="1"/>
  <c r="C233" i="1"/>
  <c r="AR234" i="1"/>
  <c r="X7" i="1"/>
  <c r="Z147" i="1"/>
  <c r="AQ207" i="1"/>
  <c r="C176" i="1"/>
  <c r="AR176" i="1" s="1"/>
  <c r="C169" i="1"/>
  <c r="AR169" i="1" s="1"/>
  <c r="AR170" i="1"/>
  <c r="AR142" i="1"/>
  <c r="K147" i="1"/>
  <c r="AM160" i="1"/>
  <c r="AM147" i="1" s="1"/>
  <c r="AM7" i="1" s="1"/>
  <c r="AK164" i="1"/>
  <c r="AR18" i="1"/>
  <c r="C174" i="1"/>
  <c r="E173" i="1"/>
  <c r="D80" i="1"/>
  <c r="D214" i="1"/>
  <c r="D205" i="1" s="1"/>
  <c r="AQ205" i="1"/>
  <c r="Z80" i="1"/>
  <c r="C199" i="1"/>
  <c r="AR200" i="1"/>
  <c r="AR84" i="1"/>
  <c r="E15" i="1"/>
  <c r="E9" i="1" s="1"/>
  <c r="C16" i="1"/>
  <c r="Q7" i="1" l="1"/>
  <c r="AR128" i="1"/>
  <c r="D54" i="1"/>
  <c r="E147" i="1"/>
  <c r="H8" i="2"/>
  <c r="C19" i="2"/>
  <c r="C70" i="2"/>
  <c r="D14" i="2"/>
  <c r="D12" i="2" s="1"/>
  <c r="D10" i="2" s="1"/>
  <c r="C81" i="2"/>
  <c r="C45" i="2"/>
  <c r="C31" i="2" s="1"/>
  <c r="C51" i="2"/>
  <c r="C11" i="1"/>
  <c r="AR12" i="1"/>
  <c r="AK7" i="1"/>
  <c r="C214" i="1"/>
  <c r="AR214" i="1" s="1"/>
  <c r="AR215" i="1"/>
  <c r="AR174" i="1"/>
  <c r="C173" i="1"/>
  <c r="AR173" i="1" s="1"/>
  <c r="E205" i="1"/>
  <c r="E7" i="1" s="1"/>
  <c r="AR254" i="1"/>
  <c r="C252" i="1"/>
  <c r="AR252" i="1" s="1"/>
  <c r="AR208" i="1"/>
  <c r="C207" i="1"/>
  <c r="AR229" i="1"/>
  <c r="C228" i="1"/>
  <c r="AR228" i="1" s="1"/>
  <c r="D7" i="1"/>
  <c r="C15" i="1"/>
  <c r="AR15" i="1" s="1"/>
  <c r="AR16" i="1"/>
  <c r="C160" i="1"/>
  <c r="AR160" i="1" s="1"/>
  <c r="AR161" i="1"/>
  <c r="AR82" i="1"/>
  <c r="C81" i="1"/>
  <c r="AQ147" i="1"/>
  <c r="AR157" i="1"/>
  <c r="C156" i="1"/>
  <c r="AR156" i="1" s="1"/>
  <c r="C197" i="1"/>
  <c r="AR197" i="1" s="1"/>
  <c r="AR199" i="1"/>
  <c r="F7" i="1"/>
  <c r="AQ7" i="1" s="1"/>
  <c r="C20" i="1"/>
  <c r="AR20" i="1" s="1"/>
  <c r="AR21" i="1"/>
  <c r="AK160" i="1"/>
  <c r="AK147" i="1" s="1"/>
  <c r="C164" i="1"/>
  <c r="AR164" i="1" s="1"/>
  <c r="AR271" i="1"/>
  <c r="C270" i="1"/>
  <c r="C70" i="1"/>
  <c r="AR70" i="1" s="1"/>
  <c r="AR71" i="1"/>
  <c r="C183" i="1"/>
  <c r="AR183" i="1" s="1"/>
  <c r="AR185" i="1"/>
  <c r="AQ54" i="1"/>
  <c r="C114" i="1"/>
  <c r="AR114" i="1" s="1"/>
  <c r="AR233" i="1"/>
  <c r="C231" i="1"/>
  <c r="AR231" i="1" s="1"/>
  <c r="Z7" i="1"/>
  <c r="AR149" i="1"/>
  <c r="C56" i="1"/>
  <c r="XFD88" i="1"/>
  <c r="C69" i="2" l="1"/>
  <c r="D8" i="2"/>
  <c r="S15" i="2" s="1"/>
  <c r="AF10" i="2"/>
  <c r="C14" i="2"/>
  <c r="C268" i="1"/>
  <c r="AR268" i="1" s="1"/>
  <c r="AR270" i="1"/>
  <c r="AR207" i="1"/>
  <c r="C205" i="1"/>
  <c r="AR205" i="1" s="1"/>
  <c r="AR56" i="1"/>
  <c r="AR81" i="1"/>
  <c r="C80" i="1"/>
  <c r="AR80" i="1" s="1"/>
  <c r="C147" i="1"/>
  <c r="AR147" i="1" s="1"/>
  <c r="AR11" i="1"/>
  <c r="C9" i="1"/>
  <c r="C12" i="2" l="1"/>
  <c r="C62" i="2"/>
  <c r="C54" i="1"/>
  <c r="AR54" i="1" s="1"/>
  <c r="AR9" i="1"/>
  <c r="AV8" i="1"/>
  <c r="AV11" i="1" s="1"/>
  <c r="C7" i="1"/>
  <c r="AR7" i="1" s="1"/>
  <c r="C10" i="2" l="1"/>
  <c r="C61" i="2"/>
  <c r="C8"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xbrenes</author>
    <author>Instituto Nacional de Vivienda y Urbanismo</author>
  </authors>
  <commentList>
    <comment ref="J22" authorId="0" shapeId="0" xr:uid="{F03B99B1-0190-4746-B98F-4F63487A3978}">
      <text>
        <r>
          <rPr>
            <b/>
            <sz val="11"/>
            <color indexed="81"/>
            <rFont val="Tahoma"/>
            <family val="2"/>
          </rPr>
          <t xml:space="preserve">incluye gastos de cierre, legales y las ventas que reporta AVIS( gastos adm.planos,certif.)
planos de const.fiscalización, avalúos y dirección técnica., servicios AYP
</t>
        </r>
      </text>
    </comment>
    <comment ref="J89" authorId="1" shapeId="0" xr:uid="{7A7EC699-AFB2-4B63-9083-4EDDE6B83DB6}">
      <text>
        <r>
          <rPr>
            <b/>
            <sz val="9"/>
            <color indexed="81"/>
            <rFont val="Tahoma"/>
            <family val="2"/>
          </rPr>
          <t xml:space="preserve">Superávit Libre
50,0 (2019) y 1,200 (2020)
</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Instituto Nacional de Vivienda y Urbanismo</author>
  </authors>
  <commentList>
    <comment ref="AP120" authorId="0" shapeId="0" xr:uid="{AF295169-9FF2-4CC4-8551-83F2B642CE41}">
      <text>
        <r>
          <rPr>
            <b/>
            <sz val="9"/>
            <color indexed="81"/>
            <rFont val="Tahoma"/>
            <family val="2"/>
          </rPr>
          <t xml:space="preserve">
BANHVI</t>
        </r>
        <r>
          <rPr>
            <sz val="9"/>
            <color indexed="81"/>
            <rFont val="Tahoma"/>
            <family val="2"/>
          </rPr>
          <t xml:space="preserve">
</t>
        </r>
      </text>
    </comment>
  </commentList>
</comments>
</file>

<file path=xl/sharedStrings.xml><?xml version="1.0" encoding="utf-8"?>
<sst xmlns="http://schemas.openxmlformats.org/spreadsheetml/2006/main" count="905" uniqueCount="780">
  <si>
    <t xml:space="preserve"> </t>
  </si>
  <si>
    <t>Código</t>
  </si>
  <si>
    <t>Descripción</t>
  </si>
  <si>
    <t>TOTAL 
GENERAL</t>
  </si>
  <si>
    <t>PRUEBA</t>
  </si>
  <si>
    <t>PROGRAMA N°1
ADMINISTRACIÓN Y
APOYO</t>
  </si>
  <si>
    <t>SECRETARIA DE JUNTA
DIRECTIVA</t>
  </si>
  <si>
    <t>AUDITORIA</t>
  </si>
  <si>
    <t xml:space="preserve">
PRESIDENCIA
EJECUTIVA</t>
  </si>
  <si>
    <t>GERENCIA
GENERAL</t>
  </si>
  <si>
    <t>SALUD OCUPACIONAL</t>
  </si>
  <si>
    <t>TECNOLOGÍAS DE INFORMACIÓN</t>
  </si>
  <si>
    <t>SUG GERENCIA GENERAL</t>
  </si>
  <si>
    <t>CONTRALORIA DE SERVICIOS</t>
  </si>
  <si>
    <t xml:space="preserve">PLANIFICACIÓN
</t>
  </si>
  <si>
    <t>ASESORÍA
   LEGAL</t>
  </si>
  <si>
    <t>JEFATURA DAF</t>
  </si>
  <si>
    <t>ADMINISTRACIÓN</t>
  </si>
  <si>
    <t>TALENTO HUMANO</t>
  </si>
  <si>
    <t>ADQUISICIONES Y CONTRATACIONES</t>
  </si>
  <si>
    <t>JEFATURA DE FINANZAS</t>
  </si>
  <si>
    <t>CONTABILIDAD</t>
  </si>
  <si>
    <t>COBROS</t>
  </si>
  <si>
    <t>TESORERIA</t>
  </si>
  <si>
    <t>ARCHIVO CENTRAL</t>
  </si>
  <si>
    <t>COMUNICACIÓN Y PROMOCIÓN</t>
  </si>
  <si>
    <t>PROGRAMA N°2
URBANISMO</t>
  </si>
  <si>
    <t>JEFATURA URBANISMO Y VIVIENDA</t>
  </si>
  <si>
    <t>JEFATURA URBANISMO</t>
  </si>
  <si>
    <t>FISCALIZACIÓN</t>
  </si>
  <si>
    <t>CRIETERIOS TÉCNICOS Y OPERATIVOS DE ORDENAMIENTO TERRITORIAL</t>
  </si>
  <si>
    <t>ASESORÍA Y CAPACITACIÓN</t>
  </si>
  <si>
    <t>PROGRAMA N°3
PROGRAMAS HABITACIONALES</t>
  </si>
  <si>
    <t>JEFATURA PROGRAMAS HABITACIONALES</t>
  </si>
  <si>
    <t>PROYECTOS HABITACIONALES</t>
  </si>
  <si>
    <t>MECANISMOS DE FINANCIAMIENTO</t>
  </si>
  <si>
    <t>FONDO DE INVERSIÓN EN BIENES INMUEBLES</t>
  </si>
  <si>
    <t>PROGRAMA Nª 4
GESTIÓN DE PROGRAMAS DE FINANCIAMIENTO</t>
  </si>
  <si>
    <t>SUBPROGRAMA 1-GESTIÓN DE PRODUCTOS DEL SISTEMA DE AHORRO Y PRÉSTAMO</t>
  </si>
  <si>
    <t>SUBPROGRAMA 2-GESTIÓN DE PRODUCTOS CON DIVERSAS FUENTES DE INGRESOS</t>
  </si>
  <si>
    <t>JEFATURA GESTION DE PRODUCTOS FINANCIEROS</t>
  </si>
  <si>
    <t>ADMINISTRACIÓN DE CANALES DE SERVICIO</t>
  </si>
  <si>
    <t>GESTION DE SERVICIOS</t>
  </si>
  <si>
    <t>TOTAL</t>
  </si>
  <si>
    <t>remuneraciones</t>
  </si>
  <si>
    <t>REMUNERACIONES</t>
  </si>
  <si>
    <t>0.01</t>
  </si>
  <si>
    <t>REMUNERACIONES BASICAS</t>
  </si>
  <si>
    <t>0.01.01</t>
  </si>
  <si>
    <t>Sueldos para cargos fijos</t>
  </si>
  <si>
    <t>0.01.05</t>
  </si>
  <si>
    <t>Suplencias</t>
  </si>
  <si>
    <t>0.02</t>
  </si>
  <si>
    <t>REMUNERACIONES EVENTUALES</t>
  </si>
  <si>
    <t>0.02.01</t>
  </si>
  <si>
    <t>Tiempo extraordinario</t>
  </si>
  <si>
    <t>0.02.02</t>
  </si>
  <si>
    <t>Recargo de funciones</t>
  </si>
  <si>
    <t>0.02.05</t>
  </si>
  <si>
    <t>Dietas</t>
  </si>
  <si>
    <t>0.03</t>
  </si>
  <si>
    <t>INCENTIVOS SALARIALES</t>
  </si>
  <si>
    <t>0.03.01</t>
  </si>
  <si>
    <t xml:space="preserve">Retribución por años servidos  </t>
  </si>
  <si>
    <t>0.03.01.01</t>
  </si>
  <si>
    <t>Antigüiedad</t>
  </si>
  <si>
    <t>0.03.01.02</t>
  </si>
  <si>
    <t>Méritos</t>
  </si>
  <si>
    <t>0.03.02</t>
  </si>
  <si>
    <t xml:space="preserve">Retricción al ejercicio liberal de la profesión  </t>
  </si>
  <si>
    <t>Dedicación Exclusiva</t>
  </si>
  <si>
    <t>0.03.02.02</t>
  </si>
  <si>
    <t>Prohibición</t>
  </si>
  <si>
    <t>0.03.03</t>
  </si>
  <si>
    <t>Decimotercer mes</t>
  </si>
  <si>
    <t>0.03.04</t>
  </si>
  <si>
    <t>Salario escolar</t>
  </si>
  <si>
    <t>0.03.99</t>
  </si>
  <si>
    <t xml:space="preserve">Otros incentivos salariales </t>
  </si>
  <si>
    <t>0.03.99.02</t>
  </si>
  <si>
    <t>Carrera Profesional</t>
  </si>
  <si>
    <t>0.03.99.03</t>
  </si>
  <si>
    <t>Complemento salarial</t>
  </si>
  <si>
    <t>0.03.99.04</t>
  </si>
  <si>
    <t>Asignación faltantes de caja</t>
  </si>
  <si>
    <t>0.03.99.05</t>
  </si>
  <si>
    <t>Vacaciones Agentes</t>
  </si>
  <si>
    <t>0.03.99.06</t>
  </si>
  <si>
    <t>Cobros agentes</t>
  </si>
  <si>
    <t>0.03.99.07</t>
  </si>
  <si>
    <t>Feriados y asuetos agentes</t>
  </si>
  <si>
    <t>0.03.99.08</t>
  </si>
  <si>
    <t>Sobresueldos</t>
  </si>
  <si>
    <t>0.04</t>
  </si>
  <si>
    <t>CONTRIBUCIONES PATRONALES AL DESARROLLO Y LA SEGURIDAD SOCIAL</t>
  </si>
  <si>
    <t>0.04.01</t>
  </si>
  <si>
    <t>Contribución Patronal al Seguro de Salud de la CCSS</t>
  </si>
  <si>
    <t>0.04.02</t>
  </si>
  <si>
    <t xml:space="preserve">Contribución Patronal al IMAS </t>
  </si>
  <si>
    <t>0.04.03</t>
  </si>
  <si>
    <t xml:space="preserve">Contribución Patronal al INA </t>
  </si>
  <si>
    <t>0.04.04</t>
  </si>
  <si>
    <t>Contribución Patronal al FODESAF</t>
  </si>
  <si>
    <t>0.04.05</t>
  </si>
  <si>
    <t xml:space="preserve">Contribución Patronal al Banco Popular y de Desarrollo   </t>
  </si>
  <si>
    <t>0.05</t>
  </si>
  <si>
    <t>CONTRIB. PATRO. A FONDOS DE PENS. Y OTROS FONDOS DE CAPITALIZACION</t>
  </si>
  <si>
    <t>0.05.01</t>
  </si>
  <si>
    <t>Contribución Patronal al Seguro de Pensiones  de la CCSS</t>
  </si>
  <si>
    <t>0.05.02</t>
  </si>
  <si>
    <t xml:space="preserve">Aporte Patronal al Régimen Obligatorio de Pensiones Complementarias </t>
  </si>
  <si>
    <t>0.05.03</t>
  </si>
  <si>
    <t xml:space="preserve">Aporte Patronal al Fondo de Capitalización Laboral </t>
  </si>
  <si>
    <t>0.05.05</t>
  </si>
  <si>
    <t>Contribución Patronal a fondos administrados por entes privados</t>
  </si>
  <si>
    <t>SERVICIOS</t>
  </si>
  <si>
    <t>1.01</t>
  </si>
  <si>
    <t>ALQUILERES</t>
  </si>
  <si>
    <t>1.01.01</t>
  </si>
  <si>
    <t>Alquileres de edificios, locales y terrenos</t>
  </si>
  <si>
    <t>1.01.02</t>
  </si>
  <si>
    <t>Alquileres de maquinaria, equipo y mobiliario</t>
  </si>
  <si>
    <t>1.01.03</t>
  </si>
  <si>
    <t>Alquileres de equipo de cómputo</t>
  </si>
  <si>
    <t>1.01.04</t>
  </si>
  <si>
    <t>Alquileres de Equipo y Derechos para Telecomunicaciones</t>
  </si>
  <si>
    <t>1.01.99</t>
  </si>
  <si>
    <t>Otros alquileres</t>
  </si>
  <si>
    <t>1.02</t>
  </si>
  <si>
    <t>SERVICIOS BÁSICOS</t>
  </si>
  <si>
    <t>1.02.01</t>
  </si>
  <si>
    <t xml:space="preserve">Servicio de agua y alcantarillado </t>
  </si>
  <si>
    <t>1.02.02</t>
  </si>
  <si>
    <t>Servicio de energía eléctrica</t>
  </si>
  <si>
    <t>1.02.03</t>
  </si>
  <si>
    <t>Servicio de correo</t>
  </si>
  <si>
    <t>1.02.04</t>
  </si>
  <si>
    <t>Servicio de telecomunicaciones</t>
  </si>
  <si>
    <t>1.02.99</t>
  </si>
  <si>
    <t xml:space="preserve">Otros servicios básicos </t>
  </si>
  <si>
    <t>1.03</t>
  </si>
  <si>
    <t>SERVICIOS COMERCIALES Y FINANCIEROS</t>
  </si>
  <si>
    <t>1.03.01</t>
  </si>
  <si>
    <t xml:space="preserve">Información                            </t>
  </si>
  <si>
    <t>1.03.02</t>
  </si>
  <si>
    <t xml:space="preserve">Publicidad y propaganda         </t>
  </si>
  <si>
    <t>1.03.03</t>
  </si>
  <si>
    <t>Impresiones, encuadernación y otros</t>
  </si>
  <si>
    <t>1.03.04</t>
  </si>
  <si>
    <t>Transporte de bienes</t>
  </si>
  <si>
    <t>1.03.06</t>
  </si>
  <si>
    <t xml:space="preserve">Comisiones y gastos por servicios financieros y comerciales </t>
  </si>
  <si>
    <t>1.03.06.01</t>
  </si>
  <si>
    <t>Comisiones y gastos por servicios financieros y comerciales -Generales</t>
  </si>
  <si>
    <t>1.03.06.02</t>
  </si>
  <si>
    <t>Comisiones y gastos por servicios financieros y comerciales -comisionistas</t>
  </si>
  <si>
    <t>1.03.07</t>
  </si>
  <si>
    <t>Servicios de tecnologías de información</t>
  </si>
  <si>
    <t>1.04</t>
  </si>
  <si>
    <t xml:space="preserve">SERVICIOS DE GESTIÓN Y APOYO  </t>
  </si>
  <si>
    <t>1.04.02</t>
  </si>
  <si>
    <t>Servicios jurídicos</t>
  </si>
  <si>
    <t>Servicios Jurídicos Generales</t>
  </si>
  <si>
    <t>Servicios Jurídicos aporte cliente BFV</t>
  </si>
  <si>
    <t>Servicios Jurídicos Cobro Judicial</t>
  </si>
  <si>
    <t>Servicios Jurídicos Gastos de Formalización BANHVI</t>
  </si>
  <si>
    <t>Servicios Jurídicos proyecto Juan Rafael Mora</t>
  </si>
  <si>
    <t>Servicios Jurídicos Titulación</t>
  </si>
  <si>
    <t>1.04.03</t>
  </si>
  <si>
    <t>Servicios de ingeniería y arquitectura</t>
  </si>
  <si>
    <t>Servicios de ingeniería y arquitectura-Generales</t>
  </si>
  <si>
    <t>Servicios de ingeniería y arquitectura-Talamanca</t>
  </si>
  <si>
    <t>Servicios de ingeniería y arquitectura-Vásquez de Coronado</t>
  </si>
  <si>
    <t>Servicios de ingeniería y arquitectura-Aportes clientes BFV</t>
  </si>
  <si>
    <t xml:space="preserve">Servicios de ingeniería y arquitectura-Huetar Norte </t>
  </si>
  <si>
    <t>Servicios de ingeniería y arquitectura-Chorotega</t>
  </si>
  <si>
    <t>Servic. de ing. y arquitectura-Chorotega(Elaboración del Diagnóstico)</t>
  </si>
  <si>
    <t>Servic. de ing. y arquitectura-Talud</t>
  </si>
  <si>
    <t>Servic. de ing. y arquitectura-Titulación</t>
  </si>
  <si>
    <t>Servic. de ing. y arquitectura-Recursos INDER</t>
  </si>
  <si>
    <t>Servic. de ing. y arquitectura-etapas previas</t>
  </si>
  <si>
    <t>Servic. de ing. y arquitectura-BANHVI</t>
  </si>
  <si>
    <t>1.04.04</t>
  </si>
  <si>
    <t>Servicios en ciencias económicas y sociales</t>
  </si>
  <si>
    <t>Servicios en ciencias económicas y sociales-Generales</t>
  </si>
  <si>
    <t xml:space="preserve">Servicios en ciencias económicas y sociales-Huetar Norte </t>
  </si>
  <si>
    <t>Servicios en Ciencias Económicas y Sociales-Vásquez de Coronado</t>
  </si>
  <si>
    <t>Servicios en ciencias económicas y sociales-Chorotega</t>
  </si>
  <si>
    <t>Servicios en ciencias económicas y sociales-Etapas Previas</t>
  </si>
  <si>
    <t>Servicios en ciencias económicas y sociales-Recursos INDER</t>
  </si>
  <si>
    <t>Servicios en ciencias económicas y sociales-titulación</t>
  </si>
  <si>
    <t>Servicios en ciencias económicas y sociales-BANVHI</t>
  </si>
  <si>
    <t>1.04.05</t>
  </si>
  <si>
    <t>Servicios informáticos</t>
  </si>
  <si>
    <t>1.04.06</t>
  </si>
  <si>
    <t xml:space="preserve">Servicios generales </t>
  </si>
  <si>
    <t>1.04.99</t>
  </si>
  <si>
    <t>Otros servicios de gestión y apoyo</t>
  </si>
  <si>
    <t>1.05</t>
  </si>
  <si>
    <t>GASTOS DE VIAJE Y DE TRANSPORTE</t>
  </si>
  <si>
    <t>1.05.01</t>
  </si>
  <si>
    <t xml:space="preserve">Transporte dentro del país </t>
  </si>
  <si>
    <t>1.05.02</t>
  </si>
  <si>
    <t xml:space="preserve">Viáticos dentro del país </t>
  </si>
  <si>
    <t>1.06</t>
  </si>
  <si>
    <t>SEGUROS, REASEGUROS Y OTRAS OBLIGACIONES</t>
  </si>
  <si>
    <t>1.06.01</t>
  </si>
  <si>
    <t>Seguros</t>
  </si>
  <si>
    <t>1.06.02</t>
  </si>
  <si>
    <t xml:space="preserve">Reaseguros </t>
  </si>
  <si>
    <t>1.06.03</t>
  </si>
  <si>
    <t>Obligaciones por contratos de seguros</t>
  </si>
  <si>
    <t>1.07</t>
  </si>
  <si>
    <t>CAPACITACION Y PROTOCOLO</t>
  </si>
  <si>
    <t>1.07.01</t>
  </si>
  <si>
    <t>Actividades de capacitación</t>
  </si>
  <si>
    <t>1.07.02</t>
  </si>
  <si>
    <t xml:space="preserve">Actividades protocolarias y sociales </t>
  </si>
  <si>
    <t>1.08</t>
  </si>
  <si>
    <t>MANTENIMIENTO Y REPARACIÓN</t>
  </si>
  <si>
    <t>1.08.01</t>
  </si>
  <si>
    <t>Mantenimiento de edificios, locales y terrenos</t>
  </si>
  <si>
    <t>1.08.04</t>
  </si>
  <si>
    <t>Mantenimiento y Repar. De Maq. Y Equipo de Producción</t>
  </si>
  <si>
    <t>1.08.05</t>
  </si>
  <si>
    <t>Mantenimiento y reparación de equipo de transporte</t>
  </si>
  <si>
    <t>1.08.06</t>
  </si>
  <si>
    <t>Mantenimiento y reparación de equipo de comunicación</t>
  </si>
  <si>
    <t>1.08.07</t>
  </si>
  <si>
    <t>Mantenimiento y reparación de equipo y mobiliario de oficina</t>
  </si>
  <si>
    <t>1.08.08</t>
  </si>
  <si>
    <t>Mantenimiento y reparación de equipo de cómputo y  sistemas de información</t>
  </si>
  <si>
    <t>1.08.99</t>
  </si>
  <si>
    <t>Mantenimiento y reparación de otros equipos</t>
  </si>
  <si>
    <t>1.09</t>
  </si>
  <si>
    <t>IMPUESTOS</t>
  </si>
  <si>
    <t>1.09.01</t>
  </si>
  <si>
    <t>Impuestos sobre Ingresos y utilidades</t>
  </si>
  <si>
    <t>1.09.99</t>
  </si>
  <si>
    <t>Otros impuestos</t>
  </si>
  <si>
    <t>1.99</t>
  </si>
  <si>
    <t>SERVICIOS DIVERSOS</t>
  </si>
  <si>
    <t>1.99.02</t>
  </si>
  <si>
    <t>Intereses moratorios y multas</t>
  </si>
  <si>
    <t>1.99.05</t>
  </si>
  <si>
    <t>Deducibles</t>
  </si>
  <si>
    <t>1.99.99</t>
  </si>
  <si>
    <t>Otros servicios no especificados</t>
  </si>
  <si>
    <t>MATERIALES Y SUMINISTROS</t>
  </si>
  <si>
    <t>2.01</t>
  </si>
  <si>
    <t>PRODUCTOS QUIMICOS Y CONEXOS</t>
  </si>
  <si>
    <t>2.01.01</t>
  </si>
  <si>
    <t xml:space="preserve">Combustibles y lubricantes </t>
  </si>
  <si>
    <t>2.01.02</t>
  </si>
  <si>
    <t>Productos farmacéuticos y medicinales</t>
  </si>
  <si>
    <t>2.01.03</t>
  </si>
  <si>
    <t>Productos Veterinarios</t>
  </si>
  <si>
    <t>2.01.04</t>
  </si>
  <si>
    <t xml:space="preserve">Tintas, pinturas y diluyentes </t>
  </si>
  <si>
    <t>2.01.99</t>
  </si>
  <si>
    <t>Otros productos químicos</t>
  </si>
  <si>
    <t>2.02</t>
  </si>
  <si>
    <t>ALIMENTOS Y PRODUCTOS AGROPECUARIOS</t>
  </si>
  <si>
    <t>2.02.03</t>
  </si>
  <si>
    <t xml:space="preserve">Alimentos y bebidas </t>
  </si>
  <si>
    <t>2.02.04</t>
  </si>
  <si>
    <t>Alimento para animales</t>
  </si>
  <si>
    <t>2.03</t>
  </si>
  <si>
    <t>MATERIALES Y PRODUCTOS DE USO EN LA CONSTRUCCIÓN Y MANTENIMIENTO</t>
  </si>
  <si>
    <t>2.03.01</t>
  </si>
  <si>
    <t xml:space="preserve">Materiales y productos metálicos </t>
  </si>
  <si>
    <t>2.03.02</t>
  </si>
  <si>
    <t>Materiales y productos minerales y asfálticos</t>
  </si>
  <si>
    <t>2.03.03</t>
  </si>
  <si>
    <t>Madera y sus derivados</t>
  </si>
  <si>
    <t>2.03.04</t>
  </si>
  <si>
    <t>Materiales y productos eléctricos, telefónicos y de cómputo</t>
  </si>
  <si>
    <t>2.03.05</t>
  </si>
  <si>
    <t>Materiales y productos de vidrio</t>
  </si>
  <si>
    <t>2.03.06</t>
  </si>
  <si>
    <t>Materiales y productos de plástico</t>
  </si>
  <si>
    <t>2.03.99</t>
  </si>
  <si>
    <t>Otros materiales y productos de uso en la construcción</t>
  </si>
  <si>
    <t>2.04</t>
  </si>
  <si>
    <t>HERRAMIENTAS, REPUESTOS Y ACCESORIOS</t>
  </si>
  <si>
    <t>2.04.01</t>
  </si>
  <si>
    <t>Herramientas e instrumentos</t>
  </si>
  <si>
    <t>2.04.02</t>
  </si>
  <si>
    <t>Repuestos y accesorios</t>
  </si>
  <si>
    <t>2.99</t>
  </si>
  <si>
    <t>UTILES, MATERIALES Y SUMINISTROS DIVERSOS</t>
  </si>
  <si>
    <t>2.99.01</t>
  </si>
  <si>
    <t>Útiles y materiales de oficina y cómputo</t>
  </si>
  <si>
    <t>2.99.02</t>
  </si>
  <si>
    <t>Útiles y materiales médicos, hospitalario y de investigación</t>
  </si>
  <si>
    <t>2.99.03</t>
  </si>
  <si>
    <t>Productos de papel, cartón e impresos</t>
  </si>
  <si>
    <t>2.99.04</t>
  </si>
  <si>
    <t>Textiles y vestuario</t>
  </si>
  <si>
    <t>2.99.05</t>
  </si>
  <si>
    <t>Útiles y materiales de limpieza</t>
  </si>
  <si>
    <t>2.99.06</t>
  </si>
  <si>
    <t>Útiles y materiales de resguardo y seguridad</t>
  </si>
  <si>
    <t>2.99.07</t>
  </si>
  <si>
    <t>Útiles y materiales de cocina y comedor</t>
  </si>
  <si>
    <t>2.99.99</t>
  </si>
  <si>
    <t>Otros útiles, materiales y suministros</t>
  </si>
  <si>
    <t>INTERESES Y COMISIONES</t>
  </si>
  <si>
    <t>3.02</t>
  </si>
  <si>
    <t xml:space="preserve">INTERESES SOBRE PRÉSTAMOS </t>
  </si>
  <si>
    <t>3.02.01</t>
  </si>
  <si>
    <t xml:space="preserve">Intereses sobre préstamos del Gobierno Central  </t>
  </si>
  <si>
    <t>3.02.02</t>
  </si>
  <si>
    <t>Intereses sobre préstamos de Órganos Desconcentrados</t>
  </si>
  <si>
    <t>3.02.03</t>
  </si>
  <si>
    <t>Intereses sobre préstamos de Instituciones Descentr. no empresariales</t>
  </si>
  <si>
    <t>3.02.05</t>
  </si>
  <si>
    <t xml:space="preserve">Intereses sobre préstamos de Empresas Públicas no Financieras </t>
  </si>
  <si>
    <t>3.02.06</t>
  </si>
  <si>
    <t>Intereses sobre préstamos de  Instituciones Públicas Financieras</t>
  </si>
  <si>
    <t>3.02.07</t>
  </si>
  <si>
    <t>Intereses sobre préstamos del Sector Privado</t>
  </si>
  <si>
    <t>3.02.08</t>
  </si>
  <si>
    <t>Intereses sobre préstamos del Sector Externo</t>
  </si>
  <si>
    <t>3.03</t>
  </si>
  <si>
    <t>INTERES SOBRE OTRAS OBLIGACIONES</t>
  </si>
  <si>
    <t>3.03.99</t>
  </si>
  <si>
    <t xml:space="preserve">Intereses sobre otras obligaciones  </t>
  </si>
  <si>
    <t>ACTIVOS FINANCIEROS</t>
  </si>
  <si>
    <t>4.01</t>
  </si>
  <si>
    <t>PRÉSTAMOS</t>
  </si>
  <si>
    <t>4.01.07</t>
  </si>
  <si>
    <t>Préstamos al Sector Privado</t>
  </si>
  <si>
    <t>4.01.07.01</t>
  </si>
  <si>
    <t>Ahorro y Préstamo</t>
  </si>
  <si>
    <t>4.01.07.06</t>
  </si>
  <si>
    <t>Crédito clase media-Superávit Libre</t>
  </si>
  <si>
    <t>4.01.07.07</t>
  </si>
  <si>
    <t>CRECEMujer</t>
  </si>
  <si>
    <t xml:space="preserve">BIENES DURADEROS </t>
  </si>
  <si>
    <t>5.01</t>
  </si>
  <si>
    <t>MAQUINARIA, EQUIPO Y MOBILIARIO</t>
  </si>
  <si>
    <t>5.01.01</t>
  </si>
  <si>
    <t>Maquinaria y equipo para la producción</t>
  </si>
  <si>
    <t>5.01.03</t>
  </si>
  <si>
    <t>Equipo de comunicación</t>
  </si>
  <si>
    <t>5.01.04</t>
  </si>
  <si>
    <t>Equipo y mobiliario de oficina</t>
  </si>
  <si>
    <t>5.01.05</t>
  </si>
  <si>
    <t>Equipo y programas de cómputo</t>
  </si>
  <si>
    <t>5.01.99</t>
  </si>
  <si>
    <t>Maquinaria y equipo diverso</t>
  </si>
  <si>
    <t>5.02</t>
  </si>
  <si>
    <t>CONSTRUCCIONES, ADICIONES Y MEJORAS</t>
  </si>
  <si>
    <t>5.02.01</t>
  </si>
  <si>
    <t xml:space="preserve"> Edificios </t>
  </si>
  <si>
    <t>5.02.02</t>
  </si>
  <si>
    <t>Vías de Comunicación Terrestre</t>
  </si>
  <si>
    <t>5.02.06</t>
  </si>
  <si>
    <t>Obras urbanísticas</t>
  </si>
  <si>
    <t xml:space="preserve">Premio Nobel </t>
  </si>
  <si>
    <t>Los Lirios II Etapa</t>
  </si>
  <si>
    <t>Finca Boschini</t>
  </si>
  <si>
    <t>5.02.99</t>
  </si>
  <si>
    <t>Otras construcciones, adiciones y mejoras</t>
  </si>
  <si>
    <t>5.03</t>
  </si>
  <si>
    <t>BIENES PREEXISTENTES</t>
  </si>
  <si>
    <t>5.03.01</t>
  </si>
  <si>
    <t>Terrenos</t>
  </si>
  <si>
    <t>5.03.02</t>
  </si>
  <si>
    <t>Edificios preexistentes</t>
  </si>
  <si>
    <t>5.99</t>
  </si>
  <si>
    <t>BIENES DURADEROS DIVERSOS</t>
  </si>
  <si>
    <t>5.99.03</t>
  </si>
  <si>
    <t>Bienes intangibles</t>
  </si>
  <si>
    <t>TRANSFERENCIAS CORRIENTES AL SECTOR PUBLICO</t>
  </si>
  <si>
    <t>6.01</t>
  </si>
  <si>
    <t>TRANSFERENCIAS CORRIENTES AL SECTOR PÚBLICO</t>
  </si>
  <si>
    <t>6.01.02</t>
  </si>
  <si>
    <t xml:space="preserve">Transferencias corrientes a Órganos Desconcentrados </t>
  </si>
  <si>
    <t>6.02</t>
  </si>
  <si>
    <t>TRANSFERENCIAS CORRIENTES A PERSONAS</t>
  </si>
  <si>
    <t>6.02.01</t>
  </si>
  <si>
    <t xml:space="preserve">Becas a funcionarios </t>
  </si>
  <si>
    <t>6.02.03</t>
  </si>
  <si>
    <t>Ayudas a funcionarios (fondo enfermedad)</t>
  </si>
  <si>
    <t>6.02.99</t>
  </si>
  <si>
    <t>Otras transferencias a personas</t>
  </si>
  <si>
    <t>6.03</t>
  </si>
  <si>
    <t>PRESTACIONES</t>
  </si>
  <si>
    <t>6.03.01</t>
  </si>
  <si>
    <t xml:space="preserve">Prestaciones legales </t>
  </si>
  <si>
    <t>6.03.99</t>
  </si>
  <si>
    <t>Otras prestaciones (Incapacidades)</t>
  </si>
  <si>
    <t>6.06</t>
  </si>
  <si>
    <t xml:space="preserve">OTRAS TRANSFERENCIAS CORRIENTES AL SECTOR PRIVADO </t>
  </si>
  <si>
    <t>6.06.01</t>
  </si>
  <si>
    <t>Indemnizaciones</t>
  </si>
  <si>
    <t>6.06.02</t>
  </si>
  <si>
    <t>Reintegros o devoluciones</t>
  </si>
  <si>
    <t>6.07</t>
  </si>
  <si>
    <t>TRANSFERENCIAS CORRIENTES AL SECTOR EXTERNO</t>
  </si>
  <si>
    <t>6.07.01</t>
  </si>
  <si>
    <t xml:space="preserve">Transferencias corrientes a organismos internacionales </t>
  </si>
  <si>
    <t>TRANSFERENCIAS DE CAPITAL</t>
  </si>
  <si>
    <t>7.01</t>
  </si>
  <si>
    <t>TRANSFERENCIAS DE CAPITAL AL SECTOR PUBLICO</t>
  </si>
  <si>
    <t>7.01.06</t>
  </si>
  <si>
    <t>Transferencias de Capital a Instituciones Públicas Financieras</t>
  </si>
  <si>
    <t>7.02</t>
  </si>
  <si>
    <t>TRANSFERENCIAS DE CAPITAL A PERSONAS</t>
  </si>
  <si>
    <t>7.02.01.01</t>
  </si>
  <si>
    <t>Transferencias de capital a personas</t>
  </si>
  <si>
    <t>7.02.01.03</t>
  </si>
  <si>
    <t>Casos Individuales Art.59</t>
  </si>
  <si>
    <t>7.02.01.04</t>
  </si>
  <si>
    <t>Subsidios Convenio Consolidación Patrimonial</t>
  </si>
  <si>
    <t>7.02.01.05</t>
  </si>
  <si>
    <t>Subsidios Convenio Titulación</t>
  </si>
  <si>
    <t>AMORTIZACION</t>
  </si>
  <si>
    <t>8.02</t>
  </si>
  <si>
    <t>AMORTIZACIÓN DE PRÉSTAMOS AL SECTOR PRIVADO</t>
  </si>
  <si>
    <t>8.02.07</t>
  </si>
  <si>
    <t>Amortización de préstamos del Sector Privado</t>
  </si>
  <si>
    <t xml:space="preserve">CUENTAS ESPECIALES  </t>
  </si>
  <si>
    <t>9.02</t>
  </si>
  <si>
    <t>SUMAS SIN ASIGNACIÓN PRESUPUESTARIA</t>
  </si>
  <si>
    <t>9.02.02</t>
  </si>
  <si>
    <t>Sumas con destino específico sin asignación presupuestaria</t>
  </si>
  <si>
    <t>TOTAL INGRESOS</t>
  </si>
  <si>
    <t>INVU                                (SIN INCLUIR EL SAP)</t>
  </si>
  <si>
    <t>PROGRAMA No.1 ADMINISTRACIÓN Y APOYO</t>
  </si>
  <si>
    <t>PROGRAMA No.2 URBANISMO</t>
  </si>
  <si>
    <t>PROGRAMA No.3          PROGRAMAS HABITACIONALES</t>
  </si>
  <si>
    <t>PROGRAMA No.4    GESTION DE PROGRAMAS DE FINANCIAMIENTO</t>
  </si>
  <si>
    <t>SUBPROGRAMA NO.1 GESTIÓN DE PRODUCTOS DEL SISTEMA DE AHORRO Y PRÉSTAMO (SAP)</t>
  </si>
  <si>
    <t>SUBPROGRAMA NO.2  GESTIÓN DE PRODUCTOS CON DIVERSAS FUENTES DE FINANCIAMIENTO</t>
  </si>
  <si>
    <t>1.0.0.0.00.00.0.0.000</t>
  </si>
  <si>
    <t>INGRESOS    CORRIENTES</t>
  </si>
  <si>
    <t>1.3.0.0.00.00.0.0.000</t>
  </si>
  <si>
    <t>INGRESOS NO TRIBUTARIOS</t>
  </si>
  <si>
    <t>1.3.1.0.00.00.0.0.000</t>
  </si>
  <si>
    <t>VENTA DE BIENES Y SERVICIOS</t>
  </si>
  <si>
    <t>1.3.1.2.00.00.0.0.000</t>
  </si>
  <si>
    <t>VENTA DE SERVICIOS</t>
  </si>
  <si>
    <t>1.3.1.2.03.01.0.0.000</t>
  </si>
  <si>
    <t xml:space="preserve">Servicios financieros </t>
  </si>
  <si>
    <t>1.3.1.2.04.00.0.0.000</t>
  </si>
  <si>
    <t>1.3.1.2.04.01.0.0.000</t>
  </si>
  <si>
    <r>
      <t xml:space="preserve">Alquiler de edificios e instalaciones  </t>
    </r>
    <r>
      <rPr>
        <b/>
        <sz val="10"/>
        <rFont val="Arial"/>
        <family val="2"/>
      </rPr>
      <t xml:space="preserve"> </t>
    </r>
  </si>
  <si>
    <t>1.3.1.2.09.09.0.0.000</t>
  </si>
  <si>
    <t>Venta de otros servicios</t>
  </si>
  <si>
    <t>1.3.1.2.09.09.1.0.000</t>
  </si>
  <si>
    <t xml:space="preserve">Ingresos INVU </t>
  </si>
  <si>
    <t>1.3.1.2.09.09.3.0.000</t>
  </si>
  <si>
    <t>Ingresos Urbanismo</t>
  </si>
  <si>
    <t>Sistema de Ahorro Y Préstamo</t>
  </si>
  <si>
    <t>1.3.1.2.09.09.3.0.002</t>
  </si>
  <si>
    <t>INGRESOS DE LA PROPIEDAD</t>
  </si>
  <si>
    <t>1.3.1.2.09.09.3.0.003</t>
  </si>
  <si>
    <t>RENTA DE PROPIEDADES</t>
  </si>
  <si>
    <t>1.3.2.2.02.00.0.0.000</t>
  </si>
  <si>
    <t xml:space="preserve">Alquiler de terrenos  </t>
  </si>
  <si>
    <t>-</t>
  </si>
  <si>
    <t>1.3.2.3.00.00.0.0.000</t>
  </si>
  <si>
    <t>RENTA DE ACTIVOS FINANCIEROS</t>
  </si>
  <si>
    <t>1.3.2.3.01.00.0.0.000</t>
  </si>
  <si>
    <t>INTERESES SOBRE TITUTLOS VALORES</t>
  </si>
  <si>
    <t>1.3.2.3.01.06.0.0.000</t>
  </si>
  <si>
    <t>Intereses sobre títulos valores de Inst.Pub.Financieras</t>
  </si>
  <si>
    <t>INVU Central</t>
  </si>
  <si>
    <t>BID</t>
  </si>
  <si>
    <t>Partidas Específicas</t>
  </si>
  <si>
    <t>Ley 8448</t>
  </si>
  <si>
    <t>1.3.2.3.02.07.0.0.000</t>
  </si>
  <si>
    <t>Intereses y comisiones sobre préstamos al Sector Privado</t>
  </si>
  <si>
    <t xml:space="preserve">  Invu Central</t>
  </si>
  <si>
    <t>1.3.2.3.02.08.0.0.000</t>
  </si>
  <si>
    <t>Intereses y comisiones sobre préstamos al Sector Privado SAP</t>
  </si>
  <si>
    <t>1.3.2.3.03.00.0.0.000</t>
  </si>
  <si>
    <t>OTRAS RENTAS DE ACTIVOS FINANCIEROS</t>
  </si>
  <si>
    <t>1.3.2.3.03.01.0.0.000</t>
  </si>
  <si>
    <t>Intereses sobre cuentas corrientes y otros dep. en Bcos Estatales</t>
  </si>
  <si>
    <t>Intereses sobre cuentas corr y otros dep. en Bcos Estatales SAP</t>
  </si>
  <si>
    <t>1.3.9.0.00.00.0.0.000</t>
  </si>
  <si>
    <t>OTROS INGRESOS NO TRIBUTARIOS</t>
  </si>
  <si>
    <t xml:space="preserve">1.3.9.9.00.00.0.0.000 </t>
  </si>
  <si>
    <t xml:space="preserve">Ingresos varios no especificados  </t>
  </si>
  <si>
    <t xml:space="preserve">1.3.9.9.01.00.0.0.000 </t>
  </si>
  <si>
    <t xml:space="preserve">Ingresos varios no especificados  INVU  </t>
  </si>
  <si>
    <t xml:space="preserve">1.3.9.9.02.00.0.0.000 </t>
  </si>
  <si>
    <t xml:space="preserve">Ingresos varios no especificados A Y P  </t>
  </si>
  <si>
    <t>1.4.0.0.00.00.0.0.000</t>
  </si>
  <si>
    <t xml:space="preserve">Transferencias Corrientes </t>
  </si>
  <si>
    <t>1.4.1.0.00.00.0.0.000</t>
  </si>
  <si>
    <t>Transferencias Corrientes del Sector Público</t>
  </si>
  <si>
    <t xml:space="preserve"> 1.4.1.6.00.00.0.0.000</t>
  </si>
  <si>
    <t>Transferencias corrientes de Instituciones públicas Financieras</t>
  </si>
  <si>
    <t>TOTAL INGRESOS DE CAPITAL Y FINANCIAMIENTO</t>
  </si>
  <si>
    <t>2.0.0.0.00.00.0.0.000</t>
  </si>
  <si>
    <t>INGRESOS DE CAPITAL</t>
  </si>
  <si>
    <t>2.1.0.0.00.00.0.0.000</t>
  </si>
  <si>
    <t>VENTA DE ACTIVOS</t>
  </si>
  <si>
    <t>2.1.1.0.00.00.0.0.000</t>
  </si>
  <si>
    <t>VENTA DE ACTIVOS FIJOS</t>
  </si>
  <si>
    <t xml:space="preserve">2.1.1.1.00.00.0.0.000 </t>
  </si>
  <si>
    <t>Venta de terrenos  (y lotes)</t>
  </si>
  <si>
    <t>2.1.1.9.00.00.0.0.000</t>
  </si>
  <si>
    <t>Venta de Otros Activos Fijos</t>
  </si>
  <si>
    <t>2.3.0.0.00.00.0.0.000</t>
  </si>
  <si>
    <t>RECUPERACION DE PRESTAMOS</t>
  </si>
  <si>
    <t>2.3.2.0.00.00.0.0.000</t>
  </si>
  <si>
    <t>RECUPERACION DE PRESTAMOS AL SECTOR PRIVADO</t>
  </si>
  <si>
    <t>2.3.2.1.00.00.0.0.000</t>
  </si>
  <si>
    <t>RECUP. DE PRESTAMOS AL SECTOR PRIVADO INVU</t>
  </si>
  <si>
    <t xml:space="preserve">     Prestatarios INVU</t>
  </si>
  <si>
    <t>2.3.2.2.00.00.0.0.000</t>
  </si>
  <si>
    <t xml:space="preserve">     Prestatarios SAP</t>
  </si>
  <si>
    <t>2.4.0.0.00.00.0.0.000</t>
  </si>
  <si>
    <t>2.4.1.0.00.00.0.0.000</t>
  </si>
  <si>
    <t>TRANSFERENCIAS DE CAPITAL DEL SECTOR PÚBLICO</t>
  </si>
  <si>
    <t>2.4.1.6.00.00.0.0.000</t>
  </si>
  <si>
    <t>Transferencias de Capital de Instituciones Públicas financieras</t>
  </si>
  <si>
    <t>2.4.1.3.00.00.0.0.000</t>
  </si>
  <si>
    <t>Tranf. De Capital de Instituciones Descentralizadas no Empresariales</t>
  </si>
  <si>
    <t>3.0.0.0.00.00.0.0.000</t>
  </si>
  <si>
    <t>FINANCIAMIENTO</t>
  </si>
  <si>
    <t>3.1.0.0.00.00.0.0.000</t>
  </si>
  <si>
    <t>FINANCIAMIENTO INTERNO</t>
  </si>
  <si>
    <t>3.1.1.0.00.00.0.0.000</t>
  </si>
  <si>
    <t>PRESTAMOS DIRECTOS</t>
  </si>
  <si>
    <t>3.1.1.7.00.00.0.0.000</t>
  </si>
  <si>
    <t>Préstamos directos del Sector Privado</t>
  </si>
  <si>
    <t>Préstamos directos del Sector Privado (SAP)</t>
  </si>
  <si>
    <t>3.3.0.0.00.00.0.0.000</t>
  </si>
  <si>
    <t>RECURSOS DE VIGENCIAS ANTERIORES</t>
  </si>
  <si>
    <t>3.3.1.0.00.00.0.0.000</t>
  </si>
  <si>
    <t>SUPERAVIT LIBRE</t>
  </si>
  <si>
    <t>Superávit libre</t>
  </si>
  <si>
    <t>3.3.2.0.00.00.0.0.000</t>
  </si>
  <si>
    <t>SUPERAVIT ESPECIFICO</t>
  </si>
  <si>
    <t>Superávit BANHVI</t>
  </si>
  <si>
    <t>Superávit Específico BID</t>
  </si>
  <si>
    <t>Superávit Específico Aporte Clientes BFV</t>
  </si>
  <si>
    <t>Superávit Específico FODESAF (Compra terreno El Erizo)</t>
  </si>
  <si>
    <t>Superávit Específico FODESAF (Convenio Cosolidación Patrimonial)</t>
  </si>
  <si>
    <t>Superávit Específico FODESAF (Convenio Titulación)</t>
  </si>
  <si>
    <t>Superávit Específico Ley 8785</t>
  </si>
  <si>
    <t>Superávit Específico Ley 9103</t>
  </si>
  <si>
    <t>Superávit Específico Plan Regulador Talamanca</t>
  </si>
  <si>
    <t>Superávit Específico Plan Regulador Coronado</t>
  </si>
  <si>
    <t>Superávit Específico  Ley 9344</t>
  </si>
  <si>
    <t>Superávit Específico  Ley 9304 (Talúd Alajuelita)</t>
  </si>
  <si>
    <t>Superávit Específico  Ley 8790</t>
  </si>
  <si>
    <t>Superávit Específico Ley 8448</t>
  </si>
  <si>
    <t>Superávit Específico 9016</t>
  </si>
  <si>
    <t>MATRIZ DE INDICADORES DEL PLAN OPERATIVO INSTITUCIONAL 2021</t>
  </si>
  <si>
    <t>MISION: “Facilitamos a las familias el acceso a vivienda digna y somos los líderes nacionales en la gestión integral del territorio, en procura de un mayor bienestar social, ambiental y económico para Costa Rica”
VISIÓN: “Seremos reconocidos como la institución referente en vivienda y urbanismo para Costa Rica, procurando la mejora en la calidad de vida con innovación constante, un marco jurídico pertinente y los recursos idóneos”</t>
  </si>
  <si>
    <t>OBSERVACIONES</t>
  </si>
  <si>
    <t>I</t>
  </si>
  <si>
    <t>II</t>
  </si>
  <si>
    <t>III</t>
  </si>
  <si>
    <t>IV</t>
  </si>
  <si>
    <t>EJE ESTRATÉGICO: GESTIÓN INSTITUCIONAL</t>
  </si>
  <si>
    <t>I, V, VI, VII, VIII, IX y X.</t>
  </si>
  <si>
    <t xml:space="preserve">
Producto: 
Servicio de apoyo a la producción de bienes y servicios institucionales.
</t>
  </si>
  <si>
    <t xml:space="preserve">
Gestionar las acciones que contribuyan a la mejora en el control, eficiencia y eficacia institucional</t>
  </si>
  <si>
    <t xml:space="preserve">1. Número de factores de desempeño mejorados del Indice de Gestión Institucional (IGI) para el Sector Público.
</t>
  </si>
  <si>
    <t xml:space="preserve">1. Identificar los factores de desempeño a mejorar.
2. Elaborar la propuesta de mejora.
3. Implementar la propuesta de mejora.
</t>
  </si>
  <si>
    <t>Gerencia General</t>
  </si>
  <si>
    <t>El IGI es un instrumento que mide el avance en el establecimiento y la implementación de factores para potenciar la gestión pública. 
Los factores a medir son:
1) Planificación, 
2)  Financiero Contable, 3) Control Interno, 
4) Presupuesto, 5) Tecnologías de Información, 
6) Servicio al usuario y 7) Talento Humano.
Se encuentra incluido en el Plan Estratégico Institucional (PEI), como parte de una Línea de Acción, para el cumplimiento de los objetivos estratégicos.</t>
  </si>
  <si>
    <t>2. Porcentaje de satisfacción de los clientes con la atención brindada.</t>
  </si>
  <si>
    <t>Alcanzar como mínimo que un 75% de los clientes estén satisfechos con la atención brindada.</t>
  </si>
  <si>
    <t>1. Elaborar la encuesta.
2. Aplicar la encuesta.
3. Tabular y analizar la información.
4. Elaborar informe y propuesta de mejora.</t>
  </si>
  <si>
    <t>Gerencia General
Unidad de Comunicación y Promoción</t>
  </si>
  <si>
    <t>3. Porcentaje de satisfacción de los clientes con los productos ofrecidos.</t>
  </si>
  <si>
    <t>Alcanzar como mínimo que un 80% de los clientes estén satisfechos con los productos ofrecidos.</t>
  </si>
  <si>
    <t>Se encuentra incluido en el Plan Estratégico Institucional (PEI), como parte de una Línea de Acción, para el cumplimiento de los objetivos estratégicos.</t>
  </si>
  <si>
    <t xml:space="preserve">4. Número de casos a reducir de Cobro Judicial.
</t>
  </si>
  <si>
    <t>Reducir 600 de Cobro Judicial.</t>
  </si>
  <si>
    <t xml:space="preserve">1. Asignar la cartera de crédito por rangos.    
2. Analizar las operaciones morosas.
3. Seleccionar los casos de cobro judicial.
4. Remitir los casos a los abogados. </t>
  </si>
  <si>
    <t>Dirección Administrativa Financiera</t>
  </si>
  <si>
    <t>El 70% de los casos (420 casos) corresponde al Sistema de Ahorro y Préstamo (SAP) y el otro 30% (180 casos) es de INVU Central.</t>
  </si>
  <si>
    <t>5. Porcentaje de aumento de los ingresos recuperados por cobro judicial con respecto al año anterior.</t>
  </si>
  <si>
    <t>Aumentar en un 10% el monto recuperado por cobro judicial
(pasar de 620 a 685 millones)</t>
  </si>
  <si>
    <t>1. Dar seguimiento a los casos de cobro judicial (Àrea de Cobros y Asesoría Legal)
2. Aplicar la normativa de  Cobro Judicial Institucional.</t>
  </si>
  <si>
    <t>Dirección Administrativa Financiera
Unidad de Finanzas</t>
  </si>
  <si>
    <t>6. Porcentaje de disminución promedio de la cartera morosa de más de 60 días.</t>
  </si>
  <si>
    <t xml:space="preserve">
Disminuir en un 2% la cartera morosa.</t>
  </si>
  <si>
    <t xml:space="preserve">1. Asignar la cartera de crédito por rangos.    
2. Analizar las operaciones morosas.
3. Gestionar actividades de recuperación. </t>
  </si>
  <si>
    <t>Para dar cumplimiento a esta meta se necesita actualizar operaciones pendientes y un registro oportuno de la información requerida en el sistema, por parte de los involucrados en el proceso.</t>
  </si>
  <si>
    <t>7. Número de capacitaciones brindadas en el tema de Etica  para todo el personal.</t>
  </si>
  <si>
    <t>Impartir 2 capacitaciones en ética.</t>
  </si>
  <si>
    <t xml:space="preserve">1. Coordinar las capacitaciones con funcionarios de la Procuraduría de la Ética.
2. Apoyar en aspectos de logística (lugar, equipos, conexión, entre otros)
3. Elaborar la documentación (lista de asistencia, reporte de capacitación). </t>
  </si>
  <si>
    <t xml:space="preserve">Talento Humano
Planificación Institucional
</t>
  </si>
  <si>
    <t>Los temas de las capacitaciones son el Derecho de acceso de información y Conflicto de intereses en la función pública.
Las capacitaciones se van a gestionar con la Procuraduría de la Ética.</t>
  </si>
  <si>
    <t>8. Número de proyectos gestionados con participación ciudadana.</t>
  </si>
  <si>
    <t xml:space="preserve">Gestionar 3 proyectos con participación ciudadana.  </t>
  </si>
  <si>
    <t>Gerencia General
Unidad de Comunicación y Promoción
Salud Ocupacional</t>
  </si>
  <si>
    <t xml:space="preserve">Los tres proyectos a gestionar son los siguientes:
1) A un Click.
2) Plan de Gestión Ambiental. 
3) Río María Aguilar.
 </t>
  </si>
  <si>
    <t>EJE ESTRATÉGICO: ORDENAMIENTO TERRITORIAL Y PLANIFICACION URBANA</t>
  </si>
  <si>
    <t>I, III, VI, VII, VIII, IX y X.</t>
  </si>
  <si>
    <t>Producto: 
Servicio de formulación, revisión y aprobación de planes reguladores urbanos y costeros. Usuarios: Municipalidades.
Cantidad de hombres: No aplica.             Cantidad de mujeres: No aplica.</t>
  </si>
  <si>
    <t>Avanzar con la elaboración del Plan Nacional de Desarrollo Urbano (PNDU).</t>
  </si>
  <si>
    <t xml:space="preserve">9. Porcentaje de avance promedio en la elaboración del Plan de Ordenamiento Territorial de las regiones Chorotega (100%) y Huetar Norte (100%). </t>
  </si>
  <si>
    <t>Elaborar en un 100% los Plan de Ordenamiento Territorial.</t>
  </si>
  <si>
    <t>1. Realizar los talleres de Revalidación de propuestas.
2. Elaborar la posproducción de los documentos.
3. Elaborar la cartografía. 
4. Gestionar la publicación.</t>
  </si>
  <si>
    <t>Dirección de Urbanismo y Vivienda y Departamento de  Urbanismo</t>
  </si>
  <si>
    <t>El avance parcial por año de los planes, se muestra seguidamente:
Chorotega:
- Año 2019:15% 
- Año 2020:70% 
- Año 2021:15%
Huetar Norte:
- Año 2019:25% 
- Año 2020:60% 
- Año 2021:15%</t>
  </si>
  <si>
    <t>Recibir y revisar los cuadrantes urbanos de las regiones Chorotega y Huetar Norte, elaborados por la empresa contratada.</t>
  </si>
  <si>
    <t>10. Número de Cuadrantes Urbanos recibidos y revisados, de las regiones Chorotega y Huetar Norte.</t>
  </si>
  <si>
    <t>Revisar 116 del total de 341   cuadrantes urbanos (pasar de 341 a 225 cuadrantes por revisar)</t>
  </si>
  <si>
    <t>1. Recibir los cuadrantes urbanos.
2. Analizar según normativa.
3. Elaborar la documentación respeciva
4. Gestionar los ajuste (si es del caso).</t>
  </si>
  <si>
    <t xml:space="preserve">Departamento de Urbanismo, Unidad de Criterios Técnicos y Operativos </t>
  </si>
  <si>
    <t xml:space="preserve">El total de cuadrantes por región es el siguiente:
- Chorotega: 71
- Huetar Norte: 45
- Huetar Caribe: 39
- Brunca: 48
- Pacífico Central: 35
- Central: 103 </t>
  </si>
  <si>
    <t>Revisar y aprobar los Planes Reguladores presentados por las Municipalidades.</t>
  </si>
  <si>
    <t>11. Plazo Promedio en meses para revisión de los Planes Reguladores</t>
  </si>
  <si>
    <t>Revisar en 3 meses los planes reguladores.</t>
  </si>
  <si>
    <t>1. Recibir los planes reguladores.
2. Analizar según normativa.
3. Elaborar la resolución y comunicar.
4. Aprobar los planes reguladores.</t>
  </si>
  <si>
    <t>Elaborar los Planes Reguladores presentados por la Municipalidades.</t>
  </si>
  <si>
    <t>12. Porcentaje de avance promedio en la elaboración de planes reguladores (Talamanca 100% y Coronado 100%).</t>
  </si>
  <si>
    <t>Elaborar en un 100% los planes reguladores.</t>
  </si>
  <si>
    <t>Vasquez de Coronado:
1. Elaborar las propuestas.
Talamanca:
1. Concluir la propuesta del plan. 
2. Gestionar la revisión del plan ante el Instituto Costarricense de Turismo (ICT).
3. Realizar la Audiencia pública.</t>
  </si>
  <si>
    <t>El avance parcial por año de los planes, se muestra seguidamente:
Talamanca:
- Año 2018:25% 
- Año 2019:20% 
- Año 2020:40% 
- Año 2021:15%
Coronado:
- Año 2020: 50% 
- Año 2021: 50%</t>
  </si>
  <si>
    <t xml:space="preserve">Brindar acompañamiento tecnico a  todas las municipalidades del país en materia de elaboración de propuestas de planificación territorial (Planes Reguladores) </t>
  </si>
  <si>
    <t>13. Número de acompañamientos en el proceso de elaboración de Planes Reguladores.</t>
  </si>
  <si>
    <t>Dar acompañamiento en la elaboración de 4 planes reguladores.</t>
  </si>
  <si>
    <t>1. Revisar la información recopilada.
2.  Analizar la propuesta de plan regulador, de acuerdo con la normativa.
3.Coordinar las sesiones de trabajo multidisciplinaria, para evacuar consultas.
4. Elaborar el informe sobre la propuesta del Plan Regulador.</t>
  </si>
  <si>
    <t>Las municipalidades a las que se le va a brindar acompañamiento son las siguientes:
1) Pérez Zeledón
2) Goicoechea
3) Cartago  
4) El Guarco.</t>
  </si>
  <si>
    <t>Participar en mesas técnicas de proyectos de interés nacional, Planes Reguladores y desarrollo orientado al Transporte.</t>
  </si>
  <si>
    <t>14. Porcentaje de participación en las mesas de coordinación interinstitucional: planes reguladores y desarrollo orientado al transporte (proyecto: Mueve)</t>
  </si>
  <si>
    <t>Participar en un 100% en la mesas técnicas.</t>
  </si>
  <si>
    <t>1. Recibir la convocatoria.
2. Asistir a las mesas técnicas.
3. Firmar el documento de asistencia (si se requiere).
4. Elaborar la minuta de la reunión.</t>
  </si>
  <si>
    <t>Certificar los usos urbanos de finca presentados por los usuarios.</t>
  </si>
  <si>
    <t>15. Días de duración  para la emisión de los certificados de condición de uso urbano de finca.</t>
  </si>
  <si>
    <t xml:space="preserve">Emitir los certificados en 15 días dentro de la GAM y en 25 días fuera de la GAM. </t>
  </si>
  <si>
    <t>15 y 25</t>
  </si>
  <si>
    <t>1. Recibir y revisar las solicitudes.
2. Revisar según normativa.
3. Emitir la resolución, que indica si tiene o no condición urbana. 
4. Emitir el certificado.</t>
  </si>
  <si>
    <t xml:space="preserve">Dentro de la GAM 15 días y fuera de la GAM 25 días, de conformidad con el acuerdo adoptado en la Sesión Ordinaria N°6462, Artículo II, Inciso 4), del 27 de agosto del 2020. </t>
  </si>
  <si>
    <t>Producto: 
Servicio de visado de planos Usuarios: Público en general    Cantidad de hombres: no aplica             Cantidad de mujeres: no aplica</t>
  </si>
  <si>
    <t>Revisar los proyectos APC, alineamientos, Plano General de Catastro</t>
  </si>
  <si>
    <t>16. Días de duración  para el trámite de los planos presentados para revisión.</t>
  </si>
  <si>
    <t>Revisar los planos en 15 días hábiles.</t>
  </si>
  <si>
    <t>1. Recibir los planos.
2. Revisar de acuerdo con la normativa.
3. Elaborar las observaciones.
4. Emitir la resolución (aprobado o rechazado).</t>
  </si>
  <si>
    <t>Departamento de Urbanismo, Unidad de Fiscalización</t>
  </si>
  <si>
    <t>El APC (Sistema de Administración de Proyectos de Construcción) es un sistema que funciona mediante el Colegio Federado de Ingenieros y Arquitectos (CFIA).</t>
  </si>
  <si>
    <t xml:space="preserve">Producto: 
Servicio de asesoría a Municipalidades, Instituciones Públicas, Privadas y Público en general. 
Usuarios: Municipalidades, Instituciones Públicas, Privadas y Público en general.    
Cantidad de hombres: no aplica             Cantidad de mujeres: no aplica
</t>
  </si>
  <si>
    <t>Elaborar módulos de capacitación de acuerdo con la Ley de Planificación Urbana, para contribuir a fomentar un conocimiento especializado en la materia.</t>
  </si>
  <si>
    <t>17. Número de capacitaciones brindadas en materia reglamentaria, según las competencias indicadas en la Ley de Planificación Urbana.</t>
  </si>
  <si>
    <t>Impartir 18 capacitaciones sobre la Ley de Planificación Urbana.</t>
  </si>
  <si>
    <t xml:space="preserve">
1. Recibir las solicitudes.
2. Preparar la capacitación.
3. Impartir la capacitación.
4. Dar seguimiento a las recomendaciones.
</t>
  </si>
  <si>
    <t xml:space="preserve">Departamento de Urbanismo, Unidad de Asesoría y Capacitación </t>
  </si>
  <si>
    <t>Se impartirán los siguientes Módulos de Capacitación: 
Módulo 01. Ley de Planificación Urbana
Módulo 02. Reglamento de Construcciones
Módulo 03. Reglamento de Fraccionamiento y Urbanizaciones 
Módulo 04.  Reglamento de Renovación Urbana 
Módulo 05. Manual de Planes Reguladores como Instrumento de Ordenamiento Territorial 
Módulo 06. Régimen de Propiedad en Condominio
Módulo 07. Alineamientos de las Áreas de Protección según la Ley Forestal N° 7575
Módulo 08. Normas Mínimas de Diseño Geométrico en Urbanizaciones</t>
  </si>
  <si>
    <t>18. Número de módulos de capacitación elaborados de acuerdo con la Ley de Planificación Urbana.</t>
  </si>
  <si>
    <t>Elaborar 2 módulos de capacitación sobre la Ley de Planificación Urbana.</t>
  </si>
  <si>
    <t xml:space="preserve">
1. Identificar los temas de los módulos.
2. Analizar la normativa. 
3. Elaborar los documentos.
</t>
  </si>
  <si>
    <t>Los dos módulos de capacitación a elaborar son los siguientes:
1) Actualización del Manual de Normas Mínimas de Diseño Geométrico en Urbanizaciones.
2) Guía de Ventilación en Edificaciones.</t>
  </si>
  <si>
    <t>Atender consultas y brindar asesoría personalizada al público en general que requiera recomendaciones técnicas para solucionar problemas específicos.</t>
  </si>
  <si>
    <t xml:space="preserve">19. Porcentaje de consultas y asesorías recibidas, atendidas y con respuesta en materia reglamentaria, según las competencias indicadas en la Ley de Planificación Urbana.
</t>
  </si>
  <si>
    <t>Recibir, atender y dar respuesta al 100% de las consultas y asesorías.</t>
  </si>
  <si>
    <t>1. Recibir las solicitudes.
2. Analizar las solicitudes.
3. Revisar y aprobar la respuesta.
3. Redactar la respuesta y remitir al solicitante.</t>
  </si>
  <si>
    <t>Considera las consultas atendidas en la Unidad Asesoría y Capacitación y en la Unidad Criterios Técnicos y Operativos de Ordenamiento Territorial.</t>
  </si>
  <si>
    <t xml:space="preserve">EJE ESTRATÉGICO: SOLUCIONES DE VIVIENDA   </t>
  </si>
  <si>
    <t>I, II, IV, V, VI, VII, VIII, IX y X.</t>
  </si>
  <si>
    <t xml:space="preserve">
Producto: 
Programas habitacionales desarrollados y subsidios.
Usuarios: Familias de Interés Social y Clase Media. 
Cantidad de hombres: 50%
Cantidad de mujeres: 
50%</t>
  </si>
  <si>
    <t>Obtener los estudios técnicos de los proyectos.</t>
  </si>
  <si>
    <t>20. Número de estudios técnicos elaborados del Proyecto El Vergel.</t>
  </si>
  <si>
    <r>
      <t xml:space="preserve">
Realizar 2 de un total de 2 estudios técnicos (un estudio de suelos y un plano catastrado)
</t>
    </r>
    <r>
      <rPr>
        <b/>
        <sz val="12"/>
        <color rgb="FFFF0000"/>
        <rFont val="Arial"/>
        <family val="2"/>
      </rPr>
      <t/>
    </r>
  </si>
  <si>
    <t>1. Realizar los estudios de suelos y los planos de catastro.</t>
  </si>
  <si>
    <t xml:space="preserve">Departamento de Programas Habitacionales, Unidad de
Proyectos
Habitacionales
</t>
  </si>
  <si>
    <t>1) El Vergel: un estudio de suelos y un plano de catastro.</t>
  </si>
  <si>
    <t xml:space="preserve">Elaborar el plano constructivo y obtener la aprobación, de los proyectos Bono Colectivo Corina Rodríguez 1986, Bono Colectivo Parque Acosta Activa y Los Lirios II. </t>
  </si>
  <si>
    <t>21. Número de planos aprobados en el APC-CFIA de los proyectos Bono Colectivo Corina Rodríguez 1986, Bono Colectivo Parque Acosta Activa y Los Lirios II.</t>
  </si>
  <si>
    <t>Obtener la aprobación de los planos de anteproyecto de  3 proyectos.</t>
  </si>
  <si>
    <t>1. Realizar los estudios básicos.
2. Gestionar las solicitudes de servicios (agua, electricidad, recolección de desechos sólidos).
3. Elaborar los planos finales.
5. Gestionar la aprobación ante el CFIA.</t>
  </si>
  <si>
    <t>Departamento de Programas Habitacionales, Unidad de
Proyectos
Habitacionales</t>
  </si>
  <si>
    <t xml:space="preserve">La Institución deberá contratar una empresa para la elaboración del diseño y la construcción de las obras. 
</t>
  </si>
  <si>
    <t xml:space="preserve">Licitar las obras del Bono Comunal San Juan III Etapa.
</t>
  </si>
  <si>
    <t>22. Porcentaje de avance en la licitación, para el desarrollo de la obra urbanística del proyecto San Juan III Etapa.</t>
  </si>
  <si>
    <t xml:space="preserve">Avanzar el 100% en la  contratación para el desarrollo de las obras.
</t>
  </si>
  <si>
    <t>1. Elaborar el cartel de licitación.
2. Recibir del BANHVI el aval del cartel.
3. Aprobación de la Comisión de Licitaciones.
4. Publicar el cartel en SICOP. 
5. Recibir y analizar las ofertas. 
6.Adjudicación(aval previo BANHVI. 
7.Firma del Contrato. 
8. Refrendo de la CGR.</t>
  </si>
  <si>
    <t>Departamento de Programas Habitacionales, Unidad de
Proyectos
Habitacionales.</t>
  </si>
  <si>
    <t>La fuente de recursos es recursos propios, con un presupuesto por ¢20,0 millones.
Ubicación; San Jose, Central San José.</t>
  </si>
  <si>
    <t>Construir 22 soluciones de vivienda del Proyecto Premio Nobel</t>
  </si>
  <si>
    <t>23. Número de
soluciones de vivienda
construidas en el Proyecto Premio Nobel</t>
  </si>
  <si>
    <t xml:space="preserve">Construir 22 del total de 22 soluciones de vivienda. </t>
  </si>
  <si>
    <t xml:space="preserve">1. Completar el proceso constructivo.
2. Cierre de fiscalización.                          </t>
  </si>
  <si>
    <t>Este proyecto se financia con recursos propios (Superavit Específico BID), con un presupuesto de ¢70,0 millones, para su posterior colocación ante el BANHVI.
Ubicación: Cristo Rey, San José.
Se encuentra incluido en el Plan Estratégico Institucional (PEI), como parte de una Línea de Acción, para el cumplimiento de los objetivos estratégicos.</t>
  </si>
  <si>
    <t>Postular ante el BANHVI las soluciones de vivienda del Proyecto Premio Nobel</t>
  </si>
  <si>
    <t>24. Número de
soluciones de vivienda
del Proyecto Premio Nobel postuladas ante el BANHVI</t>
  </si>
  <si>
    <t xml:space="preserve">Postular 22 del total 22 soluciones de vivienda. </t>
  </si>
  <si>
    <t xml:space="preserve">
1. Preparar el proyecto para postularlo ante el BANHVI.
2. Postular el proyecto ante el BANHVI.                            
</t>
  </si>
  <si>
    <t xml:space="preserve">Por medio de la colocación ante el BANHVI se recupera la inversión realizada por la Institución. 
Ubicación: Cristo Rey, San José.
</t>
  </si>
  <si>
    <t xml:space="preserve">Construir 21 soluciones de vivienda del Proyecto Los Lirios
</t>
  </si>
  <si>
    <t xml:space="preserve">25. Número     de
soluciones
habitacionales
construidas   en
territorios rurales del Proyecto Los Lirios.
</t>
  </si>
  <si>
    <t xml:space="preserve">Construir 21 del total de 21 soluciones de vivienda. </t>
  </si>
  <si>
    <t>1. Realizar los estudios básicos.
2. Gestionar las solicitudes de servicios (agua, electricidad, recolección de desechos sólidos).
3. Elaborar los planos finales.
5. Gestionar la aprobación ante el CFIA y la construcción de las obras.</t>
  </si>
  <si>
    <t>Este proyecto se financia con recursos propios (Ley 9016), con un presupuesto de ¢420,0 millones, para su posterior colocación ante el BANHVI.
Ubicación: Pérez Zeledón, San José.
Se encuentra incluido en el Plan Estratégico Institucional (PEI), como parte de una Línea de Acción, para el cumplimiento de los objetivos estratégicos.</t>
  </si>
  <si>
    <t>Postular ante el BANHVI las soluciones de vivienda del Proyecto Los Lirios</t>
  </si>
  <si>
    <t>26. Número de
soluciones de vivienda
del Proyecto Proyecto Los Lirios postuladas ante el BANHVI.</t>
  </si>
  <si>
    <t xml:space="preserve">Postular 21 de las 21 soluciones de vivienda. </t>
  </si>
  <si>
    <t xml:space="preserve">Diseñar y Construir las Obras del Bono Colectivo Acosta Activa y Corina Rodríguez 1986 así como El Talud de Finca Boschini.
</t>
  </si>
  <si>
    <t>27. Porcentaje de avance en la etapa de ejecución de las obras de infraestructura de los Bonos Colectivos (Acosta Activa y Corina Rodríguez 1986) y El Talud de Finca Boschini.</t>
  </si>
  <si>
    <t>Ejecutar el 100% las obras de infraestructura y el Talud.</t>
  </si>
  <si>
    <t>La Institución deberá contratar una empresa para la elaboración del diseño y la construcción de las obras.
Los recursos aproximados son: ¢749,1 millones para Acosta Activa y ¢910,6 millones para Corina Rodríguez. El giro de éstos recursos los realiza el BANHVI a los desarrolladores directamente, previa fiscalización y autorización del INVU. 
Acosta Activa y Corina Rodríguez 1986, se encuentran en proceso de inscripción ante el Banco de Proyectos de Inversión Pública de MIDEPLAN.
La fuente de recursos para la construcción del Talud, provenientes de la Ley 9304, con presupuesto de ¢400,0 millones.
Ubicación: 
Acosta Activa: San Ignacio de Acosta, San Jose.
Corina Rodríguez: Alajuelita, San Jose. 
Finca Boschini: San José, Alajuelita.</t>
  </si>
  <si>
    <t>Comprar terrenos para el desarrollo de proyectos institucionales.</t>
  </si>
  <si>
    <t xml:space="preserve">28. Monto en millones de colones de  los recursos invertidos en la compra de terrenos para El Erizo (¢1.100 millones) y Garabito (¢680 millones).
 </t>
  </si>
  <si>
    <t>Invertir un total de ¢1.780,0 millones.</t>
  </si>
  <si>
    <t>El Erizo
1. Verificar la disponibilidad de agua potable, tanto con el AyA como con la Municipalidad.
3. Criterio legal y visto bueno por parte de la administración superior.
4. Proceso de compra y traspaso.
Garabito.
1. Verificar la disponibilidad de agua con el AyA o ASADA.
2. Criterio legal y visto bueno por parte de la administración superior.
3. Proceso de compra y traspaso.</t>
  </si>
  <si>
    <t>Departamento de Programas Habitacionales, Unidad Fondo de Inversión en Bienes Inmuebles</t>
  </si>
  <si>
    <t>Los recursos provienen de FODESAF, con un presupuesto de ¢1.780,0 millones. 
El terreno El Erizo se ubica en Alajuela.
El terreno de Garabito se ubica en el cantón de Garabito, Puntarenas.</t>
  </si>
  <si>
    <t>Actualizar las propiedades de la Institución.</t>
  </si>
  <si>
    <t xml:space="preserve">29. Número de propiedades depuradas del inventario de terrenos de la institución.
</t>
  </si>
  <si>
    <t>Depurar 2040 de 9.894 terrenos del inventario Institucional (pasar de 9.894 a 7.854 terrenos por depurar)</t>
  </si>
  <si>
    <t>1. Identificar inmuebles.
2. Revisar el listado de terrenos contra la información catastral y registral del Registro Nacional.
3. Depurar cuando se requiera, la información sobre clasificación, condición de la propiedad, área, número de finca, gravámenes, avalúos. 
4. Actualizar los listados de terrenos inscritos a nombre del INVU en el inventario y en el Módulo de Terrenos, producto del proceso de titulación.</t>
  </si>
  <si>
    <t>Departamento de Programas Habitacionales, Unidad Fondo de Inversión en Bienes Inmuebles.</t>
  </si>
  <si>
    <t>La cantidad total aproximada de propiedades por depurar a diciembre 2020 es de 9.894, las cuales están clasificados como reservas, adjudicaciones, titulación por venta y decreto, y áreas públicas.
Se debe dar cumplimiento a las disposiciones de la Contraloría General de la Republica en su informe N° DFOE-AE-IF-00005-2018.
Depurar: Corresponde a una labor de carácter técnica-administrativa que implica la revisión registral y catastral de cada una de las fincas, eliminando datos inconsistentes producto de manipulación incorrecta, información antigua o desactualizada, registros duplicados, así como la exclusión de fincas cerradas y tituladas dentro del inventario de bienes inmuebles del INVU.
Se encuentra incluido en el Plan Estratégico Institucional (PEI), como parte de una Línea de Acción, para el cumplimiento de los objetivos estratégicos.</t>
  </si>
  <si>
    <t>Realizar la  venta de inmuebles.</t>
  </si>
  <si>
    <t xml:space="preserve">30. Monto de ingresos generados por propiedades vendidas.
</t>
  </si>
  <si>
    <t>Vender un total de ¢205 millones.</t>
  </si>
  <si>
    <t>1. Identificar los terrenos.
2. Realizar el avalúo.
3. Preparar el informe y remitir listado de inmuebles a Junta Directiva (JD) para su aprobación.
4. Publicar la apertura del concurso.
5. Evaluar las ofertas recibidas y elaborar el informe.
6. Recibir el visto bueno de JD para adjudicar los bienes.
7. Recibir el pago.
8. Formalizar la escritura de traspaso.</t>
  </si>
  <si>
    <t>Se espera vender un total de 45 lotes, de los cuales 35 lotes corresponden a Titulación y los otros 10 lotes, por medio de Policitación.</t>
  </si>
  <si>
    <t>Tramitar casos de lotes  por decreto, venta de saldos de proyectos, adjudicaciones y traspaso de áreas públicas.</t>
  </si>
  <si>
    <t>31. Número de predios regularizados a nivel nacional.</t>
  </si>
  <si>
    <t xml:space="preserve">Titular 100 del total de 9164 propiedades  (pasar de 9164 a 9064 propiedades por titular) 
</t>
  </si>
  <si>
    <t>1. Recibir la solicitud.
2. Asignar el profesional a cargo.
3. Conformar el expediente.
4. Realizar la visita de inspeccion.
5. Realizar el análisis técnico y administrativo (avalúo, estudio social).
6. Emitir acuerdo de titulación.
7. Proceso de notariado.
8. Formalizar la escritura de traspaso.</t>
  </si>
  <si>
    <t xml:space="preserve">
El financiamiento es con recursos propios.
Los lotes a titular corresponden a saldos de proyectos los cuales son ocupados por familias interesadas en formalizar su situación patrimonial.
El total aproximado de propieades a titular es de 9264 casos.
Se espera aprobar a diciembre 2020 un total de 100 casos. 
A diciembre 2020 se estima un total de 9164 casos pendientes de aprobar.
Se encuentra incluido en el PNDIP.
Se encuentra incluido en el Plan Estratégico Institucional (PEI), como parte de una Línea de Acción, para el cumplimiento de los objetivos estratégicos.</t>
  </si>
  <si>
    <t>Tramitar casos para aplicar el subsidio de FODESAF a familias de pobreza y pobreza extrema, para la titulación del lote en los proyectos La Colina y El Bambú en Limón.</t>
  </si>
  <si>
    <t xml:space="preserve">32. Número de casos aprobados con subsidio FODESAF, para la titulación de su lote.
</t>
  </si>
  <si>
    <t xml:space="preserve">Aprobar 200 del total de 590 casos con subsidio FODESAF (pasar de 590 a 390 casos por aprobar)
</t>
  </si>
  <si>
    <t>1. Conformar el expediente.
2. Verificar el cumplimiento de requisitos.
3, Realizar el estudio socioeconómico.
4. Inspeccionar y valorar el inmueble.
5. Análisis administrativo para aplicación de subsidio.
6. Emisión del acuerdo de titulación.
7. Proceso de notariado.
8. Formalizar la escritura de traspaso.</t>
  </si>
  <si>
    <t>El financiamiento proviene de la Dirección de Desarrollo Social y Asignaciones Familiares (DESAF), según oficio MTSS-DMT-OF-1227-2019, del 27 de agosto del 2019.
El total aproximado de lotes que se espera aprobar con el subsidio de FODESAF es de 630 casos.
Se espera aprobar a diciembre 2020 un total de 40 casos. 
A diciembre 2020 se estima un total de 590 casos pendientes de aprobar.</t>
  </si>
  <si>
    <t xml:space="preserve">33. Monto en millones de colones de las solicitudes de bono familiar de vivienda postuladas ante el BANHVI.  </t>
  </si>
  <si>
    <t>Postular un monto de ¢2.824,47 millones ante el BANHVI.</t>
  </si>
  <si>
    <t>1. Recibir las solicitudes de bono.
2. Verificar el cumplimiento de requisitos. 
3. Conformar los expedientes.
4. Postular los casos ante el BANHVI.</t>
  </si>
  <si>
    <t>Departamento de Programas Habitacionales, Unidad Mecanismos de Financiamiento</t>
  </si>
  <si>
    <t xml:space="preserve">Bono Artículo 59: ¢2308,0 millones.
Bono Ordinario: ¢516,47 millones.
Se encuentra incluido en el Plan Estratégico Institucional (PEI), como parte de una Línea de Acción, para el cumplimiento de los objetivos estratégicos.
</t>
  </si>
  <si>
    <t xml:space="preserve">34. Plazo promedio en meses para tramitar las solicitudes de bono familiar de vivienda, desde la etapa de análisis hasta la postulación.   
 </t>
  </si>
  <si>
    <t xml:space="preserve">Tramitar en 2 meses las solicitudes de bono. </t>
  </si>
  <si>
    <t>2 meses</t>
  </si>
  <si>
    <t>1. Analiza las solicitudes de bono.
2. Conforma los expedientes.
4. Postula los casos ante el BANHVI.</t>
  </si>
  <si>
    <t>EJE ESTRATÉGICO: MECANISMOS DE FINANCIAMIENTO DE VIVIENDA</t>
  </si>
  <si>
    <t>I, II, V, VI, VII, VIII, IX y X.</t>
  </si>
  <si>
    <t xml:space="preserve">
Producto: 
Créditos aprobados.
Usuarios: Suscriptores de contratos de Ahorro y  Préstamo, Familias de Clase Media. 
Cantidad de hombres: 50%
Cantidad de mujeres: 50%
</t>
  </si>
  <si>
    <t xml:space="preserve">
Otorgar créditos y subsidios para resolver el problema habitacional en los estratos de población de interés social y clase media.</t>
  </si>
  <si>
    <t xml:space="preserve">35. Monto en millones de colones de los contratos   vendidos en el Sistema de Ahorro y Préstamo (SAP). </t>
  </si>
  <si>
    <t>Vender ¢72.900 millones en contratos del SAP.</t>
  </si>
  <si>
    <t>1. Recibir las solicitudes.
2. Tramitar las solicitudes.
3. Formalizar la venta.</t>
  </si>
  <si>
    <t xml:space="preserve">
Gestión de Programas de Financiamiento</t>
  </si>
  <si>
    <t>Se estima vender un total de 5.284 contratos, que corresponde ese monto de ¢72.900 millones.</t>
  </si>
  <si>
    <t>36. Porcentaje de renuncias de los contratos vendidos del Sistema de Ahorro y Préstamo (SAP) en el año 2021.</t>
  </si>
  <si>
    <t>Mantener en un 3% las renuncias de los contratos.</t>
  </si>
  <si>
    <t>1. Tabular las renuncias en forma mensual.
2. Analizar la información.
3. Elaborar el informe.
4. Plantear acciones de mejora (si es del caso).</t>
  </si>
  <si>
    <t>Se mide através de las cuotas ingresadas.</t>
  </si>
  <si>
    <t xml:space="preserve">37. Monto en millones de colones de las solicitudes aprobadas en créditos de ahorro y préstamo </t>
  </si>
  <si>
    <t>Aprobar ¢18.087 millones en créditos del SAP.</t>
  </si>
  <si>
    <t>1. Recibir las solicitudes de financiamiento.
2. Conformar los expedientes.
3. Analizar el crédito y elaborar la resolución.
4. Formalizar la operación.
5. Girar los recursos.</t>
  </si>
  <si>
    <t>Se estima aprobar un total de 483 créditos, que corresponde ese monto de ¢18.087 millones.  
Se encuentra incluido en el PNDIP.
Se encuentra incluido en el Plan Estratégico Institucional (PEI), como parte de una Línea de Acción, para el cumplimiento de los objetivos estratégicos.</t>
  </si>
  <si>
    <t>38. Plazo promedio (días hábiles) para el trámite de los créditos del Sistema de Ahorro y Préstamo (SAP).</t>
  </si>
  <si>
    <t>Tramitar en 25 días hábiles los créditos del SAP.</t>
  </si>
  <si>
    <t>1. Conformar una fuerza de tarea para el seguimiento a expedientes y seguimiento de analistas.
2. Revisar los expedientes.</t>
  </si>
  <si>
    <t xml:space="preserve">39. Monto en millones de colones de las solicitudes aprobadas en créditos de clase media (CredINVU: 1600 y CreceMujer: 200).  </t>
  </si>
  <si>
    <t>Aprobar ¢1.800 millones en créditos de Clase Media.</t>
  </si>
  <si>
    <t>Se estima aprobar un total de 41 créditos (CredINVU: 36 créditos y CreceMujer: 5 créditos), que corresponde ese monto de ¢1.800 millones.  
Se encuentra incluido en el PNDIP.
Se encuentra incluido en el Plan Estratégico Institucional (PEI), como parte de una Línea de Acción, para el cumplimiento de los objetivos estratégicos.</t>
  </si>
  <si>
    <r>
      <rPr>
        <b/>
        <sz val="10"/>
        <rFont val="Arial"/>
        <family val="2"/>
      </rPr>
      <t xml:space="preserve">
Mejorar 7 del total de 56 factores del IGI (pasar de 56 a un 49 factores por mejorar)
</t>
    </r>
    <r>
      <rPr>
        <b/>
        <sz val="10"/>
        <color theme="4"/>
        <rFont val="Arial"/>
        <family val="2"/>
      </rPr>
      <t xml:space="preserve">
</t>
    </r>
  </si>
  <si>
    <r>
      <t xml:space="preserve">Por medio de la colocación ante el BANHVI se recupera la inversión realizada por la Institución. 
</t>
    </r>
    <r>
      <rPr>
        <b/>
        <sz val="10"/>
        <color rgb="FFFF0000"/>
        <rFont val="Arial"/>
        <family val="2"/>
      </rPr>
      <t xml:space="preserve">
</t>
    </r>
    <r>
      <rPr>
        <b/>
        <sz val="10"/>
        <rFont val="Arial"/>
        <family val="2"/>
      </rPr>
      <t xml:space="preserve">Ubicación: Pérez Zeledón, San José.
</t>
    </r>
  </si>
  <si>
    <t>POLITICAS</t>
  </si>
  <si>
    <t>OBJETIVOS ESTRATÉGICOS /
PRODUCTO</t>
  </si>
  <si>
    <t>OBJETIVOS ESPECÍFICOS</t>
  </si>
  <si>
    <t>INDICADOR</t>
  </si>
  <si>
    <t>META</t>
  </si>
  <si>
    <t>PROGRAMACIÓN
CRONOGRAMA POR TRIMESTRE</t>
  </si>
  <si>
    <t>MONTO POR PROGRAMA
(MILLONES DE COLONES)</t>
  </si>
  <si>
    <t>ACTIVIDADES</t>
  </si>
  <si>
    <t>RESPONSABLE</t>
  </si>
  <si>
    <t>DESCRIPCIÓN</t>
  </si>
  <si>
    <t>CODIGO</t>
  </si>
  <si>
    <t xml:space="preserve">Fuente: Planificación Institucional </t>
  </si>
  <si>
    <t>PRESUPUESTO INICIAL 2021
INGRESOS
(MONTO EN COLONES)</t>
  </si>
  <si>
    <t>PRESUPUESTO INICIAL 2021
EGRESOS
(MONTO EN COLONES)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</si>
</sst>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43" formatCode="_-* #,##0.00_-;\-* #,##0.00_-;_-* &quot;-&quot;??_-;_-@_-"/>
    <numFmt numFmtId="164" formatCode="#,##0.0;[Red]\-#,##0.0"/>
    <numFmt numFmtId="165" formatCode="_-* #,##0.00\ _€_-;\-* #,##0.00\ _€_-;_-* &quot;-&quot;??\ _€_-;_-@_-"/>
    <numFmt numFmtId="166" formatCode="_(* #,##0.00_);_(* \(#,##0.00\);_(* &quot;-&quot;??_);_(@_)"/>
    <numFmt numFmtId="167" formatCode="#,##0.0000_);\(#,##0.0000\)"/>
    <numFmt numFmtId="168" formatCode="_-* #,##0.00_-;\-* #,##0.00_-;_-* &quot;-&quot;_-;_-@_-"/>
    <numFmt numFmtId="169" formatCode="#,##0.0"/>
    <numFmt numFmtId="170" formatCode="0.0%"/>
  </numFmts>
  <fonts count="19" x14ac:knownFonts="1">
    <font>
      <sz val="11"/>
      <color theme="1"/>
      <name val="Aptos Narrow"/>
      <family val="2"/>
      <scheme val="minor"/>
    </font>
    <font>
      <sz val="11"/>
      <color theme="1"/>
      <name val="Aptos Narrow"/>
      <family val="2"/>
      <scheme val="minor"/>
    </font>
    <font>
      <sz val="10"/>
      <name val="Courier"/>
      <family val="3"/>
    </font>
    <font>
      <sz val="10"/>
      <name val="Arial"/>
      <family val="2"/>
    </font>
    <font>
      <b/>
      <sz val="9"/>
      <color indexed="81"/>
      <name val="Tahoma"/>
      <family val="2"/>
    </font>
    <font>
      <sz val="9"/>
      <color indexed="81"/>
      <name val="Tahoma"/>
      <family val="2"/>
    </font>
    <font>
      <sz val="10"/>
      <name val="Times New Roman"/>
      <family val="1"/>
    </font>
    <font>
      <b/>
      <sz val="10"/>
      <name val="Arial"/>
      <family val="2"/>
    </font>
    <font>
      <b/>
      <u/>
      <sz val="10"/>
      <name val="Arial"/>
      <family val="2"/>
    </font>
    <font>
      <b/>
      <sz val="11"/>
      <color indexed="81"/>
      <name val="Tahoma"/>
      <family val="2"/>
    </font>
    <font>
      <b/>
      <sz val="12"/>
      <color rgb="FFFF0000"/>
      <name val="Arial"/>
      <family val="2"/>
    </font>
    <font>
      <b/>
      <sz val="10"/>
      <color theme="4"/>
      <name val="Arial"/>
      <family val="2"/>
    </font>
    <font>
      <b/>
      <sz val="10"/>
      <color rgb="FFFF0000"/>
      <name val="Arial"/>
      <family val="2"/>
    </font>
    <font>
      <b/>
      <sz val="10"/>
      <color theme="1"/>
      <name val="Arial"/>
      <family val="2"/>
    </font>
    <font>
      <b/>
      <sz val="10"/>
      <color theme="0"/>
      <name val="Arial"/>
      <family val="2"/>
    </font>
    <font>
      <sz val="10"/>
      <color theme="1"/>
      <name val="Arial"/>
      <family val="2"/>
    </font>
    <font>
      <b/>
      <u/>
      <sz val="10"/>
      <color theme="1"/>
      <name val="Arial"/>
      <family val="2"/>
    </font>
    <font>
      <sz val="10"/>
      <color indexed="8"/>
      <name val="Arial"/>
      <family val="2"/>
    </font>
    <font>
      <sz val="10"/>
      <color theme="0"/>
      <name val="Arial"/>
      <family val="2"/>
    </font>
  </fonts>
  <fills count="6">
    <fill>
      <patternFill patternType="none"/>
    </fill>
    <fill>
      <patternFill patternType="gray125"/>
    </fill>
    <fill>
      <patternFill patternType="solid">
        <fgColor theme="0"/>
        <bgColor indexed="64"/>
      </patternFill>
    </fill>
    <fill>
      <patternFill patternType="solid">
        <fgColor theme="3" tint="0.39997558519241921"/>
        <bgColor indexed="64"/>
      </patternFill>
    </fill>
    <fill>
      <patternFill patternType="solid">
        <fgColor theme="5" tint="-0.249977111117893"/>
        <bgColor indexed="64"/>
      </patternFill>
    </fill>
    <fill>
      <patternFill patternType="solid">
        <fgColor theme="3" tint="0.499984740745262"/>
        <bgColor indexed="64"/>
      </patternFill>
    </fill>
  </fills>
  <borders count="59">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style="medium">
        <color indexed="64"/>
      </top>
      <bottom/>
      <diagonal/>
    </border>
    <border>
      <left style="thin">
        <color indexed="64"/>
      </left>
      <right style="medium">
        <color indexed="64"/>
      </right>
      <top style="double">
        <color indexed="64"/>
      </top>
      <bottom/>
      <diagonal/>
    </border>
    <border>
      <left style="medium">
        <color indexed="64"/>
      </left>
      <right style="thin">
        <color indexed="64"/>
      </right>
      <top/>
      <bottom/>
      <diagonal/>
    </border>
    <border>
      <left style="thin">
        <color indexed="64"/>
      </left>
      <right style="medium">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thick">
        <color theme="0"/>
      </left>
      <right style="thick">
        <color theme="0"/>
      </right>
      <top style="thick">
        <color theme="0"/>
      </top>
      <bottom style="thick">
        <color theme="0"/>
      </bottom>
      <diagonal/>
    </border>
    <border>
      <left style="thin">
        <color indexed="64"/>
      </left>
      <right style="thin">
        <color indexed="64"/>
      </right>
      <top style="thick">
        <color theme="0"/>
      </top>
      <bottom style="thick">
        <color theme="0"/>
      </bottom>
      <diagonal/>
    </border>
    <border>
      <left style="thin">
        <color indexed="64"/>
      </left>
      <right style="thin">
        <color indexed="64"/>
      </right>
      <top style="thin">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medium">
        <color indexed="64"/>
      </right>
      <top style="medium">
        <color indexed="64"/>
      </top>
      <bottom/>
      <diagonal/>
    </border>
    <border>
      <left style="medium">
        <color indexed="64"/>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medium">
        <color indexed="64"/>
      </left>
      <right style="thin">
        <color auto="1"/>
      </right>
      <top style="medium">
        <color indexed="64"/>
      </top>
      <bottom/>
      <diagonal/>
    </border>
  </borders>
  <cellStyleXfs count="8">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37" fontId="2" fillId="0" borderId="0" applyBorder="0"/>
    <xf numFmtId="0" fontId="3" fillId="0" borderId="0"/>
    <xf numFmtId="165" fontId="3" fillId="0" borderId="0" applyFont="0" applyFill="0" applyBorder="0" applyAlignment="0" applyProtection="0"/>
    <xf numFmtId="0" fontId="6" fillId="0" borderId="0"/>
  </cellStyleXfs>
  <cellXfs count="545">
    <xf numFmtId="0" fontId="0" fillId="0" borderId="0" xfId="0"/>
    <xf numFmtId="0" fontId="7" fillId="2" borderId="0" xfId="0" applyFont="1" applyFill="1" applyAlignment="1">
      <alignment horizontal="center" vertical="center" wrapText="1"/>
    </xf>
    <xf numFmtId="0" fontId="7" fillId="2" borderId="0" xfId="0" applyFont="1" applyFill="1" applyAlignment="1">
      <alignment vertical="center" wrapText="1"/>
    </xf>
    <xf numFmtId="0" fontId="7" fillId="2" borderId="47" xfId="0" applyFont="1" applyFill="1" applyBorder="1" applyAlignment="1">
      <alignment vertical="center" wrapText="1"/>
    </xf>
    <xf numFmtId="0" fontId="7" fillId="2" borderId="48" xfId="0" applyFont="1" applyFill="1" applyBorder="1" applyAlignment="1">
      <alignment vertical="center" wrapText="1"/>
    </xf>
    <xf numFmtId="0" fontId="7" fillId="2" borderId="49" xfId="0" applyFont="1" applyFill="1" applyBorder="1" applyAlignment="1">
      <alignment horizontal="left" vertical="center" wrapText="1"/>
    </xf>
    <xf numFmtId="0" fontId="7" fillId="2" borderId="54" xfId="0" applyFont="1" applyFill="1" applyBorder="1" applyAlignment="1">
      <alignment vertical="center" wrapText="1"/>
    </xf>
    <xf numFmtId="9" fontId="7" fillId="2" borderId="25" xfId="3" applyFont="1" applyFill="1" applyBorder="1" applyAlignment="1">
      <alignment horizontal="left" vertical="center" wrapText="1"/>
    </xf>
    <xf numFmtId="0" fontId="7" fillId="2" borderId="25" xfId="0" applyFont="1" applyFill="1" applyBorder="1" applyAlignment="1">
      <alignment horizontal="center" vertical="center" wrapText="1"/>
    </xf>
    <xf numFmtId="9" fontId="7" fillId="2" borderId="25" xfId="3" applyFont="1" applyFill="1" applyBorder="1" applyAlignment="1">
      <alignment horizontal="center" vertical="center" wrapText="1"/>
    </xf>
    <xf numFmtId="0" fontId="7" fillId="2" borderId="25" xfId="0" applyFont="1" applyFill="1" applyBorder="1" applyAlignment="1">
      <alignment vertical="center" wrapText="1"/>
    </xf>
    <xf numFmtId="0" fontId="7" fillId="2" borderId="56" xfId="0" applyFont="1" applyFill="1" applyBorder="1" applyAlignment="1">
      <alignment horizontal="left" vertical="center" wrapText="1"/>
    </xf>
    <xf numFmtId="1" fontId="7" fillId="2" borderId="25" xfId="0" applyNumberFormat="1" applyFont="1" applyFill="1" applyBorder="1" applyAlignment="1">
      <alignment horizontal="left" vertical="center" wrapText="1"/>
    </xf>
    <xf numFmtId="1" fontId="7" fillId="2" borderId="25" xfId="0" applyNumberFormat="1" applyFont="1" applyFill="1" applyBorder="1" applyAlignment="1">
      <alignment horizontal="center" vertical="center" wrapText="1"/>
    </xf>
    <xf numFmtId="0" fontId="7" fillId="2" borderId="50" xfId="0" applyFont="1" applyFill="1" applyBorder="1" applyAlignment="1">
      <alignment vertical="center" wrapText="1"/>
    </xf>
    <xf numFmtId="0" fontId="7" fillId="2" borderId="29" xfId="0" applyFont="1" applyFill="1" applyBorder="1" applyAlignment="1">
      <alignment vertical="center" wrapText="1"/>
    </xf>
    <xf numFmtId="0" fontId="7" fillId="2" borderId="52" xfId="0" applyFont="1" applyFill="1" applyBorder="1" applyAlignment="1">
      <alignment horizontal="left" vertical="center" wrapText="1"/>
    </xf>
    <xf numFmtId="0" fontId="7" fillId="2" borderId="0" xfId="0" applyFont="1" applyFill="1" applyAlignment="1">
      <alignment horizontal="left" vertical="center" wrapText="1"/>
    </xf>
    <xf numFmtId="0" fontId="7" fillId="2" borderId="25" xfId="0" applyFont="1" applyFill="1" applyBorder="1" applyAlignment="1">
      <alignment horizontal="left" vertical="center" wrapText="1"/>
    </xf>
    <xf numFmtId="9" fontId="7" fillId="2" borderId="25" xfId="0" applyNumberFormat="1" applyFont="1" applyFill="1" applyBorder="1" applyAlignment="1">
      <alignment horizontal="left" vertical="center" wrapText="1"/>
    </xf>
    <xf numFmtId="9" fontId="7" fillId="2" borderId="25" xfId="0" applyNumberFormat="1" applyFont="1" applyFill="1" applyBorder="1" applyAlignment="1">
      <alignment horizontal="center" vertical="center" wrapText="1"/>
    </xf>
    <xf numFmtId="0" fontId="7" fillId="2" borderId="25" xfId="0" applyFont="1" applyFill="1" applyBorder="1" applyAlignment="1">
      <alignment vertical="top" wrapText="1"/>
    </xf>
    <xf numFmtId="3" fontId="7" fillId="2" borderId="48" xfId="0" applyNumberFormat="1" applyFont="1" applyFill="1" applyBorder="1" applyAlignment="1">
      <alignment horizontal="center" vertical="center" wrapText="1"/>
    </xf>
    <xf numFmtId="3" fontId="7" fillId="2" borderId="25" xfId="0" applyNumberFormat="1" applyFont="1" applyFill="1" applyBorder="1" applyAlignment="1">
      <alignment horizontal="center" vertical="center" wrapText="1"/>
    </xf>
    <xf numFmtId="169" fontId="7" fillId="2" borderId="25" xfId="0" applyNumberFormat="1" applyFont="1" applyFill="1" applyBorder="1" applyAlignment="1">
      <alignment horizontal="center" vertical="center" wrapText="1"/>
    </xf>
    <xf numFmtId="169" fontId="12" fillId="2" borderId="25" xfId="0" applyNumberFormat="1" applyFont="1" applyFill="1" applyBorder="1" applyAlignment="1">
      <alignment horizontal="center" vertical="center" wrapText="1"/>
    </xf>
    <xf numFmtId="4" fontId="7" fillId="2" borderId="25" xfId="0" applyNumberFormat="1" applyFont="1" applyFill="1" applyBorder="1" applyAlignment="1">
      <alignment horizontal="center" vertical="center" wrapText="1"/>
    </xf>
    <xf numFmtId="4" fontId="7" fillId="2" borderId="25" xfId="0" applyNumberFormat="1" applyFont="1" applyFill="1" applyBorder="1" applyAlignment="1">
      <alignment vertical="center" wrapText="1"/>
    </xf>
    <xf numFmtId="3" fontId="7" fillId="2" borderId="25" xfId="0" applyNumberFormat="1" applyFont="1" applyFill="1" applyBorder="1" applyAlignment="1">
      <alignment horizontal="left" vertical="center" wrapText="1"/>
    </xf>
    <xf numFmtId="3" fontId="7" fillId="2" borderId="48" xfId="0" applyNumberFormat="1" applyFont="1" applyFill="1" applyBorder="1" applyAlignment="1">
      <alignment horizontal="left" vertical="center" wrapText="1"/>
    </xf>
    <xf numFmtId="3" fontId="7" fillId="2" borderId="29" xfId="0" applyNumberFormat="1" applyFont="1" applyFill="1" applyBorder="1" applyAlignment="1">
      <alignment horizontal="left" vertical="center" wrapText="1"/>
    </xf>
    <xf numFmtId="3" fontId="7" fillId="2" borderId="29" xfId="0" applyNumberFormat="1" applyFont="1" applyFill="1" applyBorder="1" applyAlignment="1">
      <alignment horizontal="center" vertical="center" wrapText="1"/>
    </xf>
    <xf numFmtId="0" fontId="14" fillId="3" borderId="29" xfId="0" applyFont="1" applyFill="1" applyBorder="1" applyAlignment="1">
      <alignment horizontal="center" vertical="center" wrapText="1"/>
    </xf>
    <xf numFmtId="0" fontId="12" fillId="2" borderId="0" xfId="0" applyFont="1" applyFill="1" applyAlignment="1">
      <alignment horizontal="left" vertical="top" wrapText="1"/>
    </xf>
    <xf numFmtId="0" fontId="7" fillId="2" borderId="0" xfId="0" applyFont="1" applyFill="1" applyAlignment="1">
      <alignment horizontal="left" vertical="top" wrapText="1"/>
    </xf>
    <xf numFmtId="1" fontId="11" fillId="2" borderId="25" xfId="0" applyNumberFormat="1" applyFont="1" applyFill="1" applyBorder="1" applyAlignment="1">
      <alignment horizontal="left" vertical="center" wrapText="1"/>
    </xf>
    <xf numFmtId="0" fontId="13" fillId="2" borderId="0" xfId="0" applyFont="1" applyFill="1" applyAlignment="1">
      <alignment horizontal="left" vertical="top" wrapText="1"/>
    </xf>
    <xf numFmtId="9" fontId="7" fillId="2" borderId="0" xfId="0" applyNumberFormat="1" applyFont="1" applyFill="1" applyAlignment="1">
      <alignment horizontal="left" vertical="center" wrapText="1"/>
    </xf>
    <xf numFmtId="9" fontId="7" fillId="2" borderId="0" xfId="0" applyNumberFormat="1" applyFont="1" applyFill="1" applyAlignment="1">
      <alignment horizontal="center" vertical="center" wrapText="1"/>
    </xf>
    <xf numFmtId="170" fontId="7" fillId="2" borderId="25" xfId="0" applyNumberFormat="1" applyFont="1" applyFill="1" applyBorder="1" applyAlignment="1">
      <alignment horizontal="left" vertical="center" wrapText="1" indent="2"/>
    </xf>
    <xf numFmtId="9" fontId="7" fillId="2" borderId="25" xfId="0" applyNumberFormat="1" applyFont="1" applyFill="1" applyBorder="1" applyAlignment="1">
      <alignment horizontal="left" vertical="center" wrapText="1" indent="2"/>
    </xf>
    <xf numFmtId="0" fontId="7" fillId="2" borderId="0" xfId="0" applyFont="1" applyFill="1" applyAlignment="1">
      <alignment horizontal="center" vertical="top" wrapText="1"/>
    </xf>
    <xf numFmtId="37" fontId="3" fillId="2" borderId="0" xfId="4" applyFont="1" applyFill="1" applyAlignment="1">
      <alignment horizontal="center"/>
    </xf>
    <xf numFmtId="4" fontId="15" fillId="2" borderId="0" xfId="4" applyNumberFormat="1" applyFont="1" applyFill="1"/>
    <xf numFmtId="37" fontId="15" fillId="2" borderId="0" xfId="4" applyFont="1" applyFill="1"/>
    <xf numFmtId="37" fontId="3" fillId="2" borderId="0" xfId="4" applyFont="1" applyFill="1" applyBorder="1"/>
    <xf numFmtId="4" fontId="15" fillId="2" borderId="0" xfId="4" applyNumberFormat="1" applyFont="1" applyFill="1" applyBorder="1"/>
    <xf numFmtId="37" fontId="15" fillId="2" borderId="0" xfId="4" applyFont="1" applyFill="1" applyBorder="1"/>
    <xf numFmtId="164" fontId="7" fillId="2" borderId="13" xfId="4" applyNumberFormat="1" applyFont="1" applyFill="1" applyBorder="1" applyAlignment="1">
      <alignment horizontal="center" vertical="center" wrapText="1"/>
    </xf>
    <xf numFmtId="164" fontId="7" fillId="2" borderId="14" xfId="4" applyNumberFormat="1" applyFont="1" applyFill="1" applyBorder="1" applyAlignment="1">
      <alignment horizontal="center" vertical="center" wrapText="1"/>
    </xf>
    <xf numFmtId="164" fontId="7" fillId="2" borderId="15" xfId="4" applyNumberFormat="1" applyFont="1" applyFill="1" applyBorder="1" applyAlignment="1">
      <alignment horizontal="center" vertical="center" wrapText="1"/>
    </xf>
    <xf numFmtId="4" fontId="15" fillId="2" borderId="0" xfId="4" applyNumberFormat="1" applyFont="1" applyFill="1" applyBorder="1" applyAlignment="1">
      <alignment horizontal="center" vertical="center"/>
    </xf>
    <xf numFmtId="37" fontId="15" fillId="2" borderId="0" xfId="4" applyFont="1" applyFill="1" applyBorder="1" applyAlignment="1">
      <alignment horizontal="center" vertical="center"/>
    </xf>
    <xf numFmtId="37" fontId="15" fillId="2" borderId="3" xfId="4" applyFont="1" applyFill="1" applyBorder="1" applyAlignment="1">
      <alignment horizontal="center" vertical="center" wrapText="1"/>
    </xf>
    <xf numFmtId="37" fontId="13" fillId="2" borderId="16" xfId="4" applyFont="1" applyFill="1" applyBorder="1" applyAlignment="1">
      <alignment horizontal="center" vertical="center" wrapText="1"/>
    </xf>
    <xf numFmtId="4" fontId="13" fillId="2" borderId="17" xfId="0" applyNumberFormat="1" applyFont="1" applyFill="1" applyBorder="1" applyAlignment="1">
      <alignment horizontal="center"/>
    </xf>
    <xf numFmtId="4" fontId="13" fillId="2" borderId="18" xfId="0" applyNumberFormat="1" applyFont="1" applyFill="1" applyBorder="1" applyAlignment="1">
      <alignment horizontal="center"/>
    </xf>
    <xf numFmtId="4" fontId="7" fillId="2" borderId="17" xfId="0" applyNumberFormat="1" applyFont="1" applyFill="1" applyBorder="1" applyAlignment="1">
      <alignment horizontal="center"/>
    </xf>
    <xf numFmtId="4" fontId="7" fillId="2" borderId="16" xfId="0" applyNumberFormat="1" applyFont="1" applyFill="1" applyBorder="1" applyAlignment="1">
      <alignment horizontal="center"/>
    </xf>
    <xf numFmtId="4" fontId="7" fillId="2" borderId="3" xfId="0" applyNumberFormat="1" applyFont="1" applyFill="1" applyBorder="1" applyAlignment="1">
      <alignment horizontal="center"/>
    </xf>
    <xf numFmtId="4" fontId="7" fillId="2" borderId="19" xfId="0" applyNumberFormat="1" applyFont="1" applyFill="1" applyBorder="1" applyAlignment="1">
      <alignment horizontal="center"/>
    </xf>
    <xf numFmtId="4" fontId="7" fillId="2" borderId="16" xfId="0" applyNumberFormat="1" applyFont="1" applyFill="1" applyBorder="1" applyAlignment="1">
      <alignment horizontal="right"/>
    </xf>
    <xf numFmtId="4" fontId="13" fillId="2" borderId="16" xfId="0" applyNumberFormat="1" applyFont="1" applyFill="1" applyBorder="1" applyAlignment="1">
      <alignment horizontal="center"/>
    </xf>
    <xf numFmtId="4" fontId="7" fillId="2" borderId="0" xfId="0" applyNumberFormat="1" applyFont="1" applyFill="1" applyAlignment="1">
      <alignment horizontal="center"/>
    </xf>
    <xf numFmtId="4" fontId="7" fillId="2" borderId="20" xfId="0" applyNumberFormat="1" applyFont="1" applyFill="1" applyBorder="1" applyAlignment="1">
      <alignment horizontal="center"/>
    </xf>
    <xf numFmtId="4" fontId="7" fillId="2" borderId="21" xfId="0" applyNumberFormat="1" applyFont="1" applyFill="1" applyBorder="1" applyAlignment="1">
      <alignment horizontal="center"/>
    </xf>
    <xf numFmtId="4" fontId="15" fillId="2" borderId="0" xfId="3" applyNumberFormat="1" applyFont="1" applyFill="1"/>
    <xf numFmtId="0" fontId="15" fillId="2" borderId="3" xfId="0" applyFont="1" applyFill="1" applyBorder="1" applyAlignment="1">
      <alignment horizontal="center" vertical="center" wrapText="1"/>
    </xf>
    <xf numFmtId="37" fontId="15" fillId="2" borderId="16" xfId="4" applyFont="1" applyFill="1" applyBorder="1" applyAlignment="1">
      <alignment horizontal="right" vertical="center" wrapText="1"/>
    </xf>
    <xf numFmtId="37" fontId="15" fillId="2" borderId="17" xfId="4" applyFont="1" applyFill="1" applyBorder="1" applyAlignment="1">
      <alignment horizontal="center"/>
    </xf>
    <xf numFmtId="4" fontId="13" fillId="2" borderId="0" xfId="4" applyNumberFormat="1" applyFont="1" applyFill="1" applyBorder="1" applyAlignment="1">
      <alignment horizontal="center" vertical="center" wrapText="1"/>
    </xf>
    <xf numFmtId="37" fontId="15" fillId="2" borderId="16" xfId="4" applyFont="1" applyFill="1" applyBorder="1" applyAlignment="1">
      <alignment horizontal="center"/>
    </xf>
    <xf numFmtId="37" fontId="3" fillId="2" borderId="22" xfId="4" applyFont="1" applyFill="1" applyBorder="1" applyAlignment="1">
      <alignment horizontal="center"/>
    </xf>
    <xf numFmtId="37" fontId="3" fillId="2" borderId="23" xfId="4" applyFont="1" applyFill="1" applyBorder="1" applyAlignment="1">
      <alignment horizontal="center"/>
    </xf>
    <xf numFmtId="4" fontId="7" fillId="2" borderId="23" xfId="4" applyNumberFormat="1" applyFont="1" applyFill="1" applyBorder="1" applyAlignment="1">
      <alignment horizontal="center"/>
    </xf>
    <xf numFmtId="4" fontId="7" fillId="2" borderId="24" xfId="4" applyNumberFormat="1" applyFont="1" applyFill="1" applyBorder="1" applyAlignment="1">
      <alignment horizontal="center"/>
    </xf>
    <xf numFmtId="4" fontId="7" fillId="2" borderId="16" xfId="4" applyNumberFormat="1" applyFont="1" applyFill="1" applyBorder="1" applyAlignment="1">
      <alignment horizontal="center"/>
    </xf>
    <xf numFmtId="4" fontId="7" fillId="2" borderId="22" xfId="4" applyNumberFormat="1" applyFont="1" applyFill="1" applyBorder="1" applyAlignment="1">
      <alignment horizontal="center"/>
    </xf>
    <xf numFmtId="39" fontId="3" fillId="2" borderId="23" xfId="4" applyNumberFormat="1" applyFont="1" applyFill="1" applyBorder="1" applyAlignment="1" applyProtection="1">
      <alignment horizontal="center"/>
      <protection locked="0"/>
    </xf>
    <xf numFmtId="39" fontId="7" fillId="2" borderId="16" xfId="4" applyNumberFormat="1" applyFont="1" applyFill="1" applyBorder="1" applyAlignment="1" applyProtection="1">
      <alignment horizontal="center"/>
      <protection locked="0"/>
    </xf>
    <xf numFmtId="39" fontId="7" fillId="2" borderId="22" xfId="4" applyNumberFormat="1" applyFont="1" applyFill="1" applyBorder="1" applyAlignment="1" applyProtection="1">
      <alignment horizontal="center"/>
      <protection locked="0"/>
    </xf>
    <xf numFmtId="39" fontId="7" fillId="2" borderId="23" xfId="4" applyNumberFormat="1" applyFont="1" applyFill="1" applyBorder="1" applyAlignment="1" applyProtection="1">
      <alignment horizontal="center"/>
      <protection locked="0"/>
    </xf>
    <xf numFmtId="39" fontId="7" fillId="2" borderId="24" xfId="4" applyNumberFormat="1" applyFont="1" applyFill="1" applyBorder="1" applyAlignment="1" applyProtection="1">
      <alignment horizontal="right"/>
      <protection locked="0"/>
    </xf>
    <xf numFmtId="4" fontId="13" fillId="2" borderId="16" xfId="4" applyNumberFormat="1" applyFont="1" applyFill="1" applyBorder="1" applyAlignment="1">
      <alignment horizontal="center"/>
    </xf>
    <xf numFmtId="39" fontId="7" fillId="2" borderId="24" xfId="4" applyNumberFormat="1" applyFont="1" applyFill="1" applyBorder="1" applyAlignment="1" applyProtection="1">
      <alignment horizontal="center"/>
      <protection locked="0"/>
    </xf>
    <xf numFmtId="37" fontId="13" fillId="2" borderId="16" xfId="4" applyFont="1" applyFill="1" applyBorder="1"/>
    <xf numFmtId="39" fontId="3" fillId="2" borderId="0" xfId="4" applyNumberFormat="1" applyFont="1" applyFill="1" applyBorder="1" applyAlignment="1" applyProtection="1">
      <alignment horizontal="center"/>
      <protection locked="0"/>
    </xf>
    <xf numFmtId="39" fontId="13" fillId="2" borderId="16" xfId="4" applyNumberFormat="1" applyFont="1" applyFill="1" applyBorder="1" applyAlignment="1" applyProtection="1">
      <alignment horizontal="center"/>
      <protection locked="0"/>
    </xf>
    <xf numFmtId="39" fontId="3" fillId="2" borderId="21" xfId="4" applyNumberFormat="1" applyFont="1" applyFill="1" applyBorder="1" applyAlignment="1" applyProtection="1">
      <alignment horizontal="center"/>
      <protection locked="0"/>
    </xf>
    <xf numFmtId="4" fontId="15" fillId="2" borderId="0" xfId="1" applyNumberFormat="1" applyFont="1" applyFill="1"/>
    <xf numFmtId="37" fontId="16" fillId="2" borderId="3" xfId="4" applyFont="1" applyFill="1" applyBorder="1" applyAlignment="1" applyProtection="1">
      <alignment horizontal="right"/>
      <protection locked="0"/>
    </xf>
    <xf numFmtId="39" fontId="16" fillId="2" borderId="16" xfId="4" applyNumberFormat="1" applyFont="1" applyFill="1" applyBorder="1" applyAlignment="1" applyProtection="1">
      <alignment horizontal="left" wrapText="1"/>
      <protection locked="0"/>
    </xf>
    <xf numFmtId="43" fontId="13" fillId="2" borderId="17" xfId="1" applyFont="1" applyFill="1" applyBorder="1" applyAlignment="1" applyProtection="1">
      <alignment horizontal="left"/>
      <protection locked="0"/>
    </xf>
    <xf numFmtId="43" fontId="13" fillId="2" borderId="16" xfId="1" applyFont="1" applyFill="1" applyBorder="1" applyAlignment="1" applyProtection="1">
      <alignment horizontal="left"/>
      <protection locked="0"/>
    </xf>
    <xf numFmtId="43" fontId="7" fillId="2" borderId="16" xfId="1" applyFont="1" applyFill="1" applyBorder="1" applyAlignment="1" applyProtection="1">
      <alignment horizontal="left"/>
      <protection locked="0"/>
    </xf>
    <xf numFmtId="37" fontId="15" fillId="2" borderId="3" xfId="4" applyFont="1" applyFill="1" applyBorder="1"/>
    <xf numFmtId="37" fontId="15" fillId="2" borderId="16" xfId="4" applyFont="1" applyFill="1" applyBorder="1"/>
    <xf numFmtId="37" fontId="15" fillId="2" borderId="17" xfId="4" applyFont="1" applyFill="1" applyBorder="1"/>
    <xf numFmtId="4" fontId="15" fillId="2" borderId="0" xfId="4" applyNumberFormat="1" applyFont="1" applyFill="1" applyBorder="1" applyAlignment="1">
      <alignment horizontal="center" vertical="center" wrapText="1"/>
    </xf>
    <xf numFmtId="37" fontId="3" fillId="2" borderId="22" xfId="4" applyFont="1" applyFill="1" applyBorder="1"/>
    <xf numFmtId="37" fontId="3" fillId="2" borderId="23" xfId="4" applyFont="1" applyFill="1" applyBorder="1"/>
    <xf numFmtId="4" fontId="3" fillId="2" borderId="23" xfId="4" applyNumberFormat="1" applyFont="1" applyFill="1" applyBorder="1"/>
    <xf numFmtId="4" fontId="6" fillId="2" borderId="23" xfId="0" applyNumberFormat="1" applyFont="1" applyFill="1" applyBorder="1"/>
    <xf numFmtId="4" fontId="3" fillId="2" borderId="24" xfId="4" applyNumberFormat="1" applyFont="1" applyFill="1" applyBorder="1"/>
    <xf numFmtId="4" fontId="3" fillId="2" borderId="16" xfId="4" applyNumberFormat="1" applyFont="1" applyFill="1" applyBorder="1"/>
    <xf numFmtId="4" fontId="3" fillId="2" borderId="22" xfId="4" applyNumberFormat="1" applyFont="1" applyFill="1" applyBorder="1"/>
    <xf numFmtId="37" fontId="3" fillId="2" borderId="16" xfId="4" applyFont="1" applyFill="1" applyBorder="1"/>
    <xf numFmtId="37" fontId="3" fillId="2" borderId="24" xfId="4" applyFont="1" applyFill="1" applyBorder="1" applyAlignment="1">
      <alignment horizontal="right"/>
    </xf>
    <xf numFmtId="166" fontId="13" fillId="2" borderId="16" xfId="1" applyNumberFormat="1" applyFont="1" applyFill="1" applyBorder="1" applyAlignment="1" applyProtection="1">
      <alignment horizontal="left"/>
      <protection locked="0"/>
    </xf>
    <xf numFmtId="4" fontId="13" fillId="2" borderId="16" xfId="4" applyNumberFormat="1" applyFont="1" applyFill="1" applyBorder="1"/>
    <xf numFmtId="4" fontId="3" fillId="2" borderId="0" xfId="4" applyNumberFormat="1" applyFont="1" applyFill="1" applyBorder="1"/>
    <xf numFmtId="4" fontId="3" fillId="2" borderId="21" xfId="4" applyNumberFormat="1" applyFont="1" applyFill="1" applyBorder="1"/>
    <xf numFmtId="39" fontId="13" fillId="2" borderId="3" xfId="4" applyNumberFormat="1" applyFont="1" applyFill="1" applyBorder="1" applyAlignment="1" applyProtection="1">
      <alignment horizontal="right"/>
      <protection locked="0"/>
    </xf>
    <xf numFmtId="39" fontId="13" fillId="2" borderId="16" xfId="4" applyNumberFormat="1" applyFont="1" applyFill="1" applyBorder="1" applyAlignment="1" applyProtection="1">
      <alignment horizontal="left" wrapText="1"/>
      <protection locked="0"/>
    </xf>
    <xf numFmtId="43" fontId="8" fillId="2" borderId="22" xfId="1" applyFont="1" applyFill="1" applyBorder="1" applyAlignment="1" applyProtection="1">
      <alignment horizontal="left"/>
      <protection locked="0"/>
    </xf>
    <xf numFmtId="43" fontId="8" fillId="2" borderId="23" xfId="1" applyFont="1" applyFill="1" applyBorder="1" applyAlignment="1" applyProtection="1">
      <alignment horizontal="left"/>
      <protection locked="0"/>
    </xf>
    <xf numFmtId="43" fontId="8" fillId="2" borderId="24" xfId="1" applyFont="1" applyFill="1" applyBorder="1" applyAlignment="1" applyProtection="1">
      <alignment horizontal="left"/>
      <protection locked="0"/>
    </xf>
    <xf numFmtId="43" fontId="8" fillId="2" borderId="16" xfId="1" applyFont="1" applyFill="1" applyBorder="1" applyAlignment="1" applyProtection="1">
      <alignment horizontal="left"/>
      <protection locked="0"/>
    </xf>
    <xf numFmtId="166" fontId="7" fillId="2" borderId="16" xfId="1" applyNumberFormat="1" applyFont="1" applyFill="1" applyBorder="1" applyAlignment="1" applyProtection="1">
      <alignment horizontal="left"/>
      <protection locked="0"/>
    </xf>
    <xf numFmtId="43" fontId="8" fillId="2" borderId="0" xfId="1" applyFont="1" applyFill="1" applyBorder="1" applyAlignment="1" applyProtection="1">
      <alignment horizontal="left"/>
      <protection locked="0"/>
    </xf>
    <xf numFmtId="43" fontId="8" fillId="2" borderId="24" xfId="1" applyFont="1" applyFill="1" applyBorder="1" applyAlignment="1" applyProtection="1">
      <alignment horizontal="right"/>
      <protection locked="0"/>
    </xf>
    <xf numFmtId="43" fontId="16" fillId="2" borderId="16" xfId="1" applyFont="1" applyFill="1" applyBorder="1" applyAlignment="1" applyProtection="1">
      <alignment horizontal="left"/>
      <protection locked="0"/>
    </xf>
    <xf numFmtId="43" fontId="8" fillId="2" borderId="21" xfId="1" applyFont="1" applyFill="1" applyBorder="1" applyAlignment="1" applyProtection="1">
      <alignment horizontal="left"/>
      <protection locked="0"/>
    </xf>
    <xf numFmtId="43" fontId="15" fillId="2" borderId="3" xfId="1" applyFont="1" applyFill="1" applyBorder="1" applyAlignment="1">
      <alignment horizontal="right"/>
    </xf>
    <xf numFmtId="43" fontId="15" fillId="2" borderId="16" xfId="1" applyFont="1" applyFill="1" applyBorder="1" applyAlignment="1">
      <alignment horizontal="left" wrapText="1"/>
    </xf>
    <xf numFmtId="43" fontId="15" fillId="2" borderId="17" xfId="1" applyFont="1" applyFill="1" applyBorder="1" applyAlignment="1" applyProtection="1">
      <alignment horizontal="left"/>
      <protection locked="0"/>
    </xf>
    <xf numFmtId="43" fontId="15" fillId="2" borderId="0" xfId="4" applyNumberFormat="1" applyFont="1" applyFill="1" applyBorder="1" applyAlignment="1">
      <alignment horizontal="center" vertical="center" wrapText="1"/>
    </xf>
    <xf numFmtId="43" fontId="15" fillId="2" borderId="16" xfId="1" applyFont="1" applyFill="1" applyBorder="1" applyAlignment="1" applyProtection="1">
      <alignment horizontal="left"/>
      <protection locked="0"/>
    </xf>
    <xf numFmtId="43" fontId="3" fillId="2" borderId="22" xfId="1" applyFont="1" applyFill="1" applyBorder="1"/>
    <xf numFmtId="43" fontId="3" fillId="2" borderId="23" xfId="1" applyFont="1" applyFill="1" applyBorder="1"/>
    <xf numFmtId="4" fontId="17" fillId="2" borderId="23" xfId="4" applyNumberFormat="1" applyFont="1" applyFill="1" applyBorder="1" applyAlignment="1">
      <alignment horizontal="right"/>
    </xf>
    <xf numFmtId="4" fontId="17" fillId="2" borderId="23" xfId="1" applyNumberFormat="1" applyFont="1" applyFill="1" applyBorder="1" applyAlignment="1">
      <alignment horizontal="right"/>
    </xf>
    <xf numFmtId="4" fontId="3" fillId="2" borderId="23" xfId="1" applyNumberFormat="1" applyFont="1" applyFill="1" applyBorder="1" applyAlignment="1">
      <alignment horizontal="right"/>
    </xf>
    <xf numFmtId="39" fontId="3" fillId="2" borderId="16" xfId="4" applyNumberFormat="1" applyFont="1" applyFill="1" applyBorder="1" applyAlignment="1" applyProtection="1">
      <alignment horizontal="right"/>
      <protection locked="0"/>
    </xf>
    <xf numFmtId="166" fontId="15" fillId="2" borderId="16" xfId="1" applyNumberFormat="1" applyFont="1" applyFill="1" applyBorder="1" applyAlignment="1" applyProtection="1">
      <alignment horizontal="left"/>
      <protection locked="0"/>
    </xf>
    <xf numFmtId="4" fontId="3" fillId="2" borderId="24" xfId="1" applyNumberFormat="1" applyFont="1" applyFill="1" applyBorder="1" applyAlignment="1">
      <alignment horizontal="right"/>
    </xf>
    <xf numFmtId="4" fontId="15" fillId="2" borderId="16" xfId="1" applyNumberFormat="1" applyFont="1" applyFill="1" applyBorder="1" applyAlignment="1" applyProtection="1">
      <alignment horizontal="right"/>
      <protection locked="0"/>
    </xf>
    <xf numFmtId="4" fontId="3" fillId="2" borderId="22" xfId="1" applyNumberFormat="1" applyFont="1" applyFill="1" applyBorder="1" applyAlignment="1">
      <alignment horizontal="right"/>
    </xf>
    <xf numFmtId="43" fontId="15" fillId="2" borderId="16" xfId="1" applyFont="1" applyFill="1" applyBorder="1"/>
    <xf numFmtId="4" fontId="3" fillId="2" borderId="20" xfId="1" applyNumberFormat="1" applyFont="1" applyFill="1" applyBorder="1" applyAlignment="1">
      <alignment horizontal="right"/>
    </xf>
    <xf numFmtId="4" fontId="3" fillId="2" borderId="21" xfId="1" applyNumberFormat="1" applyFont="1" applyFill="1" applyBorder="1" applyAlignment="1">
      <alignment horizontal="right"/>
    </xf>
    <xf numFmtId="43" fontId="3" fillId="2" borderId="24" xfId="1" applyFont="1" applyFill="1" applyBorder="1"/>
    <xf numFmtId="4" fontId="3" fillId="2" borderId="23" xfId="1" applyNumberFormat="1" applyFont="1" applyFill="1" applyBorder="1" applyAlignment="1" applyProtection="1">
      <alignment horizontal="center"/>
      <protection locked="0"/>
    </xf>
    <xf numFmtId="39" fontId="3" fillId="2" borderId="22" xfId="4" applyNumberFormat="1" applyFont="1" applyFill="1" applyBorder="1" applyAlignment="1" applyProtection="1">
      <alignment horizontal="right"/>
      <protection locked="0"/>
    </xf>
    <xf numFmtId="39" fontId="3" fillId="2" borderId="23" xfId="4" applyNumberFormat="1" applyFont="1" applyFill="1" applyBorder="1" applyAlignment="1" applyProtection="1">
      <alignment horizontal="right"/>
      <protection locked="0"/>
    </xf>
    <xf numFmtId="39" fontId="3" fillId="2" borderId="24" xfId="4" applyNumberFormat="1" applyFont="1" applyFill="1" applyBorder="1" applyAlignment="1" applyProtection="1">
      <alignment horizontal="right"/>
      <protection locked="0"/>
    </xf>
    <xf numFmtId="39" fontId="3" fillId="2" borderId="22" xfId="4" applyNumberFormat="1" applyFont="1" applyFill="1" applyBorder="1"/>
    <xf numFmtId="39" fontId="3" fillId="2" borderId="23" xfId="4" applyNumberFormat="1" applyFont="1" applyFill="1" applyBorder="1"/>
    <xf numFmtId="4" fontId="3" fillId="2" borderId="23" xfId="1" applyNumberFormat="1" applyFont="1" applyFill="1" applyBorder="1" applyAlignment="1" applyProtection="1">
      <alignment horizontal="right"/>
      <protection locked="0"/>
    </xf>
    <xf numFmtId="4" fontId="3" fillId="2" borderId="24" xfId="1" applyNumberFormat="1" applyFont="1" applyFill="1" applyBorder="1" applyAlignment="1" applyProtection="1">
      <alignment horizontal="right"/>
      <protection locked="0"/>
    </xf>
    <xf numFmtId="4" fontId="3" fillId="2" borderId="0" xfId="1" applyNumberFormat="1" applyFont="1" applyFill="1" applyBorder="1" applyAlignment="1" applyProtection="1">
      <alignment horizontal="center"/>
      <protection locked="0"/>
    </xf>
    <xf numFmtId="4" fontId="3" fillId="2" borderId="21" xfId="1" applyNumberFormat="1" applyFont="1" applyFill="1" applyBorder="1" applyAlignment="1" applyProtection="1">
      <alignment horizontal="right"/>
      <protection locked="0"/>
    </xf>
    <xf numFmtId="37" fontId="3" fillId="2" borderId="24" xfId="4" applyFont="1" applyFill="1" applyBorder="1"/>
    <xf numFmtId="37" fontId="3" fillId="2" borderId="21" xfId="4" applyFont="1" applyFill="1" applyBorder="1"/>
    <xf numFmtId="43" fontId="13" fillId="2" borderId="16" xfId="1" applyFont="1" applyFill="1" applyBorder="1" applyAlignment="1">
      <alignment horizontal="left" wrapText="1"/>
    </xf>
    <xf numFmtId="43" fontId="7" fillId="2" borderId="22" xfId="1" applyFont="1" applyFill="1" applyBorder="1" applyAlignment="1" applyProtection="1">
      <alignment horizontal="left"/>
      <protection locked="0"/>
    </xf>
    <xf numFmtId="43" fontId="7" fillId="2" borderId="23" xfId="1" applyFont="1" applyFill="1" applyBorder="1" applyAlignment="1" applyProtection="1">
      <alignment horizontal="left"/>
      <protection locked="0"/>
    </xf>
    <xf numFmtId="43" fontId="7" fillId="2" borderId="23" xfId="1" applyFont="1" applyFill="1" applyBorder="1" applyAlignment="1" applyProtection="1">
      <alignment horizontal="center"/>
      <protection locked="0"/>
    </xf>
    <xf numFmtId="43" fontId="7" fillId="2" borderId="24" xfId="1" applyFont="1" applyFill="1" applyBorder="1" applyAlignment="1" applyProtection="1">
      <alignment horizontal="left"/>
      <protection locked="0"/>
    </xf>
    <xf numFmtId="166" fontId="7" fillId="2" borderId="22" xfId="1" applyNumberFormat="1" applyFont="1" applyFill="1" applyBorder="1" applyAlignment="1" applyProtection="1">
      <alignment horizontal="left"/>
      <protection locked="0"/>
    </xf>
    <xf numFmtId="166" fontId="7" fillId="2" borderId="23" xfId="1" applyNumberFormat="1" applyFont="1" applyFill="1" applyBorder="1" applyAlignment="1" applyProtection="1">
      <alignment horizontal="left"/>
      <protection locked="0"/>
    </xf>
    <xf numFmtId="166" fontId="7" fillId="2" borderId="24" xfId="1" applyNumberFormat="1" applyFont="1" applyFill="1" applyBorder="1" applyAlignment="1" applyProtection="1">
      <alignment horizontal="right"/>
      <protection locked="0"/>
    </xf>
    <xf numFmtId="4" fontId="7" fillId="2" borderId="23" xfId="1" applyNumberFormat="1" applyFont="1" applyFill="1" applyBorder="1" applyAlignment="1" applyProtection="1">
      <alignment horizontal="right"/>
      <protection locked="0"/>
    </xf>
    <xf numFmtId="4" fontId="7" fillId="2" borderId="24" xfId="1" applyNumberFormat="1" applyFont="1" applyFill="1" applyBorder="1" applyAlignment="1" applyProtection="1">
      <alignment horizontal="right"/>
      <protection locked="0"/>
    </xf>
    <xf numFmtId="4" fontId="13" fillId="2" borderId="16" xfId="1" applyNumberFormat="1" applyFont="1" applyFill="1" applyBorder="1" applyAlignment="1" applyProtection="1">
      <alignment horizontal="right"/>
      <protection locked="0"/>
    </xf>
    <xf numFmtId="4" fontId="3" fillId="2" borderId="0" xfId="1" applyNumberFormat="1" applyFont="1" applyFill="1" applyBorder="1" applyAlignment="1" applyProtection="1">
      <alignment horizontal="right"/>
      <protection locked="0"/>
    </xf>
    <xf numFmtId="4" fontId="7" fillId="2" borderId="21" xfId="1" applyNumberFormat="1" applyFont="1" applyFill="1" applyBorder="1" applyAlignment="1" applyProtection="1">
      <alignment horizontal="right"/>
      <protection locked="0"/>
    </xf>
    <xf numFmtId="4" fontId="17" fillId="2" borderId="22" xfId="4" applyNumberFormat="1" applyFont="1" applyFill="1" applyBorder="1" applyAlignment="1">
      <alignment horizontal="right"/>
    </xf>
    <xf numFmtId="4" fontId="17" fillId="2" borderId="24" xfId="4" applyNumberFormat="1" applyFont="1" applyFill="1" applyBorder="1" applyAlignment="1">
      <alignment horizontal="right"/>
    </xf>
    <xf numFmtId="4" fontId="17" fillId="2" borderId="0" xfId="1" applyNumberFormat="1" applyFont="1" applyFill="1" applyBorder="1" applyAlignment="1" applyProtection="1">
      <alignment horizontal="right"/>
      <protection locked="0"/>
    </xf>
    <xf numFmtId="4" fontId="17" fillId="2" borderId="23" xfId="1" applyNumberFormat="1" applyFont="1" applyFill="1" applyBorder="1" applyAlignment="1" applyProtection="1">
      <alignment horizontal="right"/>
      <protection locked="0"/>
    </xf>
    <xf numFmtId="4" fontId="17" fillId="2" borderId="21" xfId="1" applyNumberFormat="1" applyFont="1" applyFill="1" applyBorder="1" applyAlignment="1" applyProtection="1">
      <alignment horizontal="right"/>
      <protection locked="0"/>
    </xf>
    <xf numFmtId="43" fontId="13" fillId="2" borderId="3" xfId="1" applyFont="1" applyFill="1" applyBorder="1" applyAlignment="1" applyProtection="1">
      <alignment horizontal="right"/>
      <protection locked="0"/>
    </xf>
    <xf numFmtId="166" fontId="7" fillId="2" borderId="24" xfId="1" applyNumberFormat="1" applyFont="1" applyFill="1" applyBorder="1" applyAlignment="1" applyProtection="1">
      <alignment horizontal="left"/>
      <protection locked="0"/>
    </xf>
    <xf numFmtId="43" fontId="13" fillId="2" borderId="3" xfId="1" applyFont="1" applyFill="1" applyBorder="1" applyAlignment="1">
      <alignment horizontal="right"/>
    </xf>
    <xf numFmtId="43" fontId="3" fillId="2" borderId="22" xfId="1" applyFont="1" applyFill="1" applyBorder="1" applyAlignment="1" applyProtection="1">
      <alignment horizontal="left"/>
      <protection locked="0"/>
    </xf>
    <xf numFmtId="43" fontId="3" fillId="2" borderId="23" xfId="1" applyFont="1" applyFill="1" applyBorder="1" applyAlignment="1" applyProtection="1">
      <alignment horizontal="left"/>
      <protection locked="0"/>
    </xf>
    <xf numFmtId="43" fontId="3" fillId="2" borderId="24" xfId="1" applyFont="1" applyFill="1" applyBorder="1" applyAlignment="1" applyProtection="1">
      <alignment horizontal="left"/>
      <protection locked="0"/>
    </xf>
    <xf numFmtId="43" fontId="3" fillId="2" borderId="16" xfId="1" applyFont="1" applyFill="1" applyBorder="1" applyAlignment="1" applyProtection="1">
      <alignment horizontal="left"/>
      <protection locked="0"/>
    </xf>
    <xf numFmtId="166" fontId="3" fillId="2" borderId="16" xfId="1" applyNumberFormat="1" applyFont="1" applyFill="1" applyBorder="1" applyAlignment="1" applyProtection="1">
      <alignment horizontal="left"/>
      <protection locked="0"/>
    </xf>
    <xf numFmtId="43" fontId="3" fillId="2" borderId="23" xfId="1" applyFont="1" applyFill="1" applyBorder="1" applyAlignment="1">
      <alignment horizontal="right"/>
    </xf>
    <xf numFmtId="43" fontId="3" fillId="2" borderId="0" xfId="1" applyFont="1" applyFill="1" applyBorder="1"/>
    <xf numFmtId="43" fontId="3" fillId="2" borderId="16" xfId="1" applyFont="1" applyFill="1" applyBorder="1"/>
    <xf numFmtId="43" fontId="3" fillId="2" borderId="21" xfId="1" applyFont="1" applyFill="1" applyBorder="1"/>
    <xf numFmtId="43" fontId="7" fillId="2" borderId="22" xfId="1" applyFont="1" applyFill="1" applyBorder="1"/>
    <xf numFmtId="43" fontId="7" fillId="2" borderId="23" xfId="1" applyFont="1" applyFill="1" applyBorder="1"/>
    <xf numFmtId="43" fontId="7" fillId="2" borderId="24" xfId="1" applyFont="1" applyFill="1" applyBorder="1"/>
    <xf numFmtId="166" fontId="7" fillId="2" borderId="16" xfId="1" applyNumberFormat="1" applyFont="1" applyFill="1" applyBorder="1"/>
    <xf numFmtId="43" fontId="7" fillId="2" borderId="23" xfId="1" applyFont="1" applyFill="1" applyBorder="1" applyAlignment="1">
      <alignment horizontal="right"/>
    </xf>
    <xf numFmtId="43" fontId="13" fillId="2" borderId="23" xfId="1" applyFont="1" applyFill="1" applyBorder="1"/>
    <xf numFmtId="43" fontId="13" fillId="2" borderId="16" xfId="1" applyFont="1" applyFill="1" applyBorder="1"/>
    <xf numFmtId="43" fontId="7" fillId="2" borderId="0" xfId="1" applyFont="1" applyFill="1" applyBorder="1"/>
    <xf numFmtId="4" fontId="7" fillId="2" borderId="0" xfId="1" applyNumberFormat="1" applyFont="1" applyFill="1" applyBorder="1" applyAlignment="1" applyProtection="1">
      <alignment horizontal="right"/>
      <protection locked="0"/>
    </xf>
    <xf numFmtId="43" fontId="15" fillId="2" borderId="23" xfId="1" applyFont="1" applyFill="1" applyBorder="1"/>
    <xf numFmtId="4" fontId="17" fillId="2" borderId="20" xfId="1" applyNumberFormat="1" applyFont="1" applyFill="1" applyBorder="1" applyAlignment="1" applyProtection="1">
      <alignment horizontal="right"/>
      <protection locked="0"/>
    </xf>
    <xf numFmtId="4" fontId="17" fillId="2" borderId="24" xfId="1" applyNumberFormat="1" applyFont="1" applyFill="1" applyBorder="1" applyAlignment="1">
      <alignment horizontal="right"/>
    </xf>
    <xf numFmtId="4" fontId="17" fillId="2" borderId="16" xfId="4" applyNumberFormat="1" applyFont="1" applyFill="1" applyBorder="1" applyAlignment="1">
      <alignment horizontal="right"/>
    </xf>
    <xf numFmtId="4" fontId="17" fillId="2" borderId="22" xfId="4" applyNumberFormat="1" applyFont="1" applyFill="1" applyBorder="1" applyAlignment="1" applyProtection="1">
      <alignment horizontal="right"/>
      <protection locked="0"/>
    </xf>
    <xf numFmtId="4" fontId="17" fillId="2" borderId="23" xfId="4" applyNumberFormat="1" applyFont="1" applyFill="1" applyBorder="1" applyAlignment="1" applyProtection="1">
      <alignment horizontal="right"/>
      <protection locked="0"/>
    </xf>
    <xf numFmtId="4" fontId="17" fillId="2" borderId="24" xfId="4" applyNumberFormat="1" applyFont="1" applyFill="1" applyBorder="1" applyAlignment="1" applyProtection="1">
      <alignment horizontal="right"/>
      <protection locked="0"/>
    </xf>
    <xf numFmtId="4" fontId="17" fillId="2" borderId="24" xfId="1" applyNumberFormat="1" applyFont="1" applyFill="1" applyBorder="1" applyAlignment="1" applyProtection="1">
      <alignment horizontal="right"/>
      <protection locked="0"/>
    </xf>
    <xf numFmtId="43" fontId="13" fillId="2" borderId="17" xfId="1" applyFont="1" applyFill="1" applyBorder="1" applyAlignment="1" applyProtection="1">
      <alignment horizontal="right"/>
      <protection locked="0"/>
    </xf>
    <xf numFmtId="43" fontId="13" fillId="2" borderId="16" xfId="1" applyFont="1" applyFill="1" applyBorder="1" applyAlignment="1" applyProtection="1">
      <alignment horizontal="right"/>
      <protection locked="0"/>
    </xf>
    <xf numFmtId="43" fontId="7" fillId="2" borderId="22" xfId="1" applyFont="1" applyFill="1" applyBorder="1" applyAlignment="1" applyProtection="1">
      <alignment horizontal="right"/>
      <protection locked="0"/>
    </xf>
    <xf numFmtId="43" fontId="7" fillId="2" borderId="23" xfId="1" applyFont="1" applyFill="1" applyBorder="1" applyAlignment="1" applyProtection="1">
      <alignment horizontal="right"/>
      <protection locked="0"/>
    </xf>
    <xf numFmtId="43" fontId="7" fillId="2" borderId="24" xfId="1" applyFont="1" applyFill="1" applyBorder="1" applyAlignment="1" applyProtection="1">
      <alignment horizontal="right"/>
      <protection locked="0"/>
    </xf>
    <xf numFmtId="43" fontId="7" fillId="2" borderId="16" xfId="1" applyFont="1" applyFill="1" applyBorder="1" applyAlignment="1" applyProtection="1">
      <alignment horizontal="right"/>
      <protection locked="0"/>
    </xf>
    <xf numFmtId="166" fontId="7" fillId="2" borderId="16" xfId="1" applyNumberFormat="1" applyFont="1" applyFill="1" applyBorder="1" applyAlignment="1" applyProtection="1">
      <alignment horizontal="right"/>
      <protection locked="0"/>
    </xf>
    <xf numFmtId="166" fontId="7" fillId="2" borderId="22" xfId="1" applyNumberFormat="1" applyFont="1" applyFill="1" applyBorder="1" applyAlignment="1" applyProtection="1">
      <alignment horizontal="right"/>
      <protection locked="0"/>
    </xf>
    <xf numFmtId="166" fontId="7" fillId="2" borderId="23" xfId="1" applyNumberFormat="1" applyFont="1" applyFill="1" applyBorder="1" applyAlignment="1" applyProtection="1">
      <alignment horizontal="right"/>
      <protection locked="0"/>
    </xf>
    <xf numFmtId="43" fontId="3" fillId="2" borderId="22" xfId="1" applyFont="1" applyFill="1" applyBorder="1" applyAlignment="1">
      <alignment horizontal="left"/>
    </xf>
    <xf numFmtId="43" fontId="3" fillId="2" borderId="22" xfId="1" quotePrefix="1" applyFont="1" applyFill="1" applyBorder="1" applyAlignment="1" applyProtection="1">
      <alignment horizontal="left"/>
      <protection locked="0"/>
    </xf>
    <xf numFmtId="43" fontId="3" fillId="2" borderId="23" xfId="1" quotePrefix="1" applyFont="1" applyFill="1" applyBorder="1" applyAlignment="1" applyProtection="1">
      <alignment horizontal="left"/>
      <protection locked="0"/>
    </xf>
    <xf numFmtId="43" fontId="3" fillId="2" borderId="23" xfId="1" applyFont="1" applyFill="1" applyBorder="1" applyAlignment="1">
      <alignment horizontal="left"/>
    </xf>
    <xf numFmtId="0" fontId="13" fillId="2" borderId="3" xfId="0" applyFont="1" applyFill="1" applyBorder="1" applyAlignment="1">
      <alignment horizontal="right"/>
    </xf>
    <xf numFmtId="43" fontId="13" fillId="2" borderId="17" xfId="1" applyFont="1" applyFill="1" applyBorder="1"/>
    <xf numFmtId="4" fontId="13" fillId="2" borderId="0" xfId="4" applyNumberFormat="1" applyFont="1" applyFill="1" applyBorder="1" applyAlignment="1">
      <alignment horizontal="center" wrapText="1"/>
    </xf>
    <xf numFmtId="43" fontId="7" fillId="2" borderId="16" xfId="1" applyFont="1" applyFill="1" applyBorder="1"/>
    <xf numFmtId="166" fontId="7" fillId="2" borderId="22" xfId="1" applyNumberFormat="1" applyFont="1" applyFill="1" applyBorder="1"/>
    <xf numFmtId="166" fontId="7" fillId="2" borderId="23" xfId="1" applyNumberFormat="1" applyFont="1" applyFill="1" applyBorder="1"/>
    <xf numFmtId="166" fontId="7" fillId="2" borderId="24" xfId="1" applyNumberFormat="1" applyFont="1" applyFill="1" applyBorder="1" applyAlignment="1">
      <alignment horizontal="right"/>
    </xf>
    <xf numFmtId="0" fontId="15" fillId="2" borderId="3" xfId="0" applyFont="1" applyFill="1" applyBorder="1" applyAlignment="1">
      <alignment horizontal="right"/>
    </xf>
    <xf numFmtId="2" fontId="15" fillId="2" borderId="3" xfId="0" applyNumberFormat="1" applyFont="1" applyFill="1" applyBorder="1" applyAlignment="1">
      <alignment horizontal="right"/>
    </xf>
    <xf numFmtId="0" fontId="13" fillId="2" borderId="3" xfId="0" applyFont="1" applyFill="1" applyBorder="1" applyAlignment="1">
      <alignment horizontal="right" vertical="top"/>
    </xf>
    <xf numFmtId="166" fontId="7" fillId="2" borderId="0" xfId="1" applyNumberFormat="1" applyFont="1" applyFill="1" applyBorder="1" applyAlignment="1" applyProtection="1">
      <alignment horizontal="left"/>
      <protection locked="0"/>
    </xf>
    <xf numFmtId="166" fontId="13" fillId="2" borderId="23" xfId="1" applyNumberFormat="1" applyFont="1" applyFill="1" applyBorder="1" applyAlignment="1" applyProtection="1">
      <alignment horizontal="left"/>
      <protection locked="0"/>
    </xf>
    <xf numFmtId="43" fontId="7" fillId="2" borderId="0" xfId="1" applyFont="1" applyFill="1" applyBorder="1" applyAlignment="1" applyProtection="1">
      <alignment horizontal="left"/>
      <protection locked="0"/>
    </xf>
    <xf numFmtId="43" fontId="7" fillId="2" borderId="21" xfId="1" applyFont="1" applyFill="1" applyBorder="1" applyAlignment="1" applyProtection="1">
      <alignment horizontal="left"/>
      <protection locked="0"/>
    </xf>
    <xf numFmtId="43" fontId="15" fillId="2" borderId="22" xfId="1" applyFont="1" applyFill="1" applyBorder="1" applyAlignment="1" applyProtection="1">
      <alignment horizontal="left"/>
      <protection locked="0"/>
    </xf>
    <xf numFmtId="4" fontId="15" fillId="2" borderId="24" xfId="4" applyNumberFormat="1" applyFont="1" applyFill="1" applyBorder="1" applyAlignment="1">
      <alignment horizontal="center" vertical="center" wrapText="1"/>
    </xf>
    <xf numFmtId="4" fontId="7" fillId="2" borderId="23" xfId="4" applyNumberFormat="1" applyFont="1" applyFill="1" applyBorder="1" applyAlignment="1">
      <alignment horizontal="right"/>
    </xf>
    <xf numFmtId="4" fontId="7" fillId="2" borderId="23" xfId="4" applyNumberFormat="1" applyFont="1" applyFill="1" applyBorder="1"/>
    <xf numFmtId="39" fontId="7" fillId="2" borderId="16" xfId="4" applyNumberFormat="1" applyFont="1" applyFill="1" applyBorder="1" applyAlignment="1" applyProtection="1">
      <alignment horizontal="right"/>
      <protection locked="0"/>
    </xf>
    <xf numFmtId="4" fontId="7" fillId="2" borderId="24" xfId="4" applyNumberFormat="1" applyFont="1" applyFill="1" applyBorder="1"/>
    <xf numFmtId="4" fontId="7" fillId="2" borderId="0" xfId="4" applyNumberFormat="1" applyFont="1" applyFill="1" applyBorder="1"/>
    <xf numFmtId="39" fontId="13" fillId="2" borderId="16" xfId="4" applyNumberFormat="1" applyFont="1" applyFill="1" applyBorder="1" applyAlignment="1" applyProtection="1">
      <alignment horizontal="right"/>
      <protection locked="0"/>
    </xf>
    <xf numFmtId="4" fontId="7" fillId="2" borderId="22" xfId="4" applyNumberFormat="1" applyFont="1" applyFill="1" applyBorder="1"/>
    <xf numFmtId="4" fontId="7" fillId="2" borderId="21" xfId="4" applyNumberFormat="1" applyFont="1" applyFill="1" applyBorder="1"/>
    <xf numFmtId="39" fontId="13" fillId="2" borderId="3" xfId="4" applyNumberFormat="1" applyFont="1" applyFill="1" applyBorder="1" applyAlignment="1">
      <alignment horizontal="right"/>
    </xf>
    <xf numFmtId="43" fontId="13" fillId="2" borderId="22" xfId="1" applyFont="1" applyFill="1" applyBorder="1" applyAlignment="1" applyProtection="1">
      <alignment horizontal="left"/>
      <protection locked="0"/>
    </xf>
    <xf numFmtId="4" fontId="13" fillId="2" borderId="24" xfId="4" applyNumberFormat="1" applyFont="1" applyFill="1" applyBorder="1" applyAlignment="1">
      <alignment horizontal="center" vertical="center" wrapText="1"/>
    </xf>
    <xf numFmtId="43" fontId="7" fillId="2" borderId="23" xfId="1" applyFont="1" applyFill="1" applyBorder="1" applyAlignment="1" applyProtection="1">
      <protection locked="0"/>
    </xf>
    <xf numFmtId="39" fontId="15" fillId="2" borderId="3" xfId="4" applyNumberFormat="1" applyFont="1" applyFill="1" applyBorder="1" applyAlignment="1" applyProtection="1">
      <alignment horizontal="right"/>
      <protection locked="0"/>
    </xf>
    <xf numFmtId="4" fontId="3" fillId="2" borderId="20" xfId="1" applyNumberFormat="1" applyFont="1" applyFill="1" applyBorder="1" applyAlignment="1" applyProtection="1">
      <alignment horizontal="right"/>
      <protection locked="0"/>
    </xf>
    <xf numFmtId="4" fontId="3" fillId="2" borderId="23" xfId="4" applyNumberFormat="1" applyFont="1" applyFill="1" applyBorder="1" applyAlignment="1">
      <alignment horizontal="right"/>
    </xf>
    <xf numFmtId="4" fontId="3" fillId="2" borderId="17" xfId="1" applyNumberFormat="1" applyFont="1" applyFill="1" applyBorder="1" applyAlignment="1" applyProtection="1">
      <protection locked="0"/>
    </xf>
    <xf numFmtId="43" fontId="3" fillId="2" borderId="25" xfId="1" applyFont="1" applyFill="1" applyBorder="1" applyAlignment="1" applyProtection="1">
      <alignment horizontal="left"/>
      <protection locked="0"/>
    </xf>
    <xf numFmtId="4" fontId="3" fillId="2" borderId="26" xfId="1" applyNumberFormat="1" applyFont="1" applyFill="1" applyBorder="1" applyAlignment="1" applyProtection="1">
      <alignment horizontal="right"/>
      <protection locked="0"/>
    </xf>
    <xf numFmtId="166" fontId="15" fillId="2" borderId="23" xfId="1" applyNumberFormat="1" applyFont="1" applyFill="1" applyBorder="1" applyAlignment="1" applyProtection="1">
      <alignment horizontal="left"/>
      <protection locked="0"/>
    </xf>
    <xf numFmtId="39" fontId="13" fillId="2" borderId="16" xfId="4" applyNumberFormat="1" applyFont="1" applyFill="1" applyBorder="1"/>
    <xf numFmtId="2" fontId="13" fillId="2" borderId="3" xfId="0" applyNumberFormat="1" applyFont="1" applyFill="1" applyBorder="1" applyAlignment="1">
      <alignment horizontal="right"/>
    </xf>
    <xf numFmtId="4" fontId="7" fillId="2" borderId="16" xfId="1" applyNumberFormat="1" applyFont="1" applyFill="1" applyBorder="1" applyAlignment="1" applyProtection="1">
      <alignment horizontal="right"/>
      <protection locked="0"/>
    </xf>
    <xf numFmtId="43" fontId="7" fillId="2" borderId="21" xfId="1" applyFont="1" applyFill="1" applyBorder="1"/>
    <xf numFmtId="37" fontId="7" fillId="2" borderId="16" xfId="4" applyFont="1" applyFill="1" applyBorder="1"/>
    <xf numFmtId="4" fontId="13" fillId="2" borderId="16" xfId="0" applyNumberFormat="1" applyFont="1" applyFill="1" applyBorder="1" applyAlignment="1">
      <alignment horizontal="right" wrapText="1"/>
    </xf>
    <xf numFmtId="43" fontId="7" fillId="2" borderId="17" xfId="1" applyFont="1" applyFill="1" applyBorder="1" applyAlignment="1" applyProtection="1">
      <alignment horizontal="left"/>
      <protection locked="0"/>
    </xf>
    <xf numFmtId="39" fontId="15" fillId="2" borderId="3" xfId="4" applyNumberFormat="1" applyFont="1" applyFill="1" applyBorder="1" applyAlignment="1">
      <alignment horizontal="right"/>
    </xf>
    <xf numFmtId="4" fontId="3" fillId="2" borderId="17" xfId="1" applyNumberFormat="1" applyFont="1" applyFill="1" applyBorder="1" applyAlignment="1" applyProtection="1">
      <alignment horizontal="right"/>
      <protection locked="0"/>
    </xf>
    <xf numFmtId="43" fontId="3" fillId="2" borderId="20" xfId="1" applyFont="1" applyFill="1" applyBorder="1" applyAlignment="1" applyProtection="1">
      <alignment horizontal="left"/>
      <protection locked="0"/>
    </xf>
    <xf numFmtId="4" fontId="3" fillId="2" borderId="27" xfId="5" applyNumberFormat="1" applyFill="1" applyBorder="1" applyAlignment="1">
      <alignment horizontal="right"/>
    </xf>
    <xf numFmtId="43" fontId="3" fillId="2" borderId="23" xfId="1" applyFont="1" applyFill="1" applyBorder="1" applyAlignment="1">
      <alignment horizontal="right" wrapText="1"/>
    </xf>
    <xf numFmtId="4" fontId="3" fillId="2" borderId="23" xfId="0" applyNumberFormat="1" applyFont="1" applyFill="1" applyBorder="1" applyAlignment="1">
      <alignment horizontal="right" wrapText="1"/>
    </xf>
    <xf numFmtId="4" fontId="7" fillId="2" borderId="17" xfId="1" applyNumberFormat="1" applyFont="1" applyFill="1" applyBorder="1" applyAlignment="1" applyProtection="1">
      <protection locked="0"/>
    </xf>
    <xf numFmtId="4" fontId="7" fillId="2" borderId="16" xfId="4" applyNumberFormat="1" applyFont="1" applyFill="1" applyBorder="1"/>
    <xf numFmtId="43" fontId="3" fillId="2" borderId="22" xfId="1" applyFont="1" applyFill="1" applyBorder="1" applyAlignment="1" applyProtection="1">
      <alignment horizontal="right"/>
      <protection locked="0"/>
    </xf>
    <xf numFmtId="43" fontId="3" fillId="2" borderId="0" xfId="1" applyFont="1" applyFill="1" applyBorder="1" applyAlignment="1" applyProtection="1">
      <alignment horizontal="left"/>
      <protection locked="0"/>
    </xf>
    <xf numFmtId="43" fontId="3" fillId="2" borderId="17" xfId="1" applyFont="1" applyFill="1" applyBorder="1" applyAlignment="1" applyProtection="1">
      <alignment horizontal="left"/>
      <protection locked="0"/>
    </xf>
    <xf numFmtId="9" fontId="15" fillId="2" borderId="0" xfId="3" applyFont="1" applyFill="1"/>
    <xf numFmtId="166" fontId="13" fillId="2" borderId="21" xfId="1" applyNumberFormat="1" applyFont="1" applyFill="1" applyBorder="1" applyAlignment="1" applyProtection="1">
      <alignment horizontal="left"/>
      <protection locked="0"/>
    </xf>
    <xf numFmtId="166" fontId="7" fillId="2" borderId="21" xfId="1" applyNumberFormat="1" applyFont="1" applyFill="1" applyBorder="1" applyAlignment="1" applyProtection="1">
      <alignment horizontal="left"/>
      <protection locked="0"/>
    </xf>
    <xf numFmtId="4" fontId="3" fillId="2" borderId="0" xfId="1" applyNumberFormat="1" applyFont="1" applyFill="1" applyBorder="1" applyAlignment="1" applyProtection="1">
      <protection locked="0"/>
    </xf>
    <xf numFmtId="165" fontId="3" fillId="2" borderId="23" xfId="6" applyFont="1" applyFill="1" applyBorder="1" applyAlignment="1" applyProtection="1">
      <alignment vertical="center"/>
      <protection locked="0"/>
    </xf>
    <xf numFmtId="43" fontId="13" fillId="2" borderId="21" xfId="1" applyFont="1" applyFill="1" applyBorder="1"/>
    <xf numFmtId="166" fontId="3" fillId="2" borderId="23" xfId="1" applyNumberFormat="1" applyFont="1" applyFill="1" applyBorder="1"/>
    <xf numFmtId="4" fontId="3" fillId="2" borderId="27" xfId="5" applyNumberFormat="1" applyFill="1" applyBorder="1" applyAlignment="1">
      <alignment horizontal="center"/>
    </xf>
    <xf numFmtId="4" fontId="3" fillId="2" borderId="17" xfId="1" applyNumberFormat="1" applyFont="1" applyFill="1" applyBorder="1" applyAlignment="1" applyProtection="1">
      <alignment horizontal="center"/>
      <protection locked="0"/>
    </xf>
    <xf numFmtId="4" fontId="3" fillId="2" borderId="17" xfId="1" applyNumberFormat="1" applyFont="1" applyFill="1" applyBorder="1" applyAlignment="1" applyProtection="1">
      <alignment vertical="center"/>
      <protection locked="0"/>
    </xf>
    <xf numFmtId="43" fontId="3" fillId="2" borderId="23" xfId="1" applyFont="1" applyFill="1" applyBorder="1" applyAlignment="1" applyProtection="1">
      <alignment horizontal="right"/>
      <protection locked="0"/>
    </xf>
    <xf numFmtId="39" fontId="3" fillId="2" borderId="25" xfId="4" applyNumberFormat="1" applyFont="1" applyFill="1" applyBorder="1" applyAlignment="1" applyProtection="1">
      <alignment horizontal="right"/>
      <protection locked="0"/>
    </xf>
    <xf numFmtId="167" fontId="15" fillId="2" borderId="3" xfId="4" applyNumberFormat="1" applyFont="1" applyFill="1" applyBorder="1" applyAlignment="1">
      <alignment horizontal="right"/>
    </xf>
    <xf numFmtId="43" fontId="7" fillId="2" borderId="0" xfId="1" applyFont="1" applyFill="1" applyBorder="1" applyAlignment="1" applyProtection="1">
      <alignment horizontal="right"/>
      <protection locked="0"/>
    </xf>
    <xf numFmtId="43" fontId="7" fillId="2" borderId="21" xfId="1" applyFont="1" applyFill="1" applyBorder="1" applyAlignment="1" applyProtection="1">
      <alignment horizontal="right"/>
      <protection locked="0"/>
    </xf>
    <xf numFmtId="4" fontId="3" fillId="2" borderId="17" xfId="1" applyNumberFormat="1" applyFont="1" applyFill="1" applyBorder="1" applyAlignment="1" applyProtection="1">
      <alignment horizontal="center" vertical="center" wrapText="1"/>
      <protection locked="0"/>
    </xf>
    <xf numFmtId="4" fontId="3" fillId="2" borderId="28" xfId="5" applyNumberFormat="1" applyFill="1" applyBorder="1" applyAlignment="1">
      <alignment horizontal="center"/>
    </xf>
    <xf numFmtId="4" fontId="7" fillId="2" borderId="28" xfId="5" applyNumberFormat="1" applyFont="1" applyFill="1" applyBorder="1" applyAlignment="1">
      <alignment horizontal="center"/>
    </xf>
    <xf numFmtId="4" fontId="3" fillId="2" borderId="17" xfId="1" applyNumberFormat="1" applyFont="1" applyFill="1" applyBorder="1" applyAlignment="1" applyProtection="1">
      <alignment horizontal="right" vertical="center"/>
      <protection locked="0"/>
    </xf>
    <xf numFmtId="39" fontId="3" fillId="2" borderId="23" xfId="4" applyNumberFormat="1" applyFont="1" applyFill="1" applyBorder="1" applyAlignment="1">
      <alignment horizontal="right"/>
    </xf>
    <xf numFmtId="4" fontId="13" fillId="2" borderId="24" xfId="4" applyNumberFormat="1" applyFont="1" applyFill="1" applyBorder="1" applyAlignment="1">
      <alignment horizontal="center" wrapText="1"/>
    </xf>
    <xf numFmtId="166" fontId="13" fillId="2" borderId="16" xfId="1" applyNumberFormat="1" applyFont="1" applyFill="1" applyBorder="1"/>
    <xf numFmtId="1" fontId="13" fillId="2" borderId="3" xfId="0" applyNumberFormat="1" applyFont="1" applyFill="1" applyBorder="1" applyAlignment="1">
      <alignment horizontal="right"/>
    </xf>
    <xf numFmtId="43" fontId="13" fillId="2" borderId="22" xfId="1" applyFont="1" applyFill="1" applyBorder="1" applyAlignment="1" applyProtection="1">
      <alignment horizontal="right"/>
      <protection locked="0"/>
    </xf>
    <xf numFmtId="4" fontId="3" fillId="2" borderId="17" xfId="1" applyNumberFormat="1" applyFont="1" applyFill="1" applyBorder="1" applyAlignment="1" applyProtection="1">
      <alignment wrapText="1"/>
      <protection locked="0"/>
    </xf>
    <xf numFmtId="43" fontId="15" fillId="2" borderId="22" xfId="1" applyFont="1" applyFill="1" applyBorder="1"/>
    <xf numFmtId="43" fontId="15" fillId="2" borderId="22" xfId="1" applyFont="1" applyFill="1" applyBorder="1" applyAlignment="1">
      <alignment horizontal="right"/>
    </xf>
    <xf numFmtId="4" fontId="15" fillId="2" borderId="16" xfId="0" applyNumberFormat="1" applyFont="1" applyFill="1" applyBorder="1" applyAlignment="1">
      <alignment horizontal="right" wrapText="1"/>
    </xf>
    <xf numFmtId="37" fontId="15" fillId="2" borderId="3" xfId="4" applyFont="1" applyFill="1" applyBorder="1" applyAlignment="1">
      <alignment horizontal="right"/>
    </xf>
    <xf numFmtId="4" fontId="3" fillId="2" borderId="17" xfId="1" applyNumberFormat="1" applyFont="1" applyFill="1" applyBorder="1" applyAlignment="1" applyProtection="1">
      <alignment horizontal="center" vertical="center"/>
      <protection locked="0"/>
    </xf>
    <xf numFmtId="4" fontId="3" fillId="2" borderId="25" xfId="0" applyNumberFormat="1" applyFont="1" applyFill="1" applyBorder="1" applyAlignment="1">
      <alignment horizontal="right" wrapText="1"/>
    </xf>
    <xf numFmtId="166" fontId="3" fillId="2" borderId="23" xfId="1" applyNumberFormat="1" applyFont="1" applyFill="1" applyBorder="1" applyAlignment="1" applyProtection="1">
      <alignment horizontal="right"/>
      <protection locked="0"/>
    </xf>
    <xf numFmtId="166" fontId="3" fillId="2" borderId="25" xfId="1" applyNumberFormat="1" applyFont="1" applyFill="1" applyBorder="1" applyAlignment="1" applyProtection="1">
      <alignment horizontal="right"/>
      <protection locked="0"/>
    </xf>
    <xf numFmtId="4" fontId="3" fillId="2" borderId="17" xfId="1" applyNumberFormat="1" applyFont="1" applyFill="1" applyBorder="1" applyAlignment="1" applyProtection="1">
      <alignment horizontal="right" vertical="center" wrapText="1"/>
      <protection locked="0"/>
    </xf>
    <xf numFmtId="37" fontId="13" fillId="2" borderId="3" xfId="4" applyFont="1" applyFill="1" applyBorder="1" applyAlignment="1">
      <alignment horizontal="right"/>
    </xf>
    <xf numFmtId="43" fontId="13" fillId="2" borderId="22" xfId="1" applyFont="1" applyFill="1" applyBorder="1" applyAlignment="1" applyProtection="1">
      <protection locked="0"/>
    </xf>
    <xf numFmtId="43" fontId="15" fillId="2" borderId="22" xfId="1" applyFont="1" applyFill="1" applyBorder="1" applyAlignment="1" applyProtection="1">
      <protection locked="0"/>
    </xf>
    <xf numFmtId="4" fontId="13" fillId="2" borderId="22" xfId="4" applyNumberFormat="1" applyFont="1" applyFill="1" applyBorder="1"/>
    <xf numFmtId="43" fontId="15" fillId="2" borderId="23" xfId="1" applyFont="1" applyFill="1" applyBorder="1" applyAlignment="1" applyProtection="1">
      <alignment horizontal="left"/>
      <protection locked="0"/>
    </xf>
    <xf numFmtId="43" fontId="3" fillId="2" borderId="21" xfId="1" applyFont="1" applyFill="1" applyBorder="1" applyAlignment="1" applyProtection="1">
      <alignment horizontal="left"/>
      <protection locked="0"/>
    </xf>
    <xf numFmtId="166" fontId="15" fillId="2" borderId="16" xfId="1" applyNumberFormat="1" applyFont="1" applyFill="1" applyBorder="1" applyAlignment="1">
      <alignment horizontal="left" wrapText="1"/>
    </xf>
    <xf numFmtId="43" fontId="13" fillId="2" borderId="23" xfId="1" applyFont="1" applyFill="1" applyBorder="1" applyAlignment="1" applyProtection="1">
      <alignment horizontal="right"/>
      <protection locked="0"/>
    </xf>
    <xf numFmtId="43" fontId="13" fillId="2" borderId="23" xfId="1" applyFont="1" applyFill="1" applyBorder="1" applyAlignment="1" applyProtection="1">
      <alignment horizontal="left"/>
      <protection locked="0"/>
    </xf>
    <xf numFmtId="4" fontId="3" fillId="2" borderId="29" xfId="1" applyNumberFormat="1" applyFont="1" applyFill="1" applyBorder="1" applyAlignment="1" applyProtection="1">
      <alignment horizontal="right"/>
      <protection locked="0"/>
    </xf>
    <xf numFmtId="4" fontId="3" fillId="2" borderId="3" xfId="1" applyNumberFormat="1" applyFont="1" applyFill="1" applyBorder="1" applyAlignment="1" applyProtection="1">
      <alignment horizontal="right"/>
      <protection locked="0"/>
    </xf>
    <xf numFmtId="166" fontId="13" fillId="2" borderId="16" xfId="1" applyNumberFormat="1" applyFont="1" applyFill="1" applyBorder="1" applyAlignment="1" applyProtection="1">
      <alignment horizontal="right"/>
      <protection locked="0"/>
    </xf>
    <xf numFmtId="43" fontId="3" fillId="2" borderId="3" xfId="1" applyFont="1" applyFill="1" applyBorder="1" applyAlignment="1" applyProtection="1">
      <alignment horizontal="right"/>
      <protection locked="0"/>
    </xf>
    <xf numFmtId="166" fontId="16" fillId="2" borderId="23" xfId="1" applyNumberFormat="1" applyFont="1" applyFill="1" applyBorder="1" applyAlignment="1" applyProtection="1">
      <alignment horizontal="left"/>
      <protection locked="0"/>
    </xf>
    <xf numFmtId="4" fontId="16" fillId="2" borderId="16" xfId="4" applyNumberFormat="1" applyFont="1" applyFill="1" applyBorder="1"/>
    <xf numFmtId="4" fontId="7" fillId="2" borderId="22" xfId="1" applyNumberFormat="1" applyFont="1" applyFill="1" applyBorder="1" applyAlignment="1" applyProtection="1">
      <alignment horizontal="right"/>
      <protection locked="0"/>
    </xf>
    <xf numFmtId="4" fontId="13" fillId="2" borderId="23" xfId="1" applyNumberFormat="1" applyFont="1" applyFill="1" applyBorder="1" applyAlignment="1" applyProtection="1">
      <alignment horizontal="right"/>
      <protection locked="0"/>
    </xf>
    <xf numFmtId="4" fontId="3" fillId="2" borderId="0" xfId="5" applyNumberFormat="1" applyFill="1"/>
    <xf numFmtId="4" fontId="13" fillId="2" borderId="22" xfId="1" applyNumberFormat="1" applyFont="1" applyFill="1" applyBorder="1" applyAlignment="1" applyProtection="1">
      <alignment horizontal="right"/>
      <protection locked="0"/>
    </xf>
    <xf numFmtId="4" fontId="15" fillId="2" borderId="16" xfId="4" applyNumberFormat="1" applyFont="1" applyFill="1" applyBorder="1"/>
    <xf numFmtId="43" fontId="15" fillId="2" borderId="16" xfId="1" applyFont="1" applyFill="1" applyBorder="1" applyAlignment="1">
      <alignment vertical="top" wrapText="1"/>
    </xf>
    <xf numFmtId="43" fontId="15" fillId="2" borderId="22" xfId="1" applyFont="1" applyFill="1" applyBorder="1" applyAlignment="1" applyProtection="1">
      <alignment horizontal="right"/>
      <protection locked="0"/>
    </xf>
    <xf numFmtId="4" fontId="3" fillId="2" borderId="23" xfId="0" applyNumberFormat="1" applyFont="1" applyFill="1" applyBorder="1"/>
    <xf numFmtId="37" fontId="15" fillId="2" borderId="22" xfId="4" applyFont="1" applyFill="1" applyBorder="1"/>
    <xf numFmtId="166" fontId="13" fillId="2" borderId="16" xfId="1" applyNumberFormat="1" applyFont="1" applyFill="1" applyBorder="1" applyAlignment="1">
      <alignment horizontal="left" wrapText="1"/>
    </xf>
    <xf numFmtId="4" fontId="13" fillId="2" borderId="22" xfId="4" applyNumberFormat="1" applyFont="1" applyFill="1" applyBorder="1" applyAlignment="1">
      <alignment horizontal="center"/>
    </xf>
    <xf numFmtId="4" fontId="15" fillId="2" borderId="22" xfId="4" applyNumberFormat="1" applyFont="1" applyFill="1" applyBorder="1" applyAlignment="1">
      <alignment horizontal="center"/>
    </xf>
    <xf numFmtId="4" fontId="15" fillId="2" borderId="22" xfId="1" applyNumberFormat="1" applyFont="1" applyFill="1" applyBorder="1" applyAlignment="1" applyProtection="1">
      <alignment horizontal="center"/>
      <protection locked="0"/>
    </xf>
    <xf numFmtId="165" fontId="7" fillId="2" borderId="16" xfId="0" applyNumberFormat="1" applyFont="1" applyFill="1" applyBorder="1"/>
    <xf numFmtId="4" fontId="15" fillId="2" borderId="22" xfId="4" applyNumberFormat="1" applyFont="1" applyFill="1" applyBorder="1"/>
    <xf numFmtId="0" fontId="7" fillId="2" borderId="16" xfId="0" applyFont="1" applyFill="1" applyBorder="1"/>
    <xf numFmtId="2" fontId="15" fillId="2" borderId="30" xfId="0" applyNumberFormat="1" applyFont="1" applyFill="1" applyBorder="1" applyAlignment="1">
      <alignment horizontal="right"/>
    </xf>
    <xf numFmtId="166" fontId="15" fillId="2" borderId="31" xfId="1" applyNumberFormat="1" applyFont="1" applyFill="1" applyBorder="1" applyAlignment="1">
      <alignment horizontal="left" wrapText="1"/>
    </xf>
    <xf numFmtId="4" fontId="15" fillId="2" borderId="32" xfId="4" applyNumberFormat="1" applyFont="1" applyFill="1" applyBorder="1"/>
    <xf numFmtId="43" fontId="15" fillId="2" borderId="4" xfId="4" applyNumberFormat="1" applyFont="1" applyFill="1" applyBorder="1" applyAlignment="1">
      <alignment horizontal="center" vertical="center" wrapText="1"/>
    </xf>
    <xf numFmtId="43" fontId="15" fillId="2" borderId="31" xfId="1" applyFont="1" applyFill="1" applyBorder="1" applyAlignment="1" applyProtection="1">
      <alignment horizontal="left"/>
      <protection locked="0"/>
    </xf>
    <xf numFmtId="43" fontId="3" fillId="2" borderId="32" xfId="1" applyFont="1" applyFill="1" applyBorder="1"/>
    <xf numFmtId="43" fontId="3" fillId="2" borderId="33" xfId="1" applyFont="1" applyFill="1" applyBorder="1"/>
    <xf numFmtId="39" fontId="3" fillId="2" borderId="31" xfId="4" applyNumberFormat="1" applyFont="1" applyFill="1" applyBorder="1" applyAlignment="1" applyProtection="1">
      <alignment horizontal="right"/>
      <protection locked="0"/>
    </xf>
    <xf numFmtId="43" fontId="3" fillId="2" borderId="33" xfId="1" applyFont="1" applyFill="1" applyBorder="1" applyAlignment="1">
      <alignment horizontal="right"/>
    </xf>
    <xf numFmtId="166" fontId="15" fillId="2" borderId="33" xfId="1" applyNumberFormat="1" applyFont="1" applyFill="1" applyBorder="1" applyAlignment="1" applyProtection="1">
      <alignment horizontal="left"/>
      <protection locked="0"/>
    </xf>
    <xf numFmtId="43" fontId="3" fillId="2" borderId="34" xfId="1" applyFont="1" applyFill="1" applyBorder="1"/>
    <xf numFmtId="43" fontId="15" fillId="2" borderId="31" xfId="1" applyFont="1" applyFill="1" applyBorder="1"/>
    <xf numFmtId="43" fontId="3" fillId="2" borderId="4" xfId="1" applyFont="1" applyFill="1" applyBorder="1"/>
    <xf numFmtId="4" fontId="15" fillId="2" borderId="31" xfId="0" applyNumberFormat="1" applyFont="1" applyFill="1" applyBorder="1" applyAlignment="1">
      <alignment horizontal="right" wrapText="1"/>
    </xf>
    <xf numFmtId="43" fontId="3" fillId="2" borderId="35" xfId="1" applyFont="1" applyFill="1" applyBorder="1"/>
    <xf numFmtId="168" fontId="15" fillId="2" borderId="0" xfId="2" applyNumberFormat="1" applyFont="1" applyFill="1"/>
    <xf numFmtId="4" fontId="3" fillId="2" borderId="0" xfId="4" applyNumberFormat="1" applyFont="1" applyFill="1"/>
    <xf numFmtId="37" fontId="3" fillId="2" borderId="0" xfId="4" applyFont="1" applyFill="1"/>
    <xf numFmtId="4" fontId="3" fillId="2" borderId="0" xfId="4" applyNumberFormat="1" applyFont="1" applyFill="1" applyAlignment="1">
      <alignment horizontal="right"/>
    </xf>
    <xf numFmtId="37" fontId="13" fillId="2" borderId="0" xfId="4" applyFont="1" applyFill="1"/>
    <xf numFmtId="4" fontId="3" fillId="2" borderId="0" xfId="0" applyNumberFormat="1" applyFont="1" applyFill="1"/>
    <xf numFmtId="37" fontId="3" fillId="2" borderId="0" xfId="4" applyFont="1" applyFill="1" applyAlignment="1">
      <alignment horizontal="right"/>
    </xf>
    <xf numFmtId="168" fontId="3" fillId="2" borderId="0" xfId="2" applyNumberFormat="1" applyFont="1" applyFill="1"/>
    <xf numFmtId="39" fontId="15" fillId="2" borderId="0" xfId="4" applyNumberFormat="1" applyFont="1" applyFill="1"/>
    <xf numFmtId="0" fontId="3" fillId="2" borderId="0" xfId="7" applyFont="1" applyFill="1"/>
    <xf numFmtId="0" fontId="7" fillId="2" borderId="7" xfId="0" applyFont="1" applyFill="1" applyBorder="1" applyAlignment="1">
      <alignment horizontal="center" wrapText="1"/>
    </xf>
    <xf numFmtId="0" fontId="7" fillId="2" borderId="1" xfId="7" applyFont="1" applyFill="1" applyBorder="1" applyAlignment="1">
      <alignment horizontal="center" vertical="center" wrapText="1"/>
    </xf>
    <xf numFmtId="0" fontId="7" fillId="2" borderId="18" xfId="7" applyFont="1" applyFill="1" applyBorder="1" applyAlignment="1">
      <alignment horizontal="center" vertical="center" wrapText="1"/>
    </xf>
    <xf numFmtId="9" fontId="7" fillId="2" borderId="18" xfId="7" applyNumberFormat="1" applyFont="1" applyFill="1" applyBorder="1" applyAlignment="1">
      <alignment horizontal="center"/>
    </xf>
    <xf numFmtId="9" fontId="7" fillId="2" borderId="36" xfId="3" applyFont="1" applyFill="1" applyBorder="1" applyAlignment="1">
      <alignment horizontal="center"/>
    </xf>
    <xf numFmtId="9" fontId="7" fillId="2" borderId="37" xfId="3" applyFont="1" applyFill="1" applyBorder="1" applyAlignment="1">
      <alignment horizontal="center"/>
    </xf>
    <xf numFmtId="9" fontId="7" fillId="2" borderId="38" xfId="3" applyFont="1" applyFill="1" applyBorder="1" applyAlignment="1">
      <alignment horizontal="center"/>
    </xf>
    <xf numFmtId="9" fontId="7" fillId="2" borderId="18" xfId="3" applyFont="1" applyFill="1" applyBorder="1" applyAlignment="1">
      <alignment horizontal="center"/>
    </xf>
    <xf numFmtId="9" fontId="7" fillId="2" borderId="39" xfId="3" applyFont="1" applyFill="1" applyBorder="1" applyAlignment="1">
      <alignment horizontal="center"/>
    </xf>
    <xf numFmtId="4" fontId="3" fillId="2" borderId="0" xfId="7" applyNumberFormat="1" applyFont="1" applyFill="1"/>
    <xf numFmtId="165" fontId="3" fillId="2" borderId="3" xfId="6" applyFont="1" applyFill="1" applyBorder="1"/>
    <xf numFmtId="0" fontId="7" fillId="2" borderId="16" xfId="7" applyFont="1" applyFill="1" applyBorder="1" applyAlignment="1">
      <alignment horizontal="left"/>
    </xf>
    <xf numFmtId="4" fontId="7" fillId="2" borderId="16" xfId="7" applyNumberFormat="1" applyFont="1" applyFill="1" applyBorder="1"/>
    <xf numFmtId="4" fontId="7" fillId="2" borderId="22" xfId="7" applyNumberFormat="1" applyFont="1" applyFill="1" applyBorder="1"/>
    <xf numFmtId="4" fontId="7" fillId="2" borderId="23" xfId="7" applyNumberFormat="1" applyFont="1" applyFill="1" applyBorder="1"/>
    <xf numFmtId="4" fontId="7" fillId="2" borderId="24" xfId="7" applyNumberFormat="1" applyFont="1" applyFill="1" applyBorder="1"/>
    <xf numFmtId="4" fontId="7" fillId="2" borderId="17" xfId="7" applyNumberFormat="1" applyFont="1" applyFill="1" applyBorder="1"/>
    <xf numFmtId="9" fontId="3" fillId="2" borderId="3" xfId="3" applyFont="1" applyFill="1" applyBorder="1" applyAlignment="1">
      <alignment horizontal="center"/>
    </xf>
    <xf numFmtId="9" fontId="3" fillId="2" borderId="16" xfId="3" applyFont="1" applyFill="1" applyBorder="1" applyAlignment="1">
      <alignment horizontal="center"/>
    </xf>
    <xf numFmtId="4" fontId="3" fillId="2" borderId="22" xfId="7" applyNumberFormat="1" applyFont="1" applyFill="1" applyBorder="1"/>
    <xf numFmtId="4" fontId="3" fillId="2" borderId="23" xfId="7" applyNumberFormat="1" applyFont="1" applyFill="1" applyBorder="1"/>
    <xf numFmtId="4" fontId="3" fillId="2" borderId="24" xfId="7" applyNumberFormat="1" applyFont="1" applyFill="1" applyBorder="1"/>
    <xf numFmtId="4" fontId="3" fillId="2" borderId="16" xfId="7" applyNumberFormat="1" applyFont="1" applyFill="1" applyBorder="1"/>
    <xf numFmtId="4" fontId="3" fillId="2" borderId="17" xfId="7" applyNumberFormat="1" applyFont="1" applyFill="1" applyBorder="1"/>
    <xf numFmtId="165" fontId="3" fillId="2" borderId="0" xfId="6" applyFont="1" applyFill="1"/>
    <xf numFmtId="165" fontId="7" fillId="2" borderId="3" xfId="6" applyFont="1" applyFill="1" applyBorder="1"/>
    <xf numFmtId="0" fontId="7" fillId="2" borderId="16" xfId="7" quotePrefix="1" applyFont="1" applyFill="1" applyBorder="1" applyAlignment="1">
      <alignment horizontal="left"/>
    </xf>
    <xf numFmtId="4" fontId="8" fillId="2" borderId="16" xfId="7" applyNumberFormat="1" applyFont="1" applyFill="1" applyBorder="1"/>
    <xf numFmtId="0" fontId="8" fillId="2" borderId="16" xfId="7" quotePrefix="1" applyFont="1" applyFill="1" applyBorder="1" applyAlignment="1">
      <alignment horizontal="left"/>
    </xf>
    <xf numFmtId="4" fontId="8" fillId="2" borderId="16" xfId="7" quotePrefix="1" applyNumberFormat="1" applyFont="1" applyFill="1" applyBorder="1" applyAlignment="1">
      <alignment horizontal="right"/>
    </xf>
    <xf numFmtId="165" fontId="7" fillId="2" borderId="16" xfId="6" applyFont="1" applyFill="1" applyBorder="1"/>
    <xf numFmtId="4" fontId="7" fillId="2" borderId="16" xfId="7" quotePrefix="1" applyNumberFormat="1" applyFont="1" applyFill="1" applyBorder="1" applyAlignment="1">
      <alignment horizontal="right"/>
    </xf>
    <xf numFmtId="4" fontId="8" fillId="2" borderId="22" xfId="7" quotePrefix="1" applyNumberFormat="1" applyFont="1" applyFill="1" applyBorder="1" applyAlignment="1">
      <alignment horizontal="right"/>
    </xf>
    <xf numFmtId="4" fontId="8" fillId="2" borderId="0" xfId="7" quotePrefix="1" applyNumberFormat="1" applyFont="1" applyFill="1" applyAlignment="1">
      <alignment horizontal="right"/>
    </xf>
    <xf numFmtId="4" fontId="8" fillId="2" borderId="17" xfId="7" quotePrefix="1" applyNumberFormat="1" applyFont="1" applyFill="1" applyBorder="1" applyAlignment="1">
      <alignment horizontal="right"/>
    </xf>
    <xf numFmtId="4" fontId="7" fillId="2" borderId="22" xfId="7" quotePrefix="1" applyNumberFormat="1" applyFont="1" applyFill="1" applyBorder="1" applyAlignment="1">
      <alignment horizontal="right"/>
    </xf>
    <xf numFmtId="4" fontId="7" fillId="2" borderId="17" xfId="7" quotePrefix="1" applyNumberFormat="1" applyFont="1" applyFill="1" applyBorder="1" applyAlignment="1">
      <alignment horizontal="right"/>
    </xf>
    <xf numFmtId="4" fontId="7" fillId="2" borderId="16" xfId="7" applyNumberFormat="1" applyFont="1" applyFill="1" applyBorder="1" applyAlignment="1">
      <alignment horizontal="right"/>
    </xf>
    <xf numFmtId="4" fontId="3" fillId="2" borderId="16" xfId="7" quotePrefix="1" applyNumberFormat="1" applyFont="1" applyFill="1" applyBorder="1" applyAlignment="1">
      <alignment horizontal="right"/>
    </xf>
    <xf numFmtId="4" fontId="3" fillId="2" borderId="22" xfId="7" quotePrefix="1" applyNumberFormat="1" applyFont="1" applyFill="1" applyBorder="1" applyAlignment="1">
      <alignment horizontal="right"/>
    </xf>
    <xf numFmtId="4" fontId="3" fillId="2" borderId="23" xfId="7" quotePrefix="1" applyNumberFormat="1" applyFont="1" applyFill="1" applyBorder="1" applyAlignment="1">
      <alignment horizontal="right"/>
    </xf>
    <xf numFmtId="165" fontId="3" fillId="2" borderId="16" xfId="6" applyFont="1" applyFill="1" applyBorder="1"/>
    <xf numFmtId="4" fontId="7" fillId="2" borderId="24" xfId="7" quotePrefix="1" applyNumberFormat="1" applyFont="1" applyFill="1" applyBorder="1" applyAlignment="1">
      <alignment horizontal="right"/>
    </xf>
    <xf numFmtId="4" fontId="3" fillId="2" borderId="17" xfId="7" quotePrefix="1" applyNumberFormat="1" applyFont="1" applyFill="1" applyBorder="1" applyAlignment="1">
      <alignment horizontal="right"/>
    </xf>
    <xf numFmtId="4" fontId="7" fillId="2" borderId="0" xfId="7" quotePrefix="1" applyNumberFormat="1" applyFont="1" applyFill="1" applyAlignment="1">
      <alignment horizontal="right"/>
    </xf>
    <xf numFmtId="4" fontId="7" fillId="2" borderId="17" xfId="7" applyNumberFormat="1" applyFont="1" applyFill="1" applyBorder="1" applyAlignment="1">
      <alignment horizontal="right"/>
    </xf>
    <xf numFmtId="4" fontId="3" fillId="2" borderId="23" xfId="7" applyNumberFormat="1" applyFont="1" applyFill="1" applyBorder="1" applyAlignment="1">
      <alignment horizontal="right"/>
    </xf>
    <xf numFmtId="4" fontId="3" fillId="2" borderId="24" xfId="7" applyNumberFormat="1" applyFont="1" applyFill="1" applyBorder="1" applyAlignment="1">
      <alignment horizontal="right"/>
    </xf>
    <xf numFmtId="4" fontId="3" fillId="2" borderId="22" xfId="7" applyNumberFormat="1" applyFont="1" applyFill="1" applyBorder="1" applyAlignment="1">
      <alignment horizontal="right"/>
    </xf>
    <xf numFmtId="4" fontId="7" fillId="2" borderId="23" xfId="7" applyNumberFormat="1" applyFont="1" applyFill="1" applyBorder="1" applyAlignment="1">
      <alignment horizontal="right"/>
    </xf>
    <xf numFmtId="4" fontId="7" fillId="2" borderId="24" xfId="7" applyNumberFormat="1" applyFont="1" applyFill="1" applyBorder="1" applyAlignment="1">
      <alignment horizontal="right"/>
    </xf>
    <xf numFmtId="4" fontId="7" fillId="2" borderId="22" xfId="7" applyNumberFormat="1" applyFont="1" applyFill="1" applyBorder="1" applyAlignment="1">
      <alignment horizontal="right"/>
    </xf>
    <xf numFmtId="4" fontId="7" fillId="2" borderId="0" xfId="7" applyNumberFormat="1" applyFont="1" applyFill="1"/>
    <xf numFmtId="0" fontId="3" fillId="2" borderId="23" xfId="7" applyFont="1" applyFill="1" applyBorder="1"/>
    <xf numFmtId="0" fontId="3" fillId="2" borderId="24" xfId="7" applyFont="1" applyFill="1" applyBorder="1"/>
    <xf numFmtId="0" fontId="3" fillId="2" borderId="16" xfId="7" applyFont="1" applyFill="1" applyBorder="1" applyAlignment="1">
      <alignment horizontal="left"/>
    </xf>
    <xf numFmtId="4" fontId="3" fillId="2" borderId="16" xfId="7" applyNumberFormat="1" applyFont="1" applyFill="1" applyBorder="1" applyAlignment="1">
      <alignment horizontal="right"/>
    </xf>
    <xf numFmtId="0" fontId="3" fillId="2" borderId="16" xfId="7" applyFont="1" applyFill="1" applyBorder="1"/>
    <xf numFmtId="165" fontId="7" fillId="2" borderId="16" xfId="6" applyFont="1" applyFill="1" applyBorder="1" applyAlignment="1">
      <alignment horizontal="left"/>
    </xf>
    <xf numFmtId="165" fontId="3" fillId="2" borderId="16" xfId="6" applyFont="1" applyFill="1" applyBorder="1" applyAlignment="1">
      <alignment horizontal="left"/>
    </xf>
    <xf numFmtId="4" fontId="7" fillId="2" borderId="23" xfId="7" quotePrefix="1" applyNumberFormat="1" applyFont="1" applyFill="1" applyBorder="1" applyAlignment="1">
      <alignment horizontal="right"/>
    </xf>
    <xf numFmtId="4" fontId="3" fillId="2" borderId="17" xfId="7" applyNumberFormat="1" applyFont="1" applyFill="1" applyBorder="1" applyAlignment="1">
      <alignment horizontal="right"/>
    </xf>
    <xf numFmtId="165" fontId="3" fillId="2" borderId="31" xfId="6" applyFont="1" applyFill="1" applyBorder="1"/>
    <xf numFmtId="4" fontId="3" fillId="2" borderId="0" xfId="7" applyNumberFormat="1" applyFont="1" applyFill="1" applyAlignment="1">
      <alignment horizontal="right"/>
    </xf>
    <xf numFmtId="165" fontId="3" fillId="2" borderId="1" xfId="6" applyFont="1" applyFill="1" applyBorder="1"/>
    <xf numFmtId="4" fontId="8" fillId="2" borderId="16" xfId="7" applyNumberFormat="1" applyFont="1" applyFill="1" applyBorder="1" applyAlignment="1">
      <alignment horizontal="right"/>
    </xf>
    <xf numFmtId="165" fontId="8" fillId="2" borderId="3" xfId="6" applyFont="1" applyFill="1" applyBorder="1"/>
    <xf numFmtId="4" fontId="8" fillId="2" borderId="22" xfId="7" applyNumberFormat="1" applyFont="1" applyFill="1" applyBorder="1"/>
    <xf numFmtId="4" fontId="8" fillId="2" borderId="23" xfId="7" applyNumberFormat="1" applyFont="1" applyFill="1" applyBorder="1"/>
    <xf numFmtId="4" fontId="8" fillId="2" borderId="24" xfId="7" applyNumberFormat="1" applyFont="1" applyFill="1" applyBorder="1"/>
    <xf numFmtId="4" fontId="8" fillId="2" borderId="17" xfId="7" applyNumberFormat="1" applyFont="1" applyFill="1" applyBorder="1"/>
    <xf numFmtId="0" fontId="3" fillId="2" borderId="3" xfId="7" applyFont="1" applyFill="1" applyBorder="1"/>
    <xf numFmtId="4" fontId="3" fillId="2" borderId="31" xfId="7" quotePrefix="1" applyNumberFormat="1" applyFont="1" applyFill="1" applyBorder="1" applyAlignment="1">
      <alignment horizontal="right"/>
    </xf>
    <xf numFmtId="4" fontId="3" fillId="2" borderId="32" xfId="7" applyNumberFormat="1" applyFont="1" applyFill="1" applyBorder="1"/>
    <xf numFmtId="4" fontId="3" fillId="2" borderId="33" xfId="7" applyNumberFormat="1" applyFont="1" applyFill="1" applyBorder="1"/>
    <xf numFmtId="4" fontId="3" fillId="2" borderId="34" xfId="7" applyNumberFormat="1" applyFont="1" applyFill="1" applyBorder="1"/>
    <xf numFmtId="4" fontId="3" fillId="2" borderId="31" xfId="7" applyNumberFormat="1" applyFont="1" applyFill="1" applyBorder="1"/>
    <xf numFmtId="4" fontId="3" fillId="2" borderId="40" xfId="7" applyNumberFormat="1" applyFont="1" applyFill="1" applyBorder="1"/>
    <xf numFmtId="4" fontId="7" fillId="2" borderId="22" xfId="6" applyNumberFormat="1" applyFont="1" applyFill="1" applyBorder="1"/>
    <xf numFmtId="4" fontId="7" fillId="2" borderId="23" xfId="6" applyNumberFormat="1" applyFont="1" applyFill="1" applyBorder="1"/>
    <xf numFmtId="4" fontId="7" fillId="2" borderId="24" xfId="6" applyNumberFormat="1" applyFont="1" applyFill="1" applyBorder="1"/>
    <xf numFmtId="4" fontId="7" fillId="2" borderId="16" xfId="6" applyNumberFormat="1" applyFont="1" applyFill="1" applyBorder="1"/>
    <xf numFmtId="4" fontId="7" fillId="2" borderId="17" xfId="6" applyNumberFormat="1" applyFont="1" applyFill="1" applyBorder="1"/>
    <xf numFmtId="0" fontId="7" fillId="2" borderId="0" xfId="7" applyFont="1" applyFill="1"/>
    <xf numFmtId="4" fontId="3" fillId="2" borderId="22" xfId="6" applyNumberFormat="1" applyFont="1" applyFill="1" applyBorder="1"/>
    <xf numFmtId="4" fontId="3" fillId="2" borderId="23" xfId="6" applyNumberFormat="1" applyFont="1" applyFill="1" applyBorder="1"/>
    <xf numFmtId="4" fontId="3" fillId="2" borderId="24" xfId="6" applyNumberFormat="1" applyFont="1" applyFill="1" applyBorder="1"/>
    <xf numFmtId="4" fontId="3" fillId="2" borderId="16" xfId="6" applyNumberFormat="1" applyFont="1" applyFill="1" applyBorder="1"/>
    <xf numFmtId="4" fontId="3" fillId="2" borderId="17" xfId="6" applyNumberFormat="1" applyFont="1" applyFill="1" applyBorder="1"/>
    <xf numFmtId="165" fontId="8" fillId="2" borderId="16" xfId="6" applyFont="1" applyFill="1" applyBorder="1"/>
    <xf numFmtId="4" fontId="8" fillId="2" borderId="23" xfId="7" quotePrefix="1" applyNumberFormat="1" applyFont="1" applyFill="1" applyBorder="1" applyAlignment="1">
      <alignment horizontal="right"/>
    </xf>
    <xf numFmtId="4" fontId="8" fillId="2" borderId="24" xfId="7" quotePrefix="1" applyNumberFormat="1" applyFont="1" applyFill="1" applyBorder="1" applyAlignment="1">
      <alignment horizontal="right"/>
    </xf>
    <xf numFmtId="165" fontId="7" fillId="2" borderId="0" xfId="6" applyFont="1" applyFill="1" applyBorder="1"/>
    <xf numFmtId="165" fontId="3" fillId="2" borderId="41" xfId="6" applyFont="1" applyFill="1" applyBorder="1"/>
    <xf numFmtId="165" fontId="3" fillId="2" borderId="42" xfId="6" applyFont="1" applyFill="1" applyBorder="1"/>
    <xf numFmtId="4" fontId="3" fillId="2" borderId="42" xfId="7" quotePrefix="1" applyNumberFormat="1" applyFont="1" applyFill="1" applyBorder="1" applyAlignment="1">
      <alignment horizontal="right"/>
    </xf>
    <xf numFmtId="4" fontId="3" fillId="2" borderId="43" xfId="6" applyNumberFormat="1" applyFont="1" applyFill="1" applyBorder="1"/>
    <xf numFmtId="4" fontId="3" fillId="2" borderId="44" xfId="6" applyNumberFormat="1" applyFont="1" applyFill="1" applyBorder="1"/>
    <xf numFmtId="4" fontId="3" fillId="2" borderId="45" xfId="6" applyNumberFormat="1" applyFont="1" applyFill="1" applyBorder="1"/>
    <xf numFmtId="4" fontId="3" fillId="2" borderId="42" xfId="6" applyNumberFormat="1" applyFont="1" applyFill="1" applyBorder="1"/>
    <xf numFmtId="4" fontId="3" fillId="2" borderId="46" xfId="6" applyNumberFormat="1" applyFont="1" applyFill="1" applyBorder="1"/>
    <xf numFmtId="165" fontId="3" fillId="2" borderId="30" xfId="6" applyFont="1" applyFill="1" applyBorder="1"/>
    <xf numFmtId="4" fontId="3" fillId="2" borderId="32" xfId="6" applyNumberFormat="1" applyFont="1" applyFill="1" applyBorder="1"/>
    <xf numFmtId="4" fontId="3" fillId="2" borderId="33" xfId="6" applyNumberFormat="1" applyFont="1" applyFill="1" applyBorder="1"/>
    <xf numFmtId="4" fontId="3" fillId="2" borderId="34" xfId="6" applyNumberFormat="1" applyFont="1" applyFill="1" applyBorder="1"/>
    <xf numFmtId="4" fontId="3" fillId="2" borderId="31" xfId="6" applyNumberFormat="1" applyFont="1" applyFill="1" applyBorder="1"/>
    <xf numFmtId="4" fontId="3" fillId="2" borderId="40" xfId="6" applyNumberFormat="1" applyFont="1" applyFill="1" applyBorder="1"/>
    <xf numFmtId="0" fontId="7" fillId="2" borderId="0" xfId="7" applyFont="1" applyFill="1" applyAlignment="1">
      <alignment horizontal="right"/>
    </xf>
    <xf numFmtId="165" fontId="7" fillId="2" borderId="0" xfId="6" applyFont="1" applyFill="1"/>
    <xf numFmtId="0" fontId="3" fillId="2" borderId="0" xfId="7" applyFont="1" applyFill="1" applyAlignment="1">
      <alignment horizontal="right"/>
    </xf>
    <xf numFmtId="166" fontId="3" fillId="2" borderId="0" xfId="7" applyNumberFormat="1" applyFont="1" applyFill="1"/>
    <xf numFmtId="39" fontId="3" fillId="2" borderId="0" xfId="7" applyNumberFormat="1" applyFont="1" applyFill="1"/>
    <xf numFmtId="41" fontId="3" fillId="2" borderId="0" xfId="2" applyFont="1" applyFill="1"/>
    <xf numFmtId="43" fontId="3" fillId="2" borderId="0" xfId="7" applyNumberFormat="1" applyFont="1" applyFill="1"/>
    <xf numFmtId="0" fontId="14" fillId="5" borderId="5" xfId="7" applyFont="1" applyFill="1" applyBorder="1" applyAlignment="1">
      <alignment horizontal="center" vertical="center" wrapText="1"/>
    </xf>
    <xf numFmtId="0" fontId="14" fillId="5" borderId="6" xfId="7" applyFont="1" applyFill="1" applyBorder="1" applyAlignment="1">
      <alignment horizontal="center" vertical="center" wrapText="1"/>
    </xf>
    <xf numFmtId="0" fontId="14" fillId="5" borderId="7" xfId="7" applyFont="1" applyFill="1" applyBorder="1" applyAlignment="1">
      <alignment horizontal="center" vertical="center" wrapText="1"/>
    </xf>
    <xf numFmtId="0" fontId="14" fillId="5" borderId="7" xfId="0" applyFont="1" applyFill="1" applyBorder="1" applyAlignment="1">
      <alignment horizontal="center" wrapText="1"/>
    </xf>
    <xf numFmtId="37" fontId="14" fillId="5" borderId="6" xfId="4" applyFont="1" applyFill="1" applyBorder="1" applyAlignment="1">
      <alignment horizontal="center" vertical="center" wrapText="1"/>
    </xf>
    <xf numFmtId="164" fontId="14" fillId="5" borderId="7" xfId="4" applyNumberFormat="1" applyFont="1" applyFill="1" applyBorder="1" applyAlignment="1">
      <alignment horizontal="center" vertical="center" wrapText="1"/>
    </xf>
    <xf numFmtId="164" fontId="18" fillId="5" borderId="8" xfId="4" applyNumberFormat="1" applyFont="1" applyFill="1" applyBorder="1" applyAlignment="1">
      <alignment horizontal="center" vertical="center" wrapText="1"/>
    </xf>
    <xf numFmtId="164" fontId="14" fillId="5" borderId="9" xfId="0" applyNumberFormat="1" applyFont="1" applyFill="1" applyBorder="1" applyAlignment="1" applyProtection="1">
      <alignment horizontal="center" vertical="center" wrapText="1"/>
      <protection locked="0"/>
    </xf>
    <xf numFmtId="40" fontId="14" fillId="5" borderId="10" xfId="0" applyNumberFormat="1" applyFont="1" applyFill="1" applyBorder="1" applyAlignment="1" applyProtection="1">
      <alignment horizontal="center" vertical="center" wrapText="1"/>
      <protection locked="0"/>
    </xf>
    <xf numFmtId="4" fontId="14" fillId="5" borderId="10" xfId="4" applyNumberFormat="1" applyFont="1" applyFill="1" applyBorder="1" applyAlignment="1">
      <alignment horizontal="center" vertical="center" wrapText="1"/>
    </xf>
    <xf numFmtId="4" fontId="14" fillId="5" borderId="11" xfId="4" applyNumberFormat="1" applyFont="1" applyFill="1" applyBorder="1" applyAlignment="1">
      <alignment horizontal="center" vertical="center" wrapText="1"/>
    </xf>
    <xf numFmtId="4" fontId="14" fillId="5" borderId="6" xfId="4" applyNumberFormat="1" applyFont="1" applyFill="1" applyBorder="1" applyAlignment="1">
      <alignment horizontal="center" vertical="center" wrapText="1"/>
    </xf>
    <xf numFmtId="4" fontId="14" fillId="5" borderId="9" xfId="4" applyNumberFormat="1" applyFont="1" applyFill="1" applyBorder="1" applyAlignment="1">
      <alignment horizontal="center" vertical="center" wrapText="1"/>
    </xf>
    <xf numFmtId="164" fontId="14" fillId="5" borderId="12" xfId="4" applyNumberFormat="1" applyFont="1" applyFill="1" applyBorder="1" applyAlignment="1">
      <alignment horizontal="center" vertical="center" wrapText="1"/>
    </xf>
    <xf numFmtId="0" fontId="14" fillId="5" borderId="6" xfId="4" applyNumberFormat="1" applyFont="1" applyFill="1" applyBorder="1" applyAlignment="1">
      <alignment horizontal="center" vertical="center" wrapText="1"/>
    </xf>
    <xf numFmtId="0" fontId="14" fillId="5" borderId="9" xfId="4" applyNumberFormat="1" applyFont="1" applyFill="1" applyBorder="1" applyAlignment="1">
      <alignment horizontal="center" vertical="center" wrapText="1"/>
    </xf>
    <xf numFmtId="0" fontId="14" fillId="5" borderId="10" xfId="4" applyNumberFormat="1" applyFont="1" applyFill="1" applyBorder="1" applyAlignment="1">
      <alignment horizontal="center" vertical="center" wrapText="1"/>
    </xf>
    <xf numFmtId="0" fontId="14" fillId="5" borderId="11" xfId="4" applyNumberFormat="1" applyFont="1" applyFill="1" applyBorder="1" applyAlignment="1">
      <alignment horizontal="center" vertical="center" wrapText="1"/>
    </xf>
    <xf numFmtId="164" fontId="14" fillId="5" borderId="6" xfId="4" applyNumberFormat="1" applyFont="1" applyFill="1" applyBorder="1" applyAlignment="1">
      <alignment horizontal="center" vertical="center" wrapText="1"/>
    </xf>
    <xf numFmtId="164" fontId="14" fillId="5" borderId="9" xfId="4" applyNumberFormat="1" applyFont="1" applyFill="1" applyBorder="1" applyAlignment="1">
      <alignment horizontal="center" vertical="center" wrapText="1"/>
    </xf>
    <xf numFmtId="164" fontId="14" fillId="5" borderId="10" xfId="4" applyNumberFormat="1" applyFont="1" applyFill="1" applyBorder="1" applyAlignment="1">
      <alignment horizontal="center" vertical="center" wrapText="1"/>
    </xf>
    <xf numFmtId="164" fontId="14" fillId="5" borderId="11" xfId="4" applyNumberFormat="1" applyFont="1" applyFill="1" applyBorder="1" applyAlignment="1">
      <alignment horizontal="center" vertical="center" wrapText="1"/>
    </xf>
    <xf numFmtId="164" fontId="14" fillId="5" borderId="8" xfId="4" applyNumberFormat="1" applyFont="1" applyFill="1" applyBorder="1" applyAlignment="1">
      <alignment horizontal="center" vertical="center" wrapText="1"/>
    </xf>
    <xf numFmtId="37" fontId="14" fillId="5" borderId="5" xfId="4" applyFont="1" applyFill="1" applyBorder="1" applyAlignment="1">
      <alignment horizontal="center" vertical="center" wrapText="1"/>
    </xf>
    <xf numFmtId="0" fontId="7" fillId="2" borderId="0" xfId="7" applyFont="1" applyFill="1" applyAlignment="1">
      <alignment horizontal="center" vertical="center" wrapText="1"/>
    </xf>
    <xf numFmtId="0" fontId="7" fillId="2" borderId="0" xfId="7" applyFont="1" applyFill="1" applyAlignment="1">
      <alignment horizontal="center" vertical="center"/>
    </xf>
    <xf numFmtId="0" fontId="7" fillId="2" borderId="4" xfId="7" applyFont="1" applyFill="1" applyBorder="1" applyAlignment="1">
      <alignment horizontal="center" vertical="center"/>
    </xf>
    <xf numFmtId="37" fontId="13" fillId="2" borderId="1" xfId="4" applyFont="1" applyFill="1" applyBorder="1" applyAlignment="1">
      <alignment horizontal="center" vertical="center" wrapText="1"/>
    </xf>
    <xf numFmtId="37" fontId="13" fillId="2" borderId="2" xfId="4" applyFont="1" applyFill="1" applyBorder="1" applyAlignment="1">
      <alignment horizontal="center" vertical="center"/>
    </xf>
    <xf numFmtId="37" fontId="13" fillId="2" borderId="3" xfId="4" applyFont="1" applyFill="1" applyBorder="1" applyAlignment="1">
      <alignment horizontal="center" vertical="center"/>
    </xf>
    <xf numFmtId="37" fontId="13" fillId="2" borderId="0" xfId="4" applyFont="1" applyFill="1" applyBorder="1" applyAlignment="1">
      <alignment horizontal="center" vertical="center"/>
    </xf>
    <xf numFmtId="37" fontId="13" fillId="2" borderId="30" xfId="4" applyFont="1" applyFill="1" applyBorder="1" applyAlignment="1">
      <alignment horizontal="center" vertical="center"/>
    </xf>
    <xf numFmtId="37" fontId="13" fillId="2" borderId="4" xfId="4" applyFont="1" applyFill="1" applyBorder="1" applyAlignment="1">
      <alignment horizontal="center" vertical="center"/>
    </xf>
    <xf numFmtId="0" fontId="7" fillId="2" borderId="0" xfId="0" applyFont="1" applyFill="1" applyAlignment="1">
      <alignment horizontal="center" vertical="center" wrapText="1"/>
    </xf>
    <xf numFmtId="0" fontId="14" fillId="3" borderId="48"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14" fillId="3" borderId="49" xfId="0" applyFont="1" applyFill="1" applyBorder="1" applyAlignment="1">
      <alignment horizontal="center" vertical="center" wrapText="1"/>
    </xf>
    <xf numFmtId="0" fontId="14" fillId="3" borderId="52" xfId="0" applyFont="1" applyFill="1" applyBorder="1" applyAlignment="1">
      <alignment horizontal="center" vertical="center" wrapText="1"/>
    </xf>
    <xf numFmtId="0" fontId="14" fillId="4" borderId="58" xfId="0" applyFont="1" applyFill="1" applyBorder="1" applyAlignment="1">
      <alignment horizontal="center" vertical="center" wrapText="1"/>
    </xf>
    <xf numFmtId="0" fontId="14" fillId="4" borderId="37" xfId="0" applyFont="1" applyFill="1" applyBorder="1" applyAlignment="1">
      <alignment horizontal="center" vertical="center" wrapText="1"/>
    </xf>
    <xf numFmtId="0" fontId="14" fillId="4" borderId="53" xfId="0" applyFont="1" applyFill="1" applyBorder="1" applyAlignment="1">
      <alignment horizontal="center" vertical="center" wrapText="1"/>
    </xf>
    <xf numFmtId="0" fontId="7" fillId="2" borderId="25" xfId="0" applyFont="1" applyFill="1" applyBorder="1" applyAlignment="1">
      <alignment horizontal="left" vertical="top" wrapText="1"/>
    </xf>
    <xf numFmtId="0" fontId="12" fillId="2" borderId="25" xfId="0" applyFont="1" applyFill="1" applyBorder="1" applyAlignment="1">
      <alignment horizontal="left" vertical="top" wrapText="1"/>
    </xf>
    <xf numFmtId="0" fontId="14" fillId="4" borderId="26" xfId="0" applyFont="1" applyFill="1" applyBorder="1" applyAlignment="1">
      <alignment horizontal="center" vertical="center" wrapText="1"/>
    </xf>
    <xf numFmtId="0" fontId="14" fillId="4" borderId="33" xfId="0" applyFont="1" applyFill="1" applyBorder="1" applyAlignment="1">
      <alignment horizontal="center" vertical="center" wrapText="1"/>
    </xf>
    <xf numFmtId="0" fontId="14" fillId="4" borderId="35" xfId="0" applyFont="1" applyFill="1" applyBorder="1" applyAlignment="1">
      <alignment horizontal="center" vertical="center" wrapText="1"/>
    </xf>
    <xf numFmtId="0" fontId="7" fillId="2" borderId="57" xfId="0" applyFont="1" applyFill="1" applyBorder="1" applyAlignment="1">
      <alignment horizontal="center" vertical="top" wrapText="1"/>
    </xf>
    <xf numFmtId="0" fontId="7" fillId="2" borderId="54" xfId="0" applyFont="1" applyFill="1" applyBorder="1" applyAlignment="1">
      <alignment horizontal="center" vertical="top" wrapText="1"/>
    </xf>
    <xf numFmtId="0" fontId="7" fillId="2" borderId="50" xfId="0" applyFont="1" applyFill="1" applyBorder="1" applyAlignment="1">
      <alignment horizontal="center" vertical="top" wrapText="1"/>
    </xf>
    <xf numFmtId="0" fontId="7" fillId="2" borderId="44" xfId="0" applyFont="1" applyFill="1" applyBorder="1" applyAlignment="1">
      <alignment horizontal="left" vertical="top" wrapText="1"/>
    </xf>
    <xf numFmtId="0" fontId="7" fillId="2" borderId="29" xfId="0" applyFont="1" applyFill="1" applyBorder="1" applyAlignment="1">
      <alignment horizontal="left" vertical="top" wrapText="1"/>
    </xf>
    <xf numFmtId="0" fontId="7" fillId="2" borderId="45" xfId="0" applyFont="1" applyFill="1" applyBorder="1" applyAlignment="1">
      <alignment horizontal="left" vertical="center" wrapText="1"/>
    </xf>
    <xf numFmtId="0" fontId="7" fillId="2" borderId="55" xfId="0" applyFont="1" applyFill="1" applyBorder="1" applyAlignment="1">
      <alignment horizontal="left" vertical="center" wrapText="1"/>
    </xf>
    <xf numFmtId="0" fontId="7" fillId="2" borderId="51" xfId="0" applyFont="1" applyFill="1" applyBorder="1" applyAlignment="1">
      <alignment horizontal="left" vertical="center" wrapText="1"/>
    </xf>
    <xf numFmtId="0" fontId="7" fillId="2" borderId="48" xfId="0" applyFont="1" applyFill="1" applyBorder="1" applyAlignment="1">
      <alignment horizontal="left" vertical="top" wrapText="1"/>
    </xf>
    <xf numFmtId="0" fontId="7" fillId="2" borderId="25" xfId="0" applyFont="1" applyFill="1" applyBorder="1" applyAlignment="1">
      <alignment horizontal="center" vertical="top" wrapText="1"/>
    </xf>
    <xf numFmtId="0" fontId="14" fillId="4" borderId="1" xfId="0" applyFont="1" applyFill="1" applyBorder="1" applyAlignment="1">
      <alignment horizontal="center" vertical="center" wrapText="1"/>
    </xf>
    <xf numFmtId="0" fontId="14" fillId="4" borderId="2"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14" fillId="4" borderId="20" xfId="0" applyFont="1" applyFill="1" applyBorder="1" applyAlignment="1">
      <alignment horizontal="center" vertical="center" wrapText="1"/>
    </xf>
    <xf numFmtId="0" fontId="14" fillId="4" borderId="23" xfId="0" applyFont="1" applyFill="1" applyBorder="1" applyAlignment="1">
      <alignment horizontal="center" vertical="center" wrapText="1"/>
    </xf>
    <xf numFmtId="0" fontId="14" fillId="4" borderId="21" xfId="0" applyFont="1" applyFill="1" applyBorder="1" applyAlignment="1">
      <alignment horizontal="center" vertical="center" wrapText="1"/>
    </xf>
    <xf numFmtId="0" fontId="13" fillId="2" borderId="25" xfId="0" applyFont="1" applyFill="1" applyBorder="1" applyAlignment="1">
      <alignment horizontal="left" vertical="top" wrapText="1"/>
    </xf>
    <xf numFmtId="0" fontId="7" fillId="2" borderId="25" xfId="0" applyFont="1" applyFill="1" applyBorder="1" applyAlignment="1">
      <alignment horizontal="left" vertical="center" wrapText="1"/>
    </xf>
    <xf numFmtId="4" fontId="7" fillId="2" borderId="0" xfId="0" applyNumberFormat="1" applyFont="1" applyFill="1" applyAlignment="1">
      <alignment horizontal="center" vertical="center" wrapText="1"/>
    </xf>
    <xf numFmtId="4" fontId="14" fillId="3" borderId="48" xfId="0" applyNumberFormat="1" applyFont="1" applyFill="1" applyBorder="1" applyAlignment="1">
      <alignment horizontal="center" vertical="center" wrapText="1"/>
    </xf>
    <xf numFmtId="4" fontId="14" fillId="3" borderId="29" xfId="0" applyNumberFormat="1" applyFont="1" applyFill="1" applyBorder="1" applyAlignment="1">
      <alignment horizontal="center" vertical="center" wrapText="1"/>
    </xf>
    <xf numFmtId="4" fontId="7" fillId="0" borderId="25" xfId="0" applyNumberFormat="1" applyFont="1" applyBorder="1" applyAlignment="1">
      <alignment horizontal="center" vertical="top" wrapText="1"/>
    </xf>
    <xf numFmtId="4" fontId="7" fillId="2" borderId="0" xfId="1" applyNumberFormat="1" applyFont="1" applyFill="1" applyBorder="1" applyAlignment="1">
      <alignment horizontal="center" vertical="top" wrapText="1"/>
    </xf>
    <xf numFmtId="4" fontId="7" fillId="2" borderId="25" xfId="0" applyNumberFormat="1" applyFont="1" applyFill="1" applyBorder="1" applyAlignment="1">
      <alignment horizontal="center" vertical="top" wrapText="1"/>
    </xf>
    <xf numFmtId="4" fontId="7" fillId="2" borderId="0" xfId="0" applyNumberFormat="1" applyFont="1" applyFill="1" applyAlignment="1">
      <alignment horizontal="center" vertical="top" wrapText="1"/>
    </xf>
    <xf numFmtId="4" fontId="7" fillId="2" borderId="37" xfId="0" applyNumberFormat="1" applyFont="1" applyFill="1" applyBorder="1" applyAlignment="1">
      <alignment horizontal="center" vertical="top" wrapText="1"/>
    </xf>
    <xf numFmtId="4" fontId="7" fillId="2" borderId="23" xfId="0" applyNumberFormat="1" applyFont="1" applyFill="1" applyBorder="1" applyAlignment="1">
      <alignment horizontal="center" vertical="top" wrapText="1"/>
    </xf>
    <xf numFmtId="4" fontId="7" fillId="2" borderId="33" xfId="0" applyNumberFormat="1" applyFont="1" applyFill="1" applyBorder="1" applyAlignment="1">
      <alignment horizontal="center" vertical="top" wrapText="1"/>
    </xf>
  </cellXfs>
  <cellStyles count="8">
    <cellStyle name="Millares" xfId="1" builtinId="3"/>
    <cellStyle name="Millares [0]" xfId="2" builtinId="6"/>
    <cellStyle name="Millares 2" xfId="6" xr:uid="{DA0137C3-162B-4B3E-947F-FBB9DCB1EDF5}"/>
    <cellStyle name="Normal" xfId="0" builtinId="0"/>
    <cellStyle name="Normal 2" xfId="5" xr:uid="{5CC57813-0690-41DB-BAA0-010CCC60AF95}"/>
    <cellStyle name="Normal_Estiming2000ajustado" xfId="7" xr:uid="{38EB1EDF-9357-48B1-BB8F-0D549BACCF08}"/>
    <cellStyle name="Normal_presup2000ajustado" xfId="4" xr:uid="{0315246D-D9F9-4B1A-B3D2-596F1424C79C}"/>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5" Type="http://schemas.openxmlformats.org/officeDocument/2006/relationships/externalLink" Target="externalLinks/externalLink2.xml"/><Relationship Id="rId15" Type="http://schemas.openxmlformats.org/officeDocument/2006/relationships/sharedStrings" Target="sharedStrings.xml"/><Relationship Id="rId10" Type="http://schemas.openxmlformats.org/officeDocument/2006/relationships/externalLink" Target="externalLinks/externalLink7.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1397528</xdr:colOff>
      <xdr:row>4</xdr:row>
      <xdr:rowOff>104775</xdr:rowOff>
    </xdr:to>
    <xdr:pic>
      <xdr:nvPicPr>
        <xdr:cNvPr id="2" name="Imagen 1">
          <a:extLst>
            <a:ext uri="{FF2B5EF4-FFF2-40B4-BE49-F238E27FC236}">
              <a16:creationId xmlns:a16="http://schemas.microsoft.com/office/drawing/2014/main" id="{98F91838-3FFF-4A93-A0AF-B7AEB44CB6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0"/>
          <a:ext cx="2835802"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293914</xdr:colOff>
      <xdr:row>0</xdr:row>
      <xdr:rowOff>0</xdr:rowOff>
    </xdr:from>
    <xdr:to>
      <xdr:col>1</xdr:col>
      <xdr:colOff>2247050</xdr:colOff>
      <xdr:row>4</xdr:row>
      <xdr:rowOff>108856</xdr:rowOff>
    </xdr:to>
    <xdr:pic>
      <xdr:nvPicPr>
        <xdr:cNvPr id="2" name="Imagen 1">
          <a:extLst>
            <a:ext uri="{FF2B5EF4-FFF2-40B4-BE49-F238E27FC236}">
              <a16:creationId xmlns:a16="http://schemas.microsoft.com/office/drawing/2014/main" id="{E66DB81A-60D5-4B1A-B60E-3A7E9E61AF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914" y="0"/>
          <a:ext cx="2987279" cy="11538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468086</xdr:colOff>
      <xdr:row>0</xdr:row>
      <xdr:rowOff>65314</xdr:rowOff>
    </xdr:from>
    <xdr:to>
      <xdr:col>2</xdr:col>
      <xdr:colOff>544688</xdr:colOff>
      <xdr:row>3</xdr:row>
      <xdr:rowOff>224971</xdr:rowOff>
    </xdr:to>
    <xdr:pic>
      <xdr:nvPicPr>
        <xdr:cNvPr id="3" name="Imagen 2">
          <a:extLst>
            <a:ext uri="{FF2B5EF4-FFF2-40B4-BE49-F238E27FC236}">
              <a16:creationId xmlns:a16="http://schemas.microsoft.com/office/drawing/2014/main" id="{CE08AE6E-A73F-43AF-9CEF-0262515449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8086" y="65314"/>
          <a:ext cx="3287888" cy="127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vucr-my.sharepoint.com/Users/Camila/Desktop/teletrabajo/Presupuesto%202021/Proyecci&#243;n%20de%20Ingresos%20202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Mnavarro\Documents\Ejecuci&#243;n%20Presupuestaria\Presupuesto%202021\Formulaci&#243;n%20Presp.2021\documentos%20para%20CGR\Presupuesto%20Inicial%202021.xlsx" TargetMode="External"/><Relationship Id="rId1" Type="http://schemas.openxmlformats.org/officeDocument/2006/relationships/externalLinkPath" Target="/Users/Mnavarro/Documents/Ejecuci&#243;n%20Presupuestaria/Presupuesto%202021/Formulaci&#243;n%20Presp.2021/documentos%20para%20CGR/Presupuesto%20Inicial%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vucr-my.sharepoint.com/Users/Camila/Desktop/teletrabajo/Presupuesto%202021/Formulaci&#243;n%20Presp.2021/Copia%20de%20Presupuesto%20Remuneraciones%202021%20definitivo%20(18-09-2020)%20ultima%20versi&#243;n%20sin%20vacante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vucr-my.sharepoint.com/Users/Mnavarro/Desktop/presupuestos/Presupuesto%202019/Formulaci&#243;n%20Pres.-2019/PLANILLA%20201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invucr-my.sharepoint.com/Users/Camila/Desktop/teletrabajo/Presupuesto%202021/Formulaci&#243;n%20Presp.2021/solicitudes/SJD-046-2020%20%20%20ANEXO%20Excel%20presupuesto%20Junta%20Directiva.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invucr-my.sharepoint.com/Jean%2002072020/A&#241;o%202020/Presupuesto%202020/UPH/Copia%20de%20Libro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invucr-my.sharepoint.com/Users/erick/AppData/Local/Microsoft/Windows/INetCache/Content.Outlook/8JQ4UDVT/Presupuesto%20UPH%202020_Proyecci&#243;n.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invucr-my.sharepoint.com/Users/Camila/Desktop/teletrabajo/Presupuesto%202021/Formulaci&#243;n%20Presp.2021/solicitudes/Plantilla%20Presupuesto%202021%20DPH.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invucr-my.sharepoint.com/Users/Camila/Desktop/teletrabajo/Presupuesto%202021/Formulaci&#243;n%20Presp.2021/solicitudes/Presupuesto%20Remuneraciones%20-prueb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gresos 2014"/>
      <sheetName val="Ingresos Est. 2020-2021"/>
      <sheetName val="Ingresos 2015"/>
    </sheetNames>
    <sheetDataSet>
      <sheetData sheetId="0" refreshError="1"/>
      <sheetData sheetId="1" refreshError="1">
        <row r="18">
          <cell r="AS18">
            <v>1796124376.7853334</v>
          </cell>
        </row>
        <row r="21">
          <cell r="AS21">
            <v>2400000</v>
          </cell>
        </row>
        <row r="25">
          <cell r="AS25">
            <v>145029782.26066667</v>
          </cell>
        </row>
        <row r="26">
          <cell r="AS26">
            <v>566725013.06999993</v>
          </cell>
        </row>
        <row r="34">
          <cell r="AS34">
            <v>37385028.350000001</v>
          </cell>
        </row>
        <row r="35">
          <cell r="AS35">
            <v>10372155.279999999</v>
          </cell>
        </row>
        <row r="36">
          <cell r="AS36">
            <v>11361756144.34</v>
          </cell>
        </row>
        <row r="39">
          <cell r="AS39">
            <v>12466500.68</v>
          </cell>
        </row>
        <row r="40">
          <cell r="AS40">
            <v>47680932.719999999</v>
          </cell>
        </row>
        <row r="43">
          <cell r="AS43">
            <v>1041258279.7199999</v>
          </cell>
        </row>
        <row r="52">
          <cell r="AS52">
            <v>3888035439.2799978</v>
          </cell>
        </row>
        <row r="56">
          <cell r="AS56">
            <v>25480160.120000001</v>
          </cell>
        </row>
        <row r="63">
          <cell r="AS63">
            <v>143216956.49000001</v>
          </cell>
        </row>
        <row r="90">
          <cell r="AS90">
            <v>846200000</v>
          </cell>
        </row>
        <row r="94">
          <cell r="AS94">
            <v>281101841.9799999</v>
          </cell>
        </row>
        <row r="102">
          <cell r="AS102">
            <v>12185404146.540003</v>
          </cell>
        </row>
        <row r="117">
          <cell r="AS117">
            <v>7580460198.2113342</v>
          </cell>
        </row>
        <row r="124">
          <cell r="AS124">
            <v>87000000</v>
          </cell>
        </row>
        <row r="125">
          <cell r="AS125">
            <v>70000000</v>
          </cell>
        </row>
        <row r="126">
          <cell r="AS126">
            <v>1100000000</v>
          </cell>
        </row>
        <row r="130">
          <cell r="AS130">
            <v>680000000</v>
          </cell>
        </row>
        <row r="131">
          <cell r="AS131">
            <v>69262000</v>
          </cell>
        </row>
        <row r="135">
          <cell r="AS135">
            <v>400000000</v>
          </cell>
        </row>
        <row r="138">
          <cell r="AS138">
            <v>420000000</v>
          </cell>
        </row>
      </sheetData>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gresos 2021"/>
      <sheetName val="Egresos Por Programa"/>
      <sheetName val="Egresos 2021"/>
      <sheetName val="Límite del Gasto"/>
      <sheetName val="Detalle de equilibrio"/>
      <sheetName val="Estado de Origen y aplicación"/>
      <sheetName val="Variación de egresos 2021-2020"/>
      <sheetName val="Variación de ingresos 20-21"/>
      <sheetName val="Costeo SAP"/>
      <sheetName val="Resumen de Ingresos"/>
      <sheetName val="Resumen de Egresos"/>
      <sheetName val="Detalle de Superávit"/>
      <sheetName val="Clasificador Funcional"/>
      <sheetName val="Clasificación Económica"/>
      <sheetName val="Hoja1"/>
    </sheetNames>
    <sheetDataSet>
      <sheetData sheetId="0">
        <row r="15">
          <cell r="C15">
            <v>1796124376.7853334</v>
          </cell>
        </row>
      </sheetData>
      <sheetData sheetId="1"/>
      <sheetData sheetId="2"/>
      <sheetData sheetId="3"/>
      <sheetData sheetId="4">
        <row r="16">
          <cell r="B16">
            <v>-4.5013427734375E-4</v>
          </cell>
        </row>
      </sheetData>
      <sheetData sheetId="5">
        <row r="38">
          <cell r="F38">
            <v>715157728.04999995</v>
          </cell>
        </row>
        <row r="55">
          <cell r="F55">
            <v>25480160.120000001</v>
          </cell>
        </row>
      </sheetData>
      <sheetData sheetId="6"/>
      <sheetData sheetId="7"/>
      <sheetData sheetId="8">
        <row r="4">
          <cell r="I4">
            <v>381997</v>
          </cell>
        </row>
        <row r="5">
          <cell r="I5">
            <v>66849</v>
          </cell>
        </row>
        <row r="6">
          <cell r="I6">
            <v>23875</v>
          </cell>
        </row>
        <row r="7">
          <cell r="I7">
            <v>1088691</v>
          </cell>
        </row>
        <row r="8">
          <cell r="I8">
            <v>5156956</v>
          </cell>
        </row>
        <row r="9">
          <cell r="I9">
            <v>19100</v>
          </cell>
        </row>
        <row r="10">
          <cell r="I10">
            <v>2330944</v>
          </cell>
        </row>
        <row r="11">
          <cell r="I11">
            <v>4774960</v>
          </cell>
        </row>
        <row r="12">
          <cell r="I12">
            <v>1188782</v>
          </cell>
        </row>
        <row r="14">
          <cell r="I14">
            <v>286498</v>
          </cell>
        </row>
        <row r="15">
          <cell r="I15">
            <v>21363169</v>
          </cell>
        </row>
        <row r="16">
          <cell r="I16">
            <v>717199</v>
          </cell>
        </row>
        <row r="17">
          <cell r="I17">
            <v>3033870</v>
          </cell>
        </row>
        <row r="18">
          <cell r="I18">
            <v>1728535</v>
          </cell>
        </row>
        <row r="19">
          <cell r="I19">
            <v>705742</v>
          </cell>
        </row>
        <row r="20">
          <cell r="I20">
            <v>2765393</v>
          </cell>
        </row>
        <row r="21">
          <cell r="I21">
            <v>95499</v>
          </cell>
        </row>
        <row r="22">
          <cell r="I22">
            <v>95499</v>
          </cell>
        </row>
        <row r="23">
          <cell r="I23">
            <v>95499</v>
          </cell>
        </row>
        <row r="25">
          <cell r="I25">
            <v>15857975</v>
          </cell>
        </row>
        <row r="26">
          <cell r="I26">
            <v>33473561</v>
          </cell>
        </row>
        <row r="27">
          <cell r="I27">
            <v>2864976</v>
          </cell>
        </row>
      </sheetData>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l_Base y Anual"/>
      <sheetName val="REMUNERACIONES 2021"/>
      <sheetName val="Presupuesto"/>
      <sheetName val="Prestaciones Legales"/>
      <sheetName val="Salario Base"/>
      <sheetName val="REMUNERACIONES 2021 (solo valo)"/>
      <sheetName val="Presupuesto (solo valores)"/>
    </sheetNames>
    <sheetDataSet>
      <sheetData sheetId="0" refreshError="1"/>
      <sheetData sheetId="1" refreshError="1"/>
      <sheetData sheetId="2" refreshError="1">
        <row r="248">
          <cell r="BT248">
            <v>124595382</v>
          </cell>
        </row>
      </sheetData>
      <sheetData sheetId="3" refreshError="1"/>
      <sheetData sheetId="4" refreshError="1"/>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l_Base y Anual"/>
      <sheetName val="REMUNERACIONES-2019"/>
      <sheetName val="Hoja1"/>
      <sheetName val="Presupuesto"/>
      <sheetName val="Pensiones"/>
    </sheetNames>
    <sheetDataSet>
      <sheetData sheetId="0" refreshError="1"/>
      <sheetData sheetId="1" refreshError="1"/>
      <sheetData sheetId="2" refreshError="1"/>
      <sheetData sheetId="3" refreshError="1">
        <row r="15">
          <cell r="BJ15">
            <v>53344500</v>
          </cell>
          <cell r="CE15">
            <v>0</v>
          </cell>
          <cell r="DE15">
            <v>0</v>
          </cell>
        </row>
        <row r="25">
          <cell r="CE25">
            <v>0</v>
          </cell>
          <cell r="DE25">
            <v>0</v>
          </cell>
        </row>
        <row r="32">
          <cell r="CE32">
            <v>0</v>
          </cell>
          <cell r="DE32">
            <v>0</v>
          </cell>
        </row>
        <row r="42">
          <cell r="CE42">
            <v>0</v>
          </cell>
          <cell r="DE42">
            <v>0</v>
          </cell>
        </row>
        <row r="45">
          <cell r="CE45">
            <v>0</v>
          </cell>
          <cell r="DE45">
            <v>0</v>
          </cell>
        </row>
        <row r="53">
          <cell r="CE53">
            <v>0</v>
          </cell>
        </row>
        <row r="65">
          <cell r="CE65">
            <v>0</v>
          </cell>
          <cell r="DE65">
            <v>0</v>
          </cell>
        </row>
        <row r="68">
          <cell r="CE68">
            <v>0</v>
          </cell>
          <cell r="DE68">
            <v>0</v>
          </cell>
        </row>
        <row r="104">
          <cell r="CR104">
            <v>0</v>
          </cell>
        </row>
        <row r="113">
          <cell r="BL113">
            <v>0</v>
          </cell>
        </row>
        <row r="116">
          <cell r="BL116">
            <v>0</v>
          </cell>
        </row>
        <row r="123">
          <cell r="CE123">
            <v>0</v>
          </cell>
          <cell r="DE123">
            <v>0</v>
          </cell>
        </row>
        <row r="127">
          <cell r="BO127">
            <v>0</v>
          </cell>
          <cell r="CE127">
            <v>0</v>
          </cell>
        </row>
        <row r="131">
          <cell r="BO131">
            <v>0</v>
          </cell>
          <cell r="CE131">
            <v>0</v>
          </cell>
          <cell r="DE131">
            <v>0</v>
          </cell>
        </row>
        <row r="141">
          <cell r="BO141">
            <v>0</v>
          </cell>
          <cell r="DE141">
            <v>0</v>
          </cell>
        </row>
        <row r="150">
          <cell r="BO150">
            <v>0</v>
          </cell>
          <cell r="CE150">
            <v>0</v>
          </cell>
          <cell r="DE150">
            <v>0</v>
          </cell>
        </row>
        <row r="156">
          <cell r="BO156">
            <v>0</v>
          </cell>
          <cell r="CE156">
            <v>0</v>
          </cell>
          <cell r="CR156">
            <v>0</v>
          </cell>
          <cell r="DE156">
            <v>0</v>
          </cell>
        </row>
        <row r="185">
          <cell r="BO185">
            <v>0</v>
          </cell>
          <cell r="CE185">
            <v>0</v>
          </cell>
          <cell r="DE185">
            <v>0</v>
          </cell>
        </row>
        <row r="189">
          <cell r="AV189">
            <v>0</v>
          </cell>
        </row>
        <row r="193">
          <cell r="BO193">
            <v>0</v>
          </cell>
          <cell r="DE193">
            <v>0</v>
          </cell>
        </row>
        <row r="202">
          <cell r="BO202">
            <v>0</v>
          </cell>
          <cell r="DE202">
            <v>0</v>
          </cell>
        </row>
        <row r="209">
          <cell r="BO209">
            <v>0</v>
          </cell>
          <cell r="DE209">
            <v>0</v>
          </cell>
        </row>
        <row r="218">
          <cell r="BO218">
            <v>0</v>
          </cell>
          <cell r="DE218">
            <v>0</v>
          </cell>
        </row>
      </sheetData>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2"/>
      <sheetName val="Hoja3"/>
    </sheetNames>
    <sheetDataSet>
      <sheetData sheetId="0" refreshError="1">
        <row r="18">
          <cell r="C18">
            <v>28800000</v>
          </cell>
        </row>
        <row r="73">
          <cell r="C73">
            <v>20000</v>
          </cell>
        </row>
      </sheetData>
      <sheetData sheetId="1" refreshError="1"/>
      <sheetData sheetId="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gresos -2020"/>
    </sheetNames>
    <sheetDataSet>
      <sheetData sheetId="0" refreshError="1">
        <row r="33">
          <cell r="C33">
            <v>15000</v>
          </cell>
        </row>
        <row r="112">
          <cell r="C112">
            <v>15107.730000000001</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I"/>
      <sheetName val="Avances Proyectos"/>
      <sheetName val="Egresos -2021"/>
      <sheetName val="RESUMEN 2021"/>
      <sheetName val="Gastos Administrativos"/>
      <sheetName val="Partidas Especificas"/>
      <sheetName val="Gastos Proyectos"/>
      <sheetName val="Los Lirios"/>
      <sheetName val="Suministros FESA"/>
      <sheetName val="Fuentes Financiamiento"/>
      <sheetName val="Bosque Paraiso"/>
      <sheetName val="Trapiche"/>
      <sheetName val="Parametros"/>
      <sheetName val="Contrataciones Proyectos"/>
    </sheetNames>
    <sheetDataSet>
      <sheetData sheetId="0" refreshError="1"/>
      <sheetData sheetId="1" refreshError="1"/>
      <sheetData sheetId="2" refreshError="1"/>
      <sheetData sheetId="3" refreshError="1">
        <row r="7">
          <cell r="D7">
            <v>2817950</v>
          </cell>
        </row>
        <row r="11">
          <cell r="E11">
            <v>2200000</v>
          </cell>
        </row>
        <row r="12">
          <cell r="E12">
            <v>291050</v>
          </cell>
        </row>
        <row r="18">
          <cell r="E18">
            <v>79070</v>
          </cell>
        </row>
        <row r="22">
          <cell r="D22">
            <v>70000000</v>
          </cell>
        </row>
        <row r="24">
          <cell r="E24">
            <v>420000000</v>
          </cell>
        </row>
        <row r="26">
          <cell r="E26">
            <v>5000000</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GRESOS 2021"/>
      <sheetName val="JEFATURA"/>
      <sheetName val="UMF"/>
      <sheetName val="UPH"/>
      <sheetName val="UFIBI"/>
    </sheetNames>
    <sheetDataSet>
      <sheetData sheetId="0" refreshError="1"/>
      <sheetData sheetId="1" refreshError="1"/>
      <sheetData sheetId="2" refreshError="1">
        <row r="103">
          <cell r="D103">
            <v>500000</v>
          </cell>
        </row>
      </sheetData>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l_Base y Anual"/>
      <sheetName val="REMUNERACIONES 2021"/>
      <sheetName val="Presupuesto"/>
      <sheetName val="Prestaciones Legales"/>
      <sheetName val="Salario Base"/>
    </sheetNames>
    <sheetDataSet>
      <sheetData sheetId="0" refreshError="1"/>
      <sheetData sheetId="1" refreshError="1"/>
      <sheetData sheetId="2" refreshError="1"/>
      <sheetData sheetId="3" refreshError="1">
        <row r="24">
          <cell r="L24">
            <v>14120040</v>
          </cell>
        </row>
      </sheetData>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E884B-5EEA-4D8E-88C4-9752DDFC2498}">
  <sheetPr>
    <tabColor theme="3" tint="0.249977111117893"/>
  </sheetPr>
  <dimension ref="A1:AF285"/>
  <sheetViews>
    <sheetView topLeftCell="B1" zoomScale="80" zoomScaleNormal="80" workbookViewId="0">
      <selection activeCell="C6" sqref="C6:I6"/>
    </sheetView>
  </sheetViews>
  <sheetFormatPr baseColWidth="10" defaultColWidth="27.33203125" defaultRowHeight="13.2" x14ac:dyDescent="0.25"/>
  <cols>
    <col min="1" max="1" width="21" style="356" customWidth="1"/>
    <col min="2" max="2" width="49.44140625" style="356" customWidth="1"/>
    <col min="3" max="3" width="24.5546875" style="356" customWidth="1"/>
    <col min="4" max="4" width="20.77734375" style="376" customWidth="1"/>
    <col min="5" max="5" width="26.44140625" style="376" hidden="1" customWidth="1"/>
    <col min="6" max="6" width="16.5546875" style="376" hidden="1" customWidth="1"/>
    <col min="7" max="7" width="17.44140625" style="376" hidden="1" customWidth="1"/>
    <col min="8" max="8" width="21.5546875" style="376" hidden="1" customWidth="1"/>
    <col min="9" max="9" width="27.109375" style="376" customWidth="1"/>
    <col min="10" max="10" width="20.33203125" style="376" hidden="1" customWidth="1"/>
    <col min="11" max="18" width="27.33203125" style="356"/>
    <col min="19" max="19" width="16.33203125" style="356" bestFit="1" customWidth="1"/>
    <col min="20" max="31" width="27.33203125" style="356"/>
    <col min="32" max="32" width="6.6640625" style="356" bestFit="1" customWidth="1"/>
    <col min="33" max="16384" width="27.33203125" style="356"/>
  </cols>
  <sheetData>
    <row r="1" spans="1:32" ht="19.8" customHeight="1" x14ac:dyDescent="0.25">
      <c r="A1" s="495" t="s">
        <v>778</v>
      </c>
      <c r="B1" s="496"/>
      <c r="C1" s="496"/>
      <c r="D1" s="496"/>
      <c r="E1" s="496"/>
      <c r="F1" s="496"/>
      <c r="G1" s="496"/>
      <c r="H1" s="496"/>
      <c r="I1" s="496"/>
      <c r="J1" s="496"/>
    </row>
    <row r="2" spans="1:32" ht="19.8" customHeight="1" x14ac:dyDescent="0.25">
      <c r="A2" s="496"/>
      <c r="B2" s="496"/>
      <c r="C2" s="496"/>
      <c r="D2" s="496"/>
      <c r="E2" s="496"/>
      <c r="F2" s="496"/>
      <c r="G2" s="496"/>
      <c r="H2" s="496"/>
      <c r="I2" s="496"/>
      <c r="J2" s="496"/>
    </row>
    <row r="3" spans="1:32" ht="19.8" customHeight="1" x14ac:dyDescent="0.25">
      <c r="A3" s="496"/>
      <c r="B3" s="496"/>
      <c r="C3" s="496"/>
      <c r="D3" s="496"/>
      <c r="E3" s="496"/>
      <c r="F3" s="496"/>
      <c r="G3" s="496"/>
      <c r="H3" s="496"/>
      <c r="I3" s="496"/>
      <c r="J3" s="496"/>
    </row>
    <row r="4" spans="1:32" ht="19.8" customHeight="1" x14ac:dyDescent="0.25">
      <c r="A4" s="496"/>
      <c r="B4" s="496"/>
      <c r="C4" s="496"/>
      <c r="D4" s="496"/>
      <c r="E4" s="496"/>
      <c r="F4" s="496"/>
      <c r="G4" s="496"/>
      <c r="H4" s="496"/>
      <c r="I4" s="496"/>
      <c r="J4" s="496"/>
    </row>
    <row r="5" spans="1:32" ht="19.8" customHeight="1" thickBot="1" x14ac:dyDescent="0.3">
      <c r="A5" s="497"/>
      <c r="B5" s="497"/>
      <c r="C5" s="497"/>
      <c r="D5" s="497"/>
      <c r="E5" s="497"/>
      <c r="F5" s="497"/>
      <c r="G5" s="497"/>
      <c r="H5" s="497"/>
      <c r="I5" s="497"/>
      <c r="J5" s="497"/>
    </row>
    <row r="6" spans="1:32" ht="66.599999999999994" thickBot="1" x14ac:dyDescent="0.3">
      <c r="A6" s="494" t="s">
        <v>776</v>
      </c>
      <c r="B6" s="475" t="s">
        <v>775</v>
      </c>
      <c r="C6" s="472" t="s">
        <v>429</v>
      </c>
      <c r="D6" s="473" t="s">
        <v>430</v>
      </c>
      <c r="E6" s="472" t="s">
        <v>431</v>
      </c>
      <c r="F6" s="472" t="s">
        <v>432</v>
      </c>
      <c r="G6" s="471" t="s">
        <v>433</v>
      </c>
      <c r="H6" s="472" t="s">
        <v>434</v>
      </c>
      <c r="I6" s="474" t="s">
        <v>435</v>
      </c>
      <c r="J6" s="357" t="s">
        <v>436</v>
      </c>
    </row>
    <row r="7" spans="1:32" ht="16.5" customHeight="1" x14ac:dyDescent="0.25">
      <c r="A7" s="358" t="s">
        <v>1</v>
      </c>
      <c r="B7" s="359" t="s">
        <v>2</v>
      </c>
      <c r="C7" s="360"/>
      <c r="D7" s="361"/>
      <c r="E7" s="362"/>
      <c r="F7" s="362"/>
      <c r="G7" s="363"/>
      <c r="H7" s="364"/>
      <c r="I7" s="365"/>
      <c r="J7" s="365"/>
      <c r="L7" s="366"/>
      <c r="M7" s="366"/>
    </row>
    <row r="8" spans="1:32" ht="15" customHeight="1" x14ac:dyDescent="0.25">
      <c r="A8" s="367"/>
      <c r="B8" s="368" t="s">
        <v>429</v>
      </c>
      <c r="C8" s="369">
        <f>SUM(C10+C61)</f>
        <v>55054190749.817337</v>
      </c>
      <c r="D8" s="370">
        <f t="shared" ref="D8:J8" si="0">D10+D62+D81</f>
        <v>17474163705.91</v>
      </c>
      <c r="E8" s="371">
        <f t="shared" si="0"/>
        <v>4444481450.1299992</v>
      </c>
      <c r="F8" s="371">
        <f t="shared" si="0"/>
        <v>834175574.24999988</v>
      </c>
      <c r="G8" s="372">
        <f t="shared" si="0"/>
        <v>10395506681.529999</v>
      </c>
      <c r="H8" s="369">
        <f t="shared" si="0"/>
        <v>39380027043.907333</v>
      </c>
      <c r="I8" s="373">
        <f t="shared" si="0"/>
        <v>37580027043.907333</v>
      </c>
      <c r="J8" s="373">
        <f t="shared" si="0"/>
        <v>1800000000</v>
      </c>
      <c r="K8" s="366"/>
      <c r="L8" s="366"/>
      <c r="M8" s="366"/>
    </row>
    <row r="9" spans="1:32" x14ac:dyDescent="0.25">
      <c r="A9" s="374"/>
      <c r="B9" s="375"/>
      <c r="C9" s="375"/>
      <c r="E9" s="377"/>
      <c r="F9" s="377"/>
      <c r="G9" s="378"/>
      <c r="H9" s="379"/>
      <c r="I9" s="380"/>
      <c r="J9" s="380"/>
      <c r="S9" s="381">
        <f>17167703.13-18353272.56</f>
        <v>-1185569.4299999997</v>
      </c>
    </row>
    <row r="10" spans="1:32" x14ac:dyDescent="0.25">
      <c r="A10" s="382" t="s">
        <v>437</v>
      </c>
      <c r="B10" s="383" t="s">
        <v>438</v>
      </c>
      <c r="C10" s="384">
        <f t="shared" ref="C10:H10" si="1">C12</f>
        <v>20484699083.665997</v>
      </c>
      <c r="D10" s="370">
        <f>SUM(D12)</f>
        <v>2670536384.5099993</v>
      </c>
      <c r="E10" s="371">
        <f t="shared" si="1"/>
        <v>1841003340.8699996</v>
      </c>
      <c r="F10" s="371">
        <f>SUM(F12)</f>
        <v>712028150.24999988</v>
      </c>
      <c r="G10" s="372">
        <f>SUM(G12+G56)</f>
        <v>117504893.39</v>
      </c>
      <c r="H10" s="369">
        <f t="shared" si="1"/>
        <v>17814162699.155998</v>
      </c>
      <c r="I10" s="373">
        <f>I12</f>
        <v>17814162699.155998</v>
      </c>
      <c r="J10" s="373">
        <f>J12</f>
        <v>0</v>
      </c>
      <c r="AF10" s="366" t="e">
        <f>SUM(D10-#REF!-D53)</f>
        <v>#REF!</v>
      </c>
    </row>
    <row r="11" spans="1:32" x14ac:dyDescent="0.25">
      <c r="A11" s="382"/>
      <c r="B11" s="385"/>
      <c r="C11" s="386"/>
      <c r="D11" s="370"/>
      <c r="E11" s="371"/>
      <c r="F11" s="371"/>
      <c r="G11" s="372"/>
      <c r="H11" s="369"/>
      <c r="I11" s="373"/>
      <c r="J11" s="373"/>
      <c r="L11" s="366"/>
    </row>
    <row r="12" spans="1:32" x14ac:dyDescent="0.25">
      <c r="A12" s="382" t="s">
        <v>439</v>
      </c>
      <c r="B12" s="387" t="s">
        <v>440</v>
      </c>
      <c r="C12" s="388">
        <f t="shared" ref="C12:J12" si="2">SUM(C14+C31+C51+C56)</f>
        <v>20484699083.665997</v>
      </c>
      <c r="D12" s="389">
        <f t="shared" si="2"/>
        <v>2670536384.5099993</v>
      </c>
      <c r="E12" s="389">
        <f t="shared" si="2"/>
        <v>1841003340.8699996</v>
      </c>
      <c r="F12" s="389">
        <f t="shared" si="2"/>
        <v>712028150.24999988</v>
      </c>
      <c r="G12" s="390">
        <f>SUM(G14+G31+G51)</f>
        <v>18205000</v>
      </c>
      <c r="H12" s="386">
        <f t="shared" si="2"/>
        <v>17814162699.155998</v>
      </c>
      <c r="I12" s="391">
        <f t="shared" si="2"/>
        <v>17814162699.155998</v>
      </c>
      <c r="J12" s="389">
        <f t="shared" si="2"/>
        <v>0</v>
      </c>
    </row>
    <row r="13" spans="1:32" x14ac:dyDescent="0.25">
      <c r="A13" s="382"/>
      <c r="B13" s="387"/>
      <c r="C13" s="388"/>
      <c r="E13" s="377"/>
      <c r="F13" s="377"/>
      <c r="G13" s="378"/>
      <c r="H13" s="379"/>
      <c r="I13" s="380"/>
      <c r="J13" s="380"/>
    </row>
    <row r="14" spans="1:32" x14ac:dyDescent="0.25">
      <c r="A14" s="382" t="s">
        <v>441</v>
      </c>
      <c r="B14" s="387" t="s">
        <v>442</v>
      </c>
      <c r="C14" s="388">
        <f t="shared" ref="C14:J14" si="3">SUM(C16+C19+C22+C27)</f>
        <v>2910257127.296</v>
      </c>
      <c r="D14" s="392">
        <f>SUM(D16+D19+D22+D27)</f>
        <v>969102968.24999988</v>
      </c>
      <c r="E14" s="392">
        <f t="shared" si="3"/>
        <v>243869818</v>
      </c>
      <c r="F14" s="392">
        <f t="shared" si="3"/>
        <v>712028150.24999988</v>
      </c>
      <c r="G14" s="392">
        <f>SUM(G19+G22)</f>
        <v>13205000</v>
      </c>
      <c r="H14" s="388">
        <f t="shared" si="3"/>
        <v>1941154159.046</v>
      </c>
      <c r="I14" s="393">
        <f t="shared" si="3"/>
        <v>1941154159.046</v>
      </c>
      <c r="J14" s="393">
        <f t="shared" si="3"/>
        <v>0</v>
      </c>
      <c r="K14" s="366"/>
    </row>
    <row r="15" spans="1:32" x14ac:dyDescent="0.25">
      <c r="A15" s="382"/>
      <c r="B15" s="387"/>
      <c r="C15" s="394" t="s">
        <v>0</v>
      </c>
      <c r="E15" s="377"/>
      <c r="F15" s="377"/>
      <c r="G15" s="378"/>
      <c r="H15" s="379"/>
      <c r="I15" s="380"/>
      <c r="J15" s="380"/>
      <c r="S15" s="366">
        <f>SUM(D8+H8)</f>
        <v>56854190749.817337</v>
      </c>
    </row>
    <row r="16" spans="1:32" x14ac:dyDescent="0.25">
      <c r="A16" s="367" t="s">
        <v>443</v>
      </c>
      <c r="B16" s="387" t="s">
        <v>444</v>
      </c>
      <c r="C16" s="395">
        <f>+C17</f>
        <v>1796124376.7853334</v>
      </c>
      <c r="D16" s="396"/>
      <c r="E16" s="397">
        <f>E17+E19</f>
        <v>0</v>
      </c>
      <c r="F16" s="397">
        <f>F17+F19</f>
        <v>0</v>
      </c>
      <c r="G16" s="397"/>
      <c r="H16" s="388">
        <f>SUM(H17)</f>
        <v>1796124376.7853334</v>
      </c>
      <c r="I16" s="393">
        <f>SUM(I17)</f>
        <v>1796124376.7853334</v>
      </c>
      <c r="J16" s="393">
        <f>SUM(J17)</f>
        <v>0</v>
      </c>
    </row>
    <row r="17" spans="1:32" x14ac:dyDescent="0.25">
      <c r="A17" s="367" t="s">
        <v>445</v>
      </c>
      <c r="B17" s="398" t="s">
        <v>446</v>
      </c>
      <c r="C17" s="395">
        <f>SUM(D17+I17)</f>
        <v>1796124376.7853334</v>
      </c>
      <c r="E17" s="377"/>
      <c r="F17" s="377"/>
      <c r="G17" s="378"/>
      <c r="H17" s="379">
        <f>SUM(I17:J17)</f>
        <v>1796124376.7853334</v>
      </c>
      <c r="I17" s="380">
        <f>(+'[1]Ingresos Est. 2020-2021'!$AS$18)</f>
        <v>1796124376.7853334</v>
      </c>
      <c r="J17" s="380"/>
      <c r="S17" s="381">
        <f>1694346.99-4714954.23</f>
        <v>-3020607.24</v>
      </c>
      <c r="AF17" s="366"/>
    </row>
    <row r="18" spans="1:32" x14ac:dyDescent="0.25">
      <c r="A18" s="367"/>
      <c r="B18" s="398"/>
      <c r="C18" s="394" t="s">
        <v>0</v>
      </c>
      <c r="E18" s="377"/>
      <c r="F18" s="377"/>
      <c r="G18" s="378"/>
      <c r="H18" s="379"/>
      <c r="I18" s="380"/>
      <c r="J18" s="380"/>
    </row>
    <row r="19" spans="1:32" x14ac:dyDescent="0.25">
      <c r="A19" s="367" t="s">
        <v>447</v>
      </c>
      <c r="B19" s="387" t="s">
        <v>117</v>
      </c>
      <c r="C19" s="388">
        <f>SUM(C20)</f>
        <v>2400000</v>
      </c>
      <c r="D19" s="392">
        <f t="shared" ref="D19:J19" si="4">D20</f>
        <v>2400000</v>
      </c>
      <c r="E19" s="397">
        <f t="shared" si="4"/>
        <v>0</v>
      </c>
      <c r="F19" s="397">
        <f t="shared" si="4"/>
        <v>0</v>
      </c>
      <c r="G19" s="399">
        <f t="shared" si="4"/>
        <v>2400000</v>
      </c>
      <c r="H19" s="395">
        <f t="shared" si="4"/>
        <v>0</v>
      </c>
      <c r="I19" s="400">
        <f t="shared" si="4"/>
        <v>0</v>
      </c>
      <c r="J19" s="400">
        <f t="shared" si="4"/>
        <v>0</v>
      </c>
    </row>
    <row r="20" spans="1:32" x14ac:dyDescent="0.25">
      <c r="A20" s="367" t="s">
        <v>448</v>
      </c>
      <c r="B20" s="398" t="s">
        <v>449</v>
      </c>
      <c r="C20" s="395">
        <f>SUM(D20+I20)</f>
        <v>2400000</v>
      </c>
      <c r="D20" s="376">
        <f>SUM(E20:G20)+J20</f>
        <v>2400000</v>
      </c>
      <c r="E20" s="377"/>
      <c r="F20" s="377"/>
      <c r="G20" s="378">
        <f>+'[1]Ingresos Est. 2020-2021'!$AS$21</f>
        <v>2400000</v>
      </c>
      <c r="H20" s="379"/>
      <c r="I20" s="380"/>
      <c r="J20" s="380"/>
    </row>
    <row r="21" spans="1:32" x14ac:dyDescent="0.25">
      <c r="A21" s="367"/>
      <c r="B21" s="398"/>
      <c r="C21" s="394" t="s">
        <v>0</v>
      </c>
      <c r="E21" s="377"/>
      <c r="F21" s="377"/>
      <c r="G21" s="378"/>
      <c r="H21" s="379"/>
      <c r="I21" s="380"/>
      <c r="J21" s="380"/>
    </row>
    <row r="22" spans="1:32" x14ac:dyDescent="0.25">
      <c r="A22" s="367" t="s">
        <v>450</v>
      </c>
      <c r="B22" s="387" t="s">
        <v>451</v>
      </c>
      <c r="C22" s="388">
        <f>SUM(C23+C24+C25)</f>
        <v>1111732750.5106666</v>
      </c>
      <c r="D22" s="392">
        <f>SUM(D23+D24)</f>
        <v>966702968.24999988</v>
      </c>
      <c r="E22" s="392">
        <f>SUM(E23+E24)</f>
        <v>243869818</v>
      </c>
      <c r="F22" s="392">
        <f>SUM(F23+F24)</f>
        <v>712028150.24999988</v>
      </c>
      <c r="G22" s="401">
        <f>SUM(G23+G24)</f>
        <v>10805000</v>
      </c>
      <c r="H22" s="394">
        <f>SUM(H25)</f>
        <v>145029782.26066667</v>
      </c>
      <c r="I22" s="402">
        <f>SUM(I23:I25)</f>
        <v>145029782.26066667</v>
      </c>
      <c r="J22" s="402">
        <f>SUM(J23:J24)</f>
        <v>0</v>
      </c>
    </row>
    <row r="23" spans="1:32" x14ac:dyDescent="0.25">
      <c r="A23" s="367" t="s">
        <v>452</v>
      </c>
      <c r="B23" s="398" t="s">
        <v>453</v>
      </c>
      <c r="C23" s="395">
        <f>SUM(D23+I23)</f>
        <v>254674818</v>
      </c>
      <c r="D23" s="376">
        <f>SUM(E23:G23)+J23</f>
        <v>254674818</v>
      </c>
      <c r="E23" s="403">
        <f>63435600+180434218</f>
        <v>243869818</v>
      </c>
      <c r="F23" s="403"/>
      <c r="G23" s="404">
        <v>10805000</v>
      </c>
      <c r="H23" s="379"/>
      <c r="I23" s="380"/>
      <c r="J23" s="380"/>
      <c r="K23" s="366"/>
    </row>
    <row r="24" spans="1:32" x14ac:dyDescent="0.25">
      <c r="A24" s="367" t="s">
        <v>454</v>
      </c>
      <c r="B24" s="398" t="s">
        <v>455</v>
      </c>
      <c r="C24" s="395">
        <f>SUM(D24+I24)</f>
        <v>712028150.24999988</v>
      </c>
      <c r="D24" s="376">
        <f>SUM(E24:G24)+J24</f>
        <v>712028150.24999988</v>
      </c>
      <c r="E24" s="403"/>
      <c r="F24" s="403">
        <f>(+'[1]Ingresos Est. 2020-2021'!$AS$26)+23000000+27263328.15+13091655.31+81948153.72</f>
        <v>712028150.24999988</v>
      </c>
      <c r="G24" s="404"/>
      <c r="H24" s="379"/>
      <c r="I24" s="380"/>
      <c r="J24" s="380"/>
    </row>
    <row r="25" spans="1:32" ht="12.75" customHeight="1" x14ac:dyDescent="0.25">
      <c r="A25" s="367"/>
      <c r="B25" s="398" t="s">
        <v>456</v>
      </c>
      <c r="C25" s="395">
        <f>SUM(D25+I25)</f>
        <v>145029782.26066667</v>
      </c>
      <c r="D25" s="405"/>
      <c r="E25" s="406"/>
      <c r="F25" s="406"/>
      <c r="G25" s="407"/>
      <c r="H25" s="379">
        <f>SUM(I25)</f>
        <v>145029782.26066667</v>
      </c>
      <c r="I25" s="380">
        <f>+'[1]Ingresos Est. 2020-2021'!$AS$25</f>
        <v>145029782.26066667</v>
      </c>
      <c r="J25" s="380"/>
    </row>
    <row r="26" spans="1:32" ht="12.75" customHeight="1" x14ac:dyDescent="0.25">
      <c r="A26" s="367"/>
      <c r="B26" s="387"/>
      <c r="C26" s="395"/>
      <c r="D26" s="405"/>
      <c r="E26" s="406"/>
      <c r="F26" s="406"/>
      <c r="G26" s="407"/>
      <c r="H26" s="379"/>
      <c r="I26" s="380"/>
      <c r="J26" s="380"/>
    </row>
    <row r="27" spans="1:32" hidden="1" x14ac:dyDescent="0.25">
      <c r="A27" s="367" t="s">
        <v>457</v>
      </c>
      <c r="B27" s="387" t="s">
        <v>458</v>
      </c>
      <c r="C27" s="388">
        <f>SUM(D27)</f>
        <v>0</v>
      </c>
      <c r="D27" s="408">
        <f>SUM(E27:G27)</f>
        <v>0</v>
      </c>
      <c r="E27" s="371">
        <f t="shared" ref="E27:J28" si="5">E28</f>
        <v>0</v>
      </c>
      <c r="F27" s="371">
        <f t="shared" si="5"/>
        <v>0</v>
      </c>
      <c r="G27" s="372" t="str">
        <f t="shared" si="5"/>
        <v>-</v>
      </c>
      <c r="H27" s="369">
        <f t="shared" si="5"/>
        <v>0</v>
      </c>
      <c r="I27" s="373">
        <f t="shared" si="5"/>
        <v>0</v>
      </c>
      <c r="J27" s="373">
        <f t="shared" si="5"/>
        <v>0</v>
      </c>
    </row>
    <row r="28" spans="1:32" hidden="1" x14ac:dyDescent="0.25">
      <c r="A28" s="367" t="s">
        <v>459</v>
      </c>
      <c r="B28" s="387" t="s">
        <v>460</v>
      </c>
      <c r="C28" s="395">
        <f>SUM(D28)</f>
        <v>0</v>
      </c>
      <c r="D28" s="405">
        <f>SUM(E28:G28)</f>
        <v>0</v>
      </c>
      <c r="E28" s="377">
        <f t="shared" si="5"/>
        <v>0</v>
      </c>
      <c r="F28" s="377">
        <f t="shared" si="5"/>
        <v>0</v>
      </c>
      <c r="G28" s="378" t="str">
        <f t="shared" si="5"/>
        <v>-</v>
      </c>
      <c r="H28" s="379">
        <f t="shared" si="5"/>
        <v>0</v>
      </c>
      <c r="I28" s="380">
        <f t="shared" si="5"/>
        <v>0</v>
      </c>
      <c r="J28" s="380">
        <f t="shared" si="5"/>
        <v>0</v>
      </c>
    </row>
    <row r="29" spans="1:32" hidden="1" x14ac:dyDescent="0.25">
      <c r="A29" s="367" t="s">
        <v>461</v>
      </c>
      <c r="B29" s="398" t="s">
        <v>462</v>
      </c>
      <c r="C29" s="395">
        <f>SUM(D29+I29)</f>
        <v>0</v>
      </c>
      <c r="D29" s="376">
        <f>SUM(E29:G29)+J29</f>
        <v>0</v>
      </c>
      <c r="E29" s="377"/>
      <c r="F29" s="377"/>
      <c r="G29" s="378" t="s">
        <v>463</v>
      </c>
      <c r="H29" s="379"/>
      <c r="I29" s="380"/>
      <c r="J29" s="380"/>
    </row>
    <row r="30" spans="1:32" hidden="1" x14ac:dyDescent="0.25">
      <c r="A30" s="367"/>
      <c r="B30" s="398"/>
      <c r="C30" s="394" t="s">
        <v>0</v>
      </c>
      <c r="E30" s="377"/>
      <c r="F30" s="377"/>
      <c r="G30" s="378"/>
      <c r="H30" s="379"/>
      <c r="I30" s="380"/>
      <c r="J30" s="380"/>
    </row>
    <row r="31" spans="1:32" x14ac:dyDescent="0.25">
      <c r="A31" s="382" t="s">
        <v>464</v>
      </c>
      <c r="B31" s="387" t="s">
        <v>465</v>
      </c>
      <c r="C31" s="369">
        <f>SUM(C32+C40+C45)</f>
        <v>16793289407.979998</v>
      </c>
      <c r="D31" s="370">
        <f>SUM(D32+D40+D45)</f>
        <v>1400280867.8699996</v>
      </c>
      <c r="E31" s="370">
        <f>SUM(E32+E40+E45)</f>
        <v>1400280867.8699996</v>
      </c>
      <c r="F31" s="370">
        <f>SUM(F32+F40+F45)</f>
        <v>0</v>
      </c>
      <c r="G31" s="409">
        <f>SUM(G32+G40+G45)</f>
        <v>0</v>
      </c>
      <c r="H31" s="369">
        <f>H32+H40+H45</f>
        <v>15393008540.109999</v>
      </c>
      <c r="I31" s="373">
        <f>I32+I40+I45</f>
        <v>15393008540.109999</v>
      </c>
      <c r="J31" s="373">
        <f>J32+J40+J45</f>
        <v>0</v>
      </c>
    </row>
    <row r="32" spans="1:32" x14ac:dyDescent="0.25">
      <c r="A32" s="367" t="s">
        <v>466</v>
      </c>
      <c r="B32" s="387" t="s">
        <v>467</v>
      </c>
      <c r="C32" s="388">
        <f>SUM(C33)</f>
        <v>11469660761.369999</v>
      </c>
      <c r="D32" s="392">
        <f>SUM(D33)</f>
        <v>107904617.03</v>
      </c>
      <c r="E32" s="392">
        <f>SUM(E33)</f>
        <v>107904617.03</v>
      </c>
      <c r="F32" s="392">
        <f>SUM(F33)</f>
        <v>0</v>
      </c>
      <c r="G32" s="401">
        <f>SUM(G33)</f>
        <v>0</v>
      </c>
      <c r="H32" s="369">
        <f>SUM(H36)</f>
        <v>11361756144.34</v>
      </c>
      <c r="I32" s="373">
        <f>SUM(I34:I36)</f>
        <v>11361756144.34</v>
      </c>
      <c r="J32" s="373">
        <f>SUM(J34:J36)</f>
        <v>0</v>
      </c>
    </row>
    <row r="33" spans="1:10" x14ac:dyDescent="0.25">
      <c r="A33" s="367" t="s">
        <v>468</v>
      </c>
      <c r="B33" s="398" t="s">
        <v>469</v>
      </c>
      <c r="C33" s="395">
        <f>SUM(C34:C38)</f>
        <v>11469660761.369999</v>
      </c>
      <c r="D33" s="376">
        <f>SUM(D34:D38)</f>
        <v>107904617.03</v>
      </c>
      <c r="E33" s="377">
        <f>SUM(E34+E35+E36+E37+E38)</f>
        <v>107904617.03</v>
      </c>
      <c r="F33" s="377">
        <f>SUM(F34:F36)</f>
        <v>0</v>
      </c>
      <c r="G33" s="378">
        <f>SUM(G35)</f>
        <v>0</v>
      </c>
      <c r="H33" s="379"/>
      <c r="I33" s="380"/>
      <c r="J33" s="380"/>
    </row>
    <row r="34" spans="1:10" x14ac:dyDescent="0.25">
      <c r="A34" s="367"/>
      <c r="B34" s="398" t="s">
        <v>470</v>
      </c>
      <c r="C34" s="395">
        <f>SUM(D34+I34)</f>
        <v>37385028.350000001</v>
      </c>
      <c r="D34" s="376">
        <f>SUM(E34:G34)+J34</f>
        <v>37385028.350000001</v>
      </c>
      <c r="E34" s="377">
        <f>+'[1]Ingresos Est. 2020-2021'!$AS$34</f>
        <v>37385028.350000001</v>
      </c>
      <c r="F34" s="410"/>
      <c r="G34" s="411"/>
      <c r="H34" s="379"/>
      <c r="I34" s="380"/>
      <c r="J34" s="380"/>
    </row>
    <row r="35" spans="1:10" x14ac:dyDescent="0.25">
      <c r="A35" s="367"/>
      <c r="B35" s="398" t="s">
        <v>471</v>
      </c>
      <c r="C35" s="395">
        <f>SUM(D35+I35)</f>
        <v>10372155.279999999</v>
      </c>
      <c r="D35" s="376">
        <f>SUM(E35:G35)+J35</f>
        <v>10372155.279999999</v>
      </c>
      <c r="E35" s="377">
        <f>+'[1]Ingresos Est. 2020-2021'!$AS$35</f>
        <v>10372155.279999999</v>
      </c>
      <c r="F35" s="377">
        <v>0</v>
      </c>
      <c r="G35" s="378">
        <v>0</v>
      </c>
      <c r="H35" s="379"/>
      <c r="I35" s="380"/>
      <c r="J35" s="380"/>
    </row>
    <row r="36" spans="1:10" x14ac:dyDescent="0.25">
      <c r="A36" s="367"/>
      <c r="B36" s="398" t="s">
        <v>334</v>
      </c>
      <c r="C36" s="395">
        <f>SUM(D36+I36)</f>
        <v>11361756144.34</v>
      </c>
      <c r="D36" s="376">
        <f>SUM(E36:G36)+J36</f>
        <v>0</v>
      </c>
      <c r="E36" s="377"/>
      <c r="F36" s="377"/>
      <c r="G36" s="378"/>
      <c r="H36" s="379">
        <f>SUM(I36:J36)</f>
        <v>11361756144.34</v>
      </c>
      <c r="I36" s="380">
        <f>+'[1]Ingresos Est. 2020-2021'!$AS$36</f>
        <v>11361756144.34</v>
      </c>
      <c r="J36" s="380"/>
    </row>
    <row r="37" spans="1:10" x14ac:dyDescent="0.25">
      <c r="A37" s="367"/>
      <c r="B37" s="412" t="s">
        <v>472</v>
      </c>
      <c r="C37" s="395">
        <f>SUM(D37+I37)</f>
        <v>12466500.68</v>
      </c>
      <c r="D37" s="376">
        <f>SUM(E37:G37)+J37</f>
        <v>12466500.68</v>
      </c>
      <c r="E37" s="377">
        <f>+'[1]Ingresos Est. 2020-2021'!$AS$39</f>
        <v>12466500.68</v>
      </c>
      <c r="F37" s="377"/>
      <c r="G37" s="378"/>
      <c r="H37" s="379"/>
      <c r="I37" s="380"/>
      <c r="J37" s="380"/>
    </row>
    <row r="38" spans="1:10" x14ac:dyDescent="0.25">
      <c r="A38" s="367"/>
      <c r="B38" s="412" t="s">
        <v>473</v>
      </c>
      <c r="C38" s="395">
        <f>SUM(D38+I38)</f>
        <v>47680932.719999999</v>
      </c>
      <c r="D38" s="376">
        <f>SUM(E38:G38)+J38</f>
        <v>47680932.719999999</v>
      </c>
      <c r="E38" s="377">
        <f>+'[1]Ingresos Est. 2020-2021'!$AS$40</f>
        <v>47680932.719999999</v>
      </c>
      <c r="F38" s="377"/>
      <c r="G38" s="378"/>
      <c r="H38" s="379"/>
      <c r="I38" s="380"/>
      <c r="J38" s="380"/>
    </row>
    <row r="39" spans="1:10" x14ac:dyDescent="0.25">
      <c r="A39" s="367"/>
      <c r="B39" s="398"/>
      <c r="C39" s="413" t="s">
        <v>0</v>
      </c>
      <c r="E39" s="377"/>
      <c r="F39" s="377"/>
      <c r="G39" s="378"/>
      <c r="H39" s="379"/>
      <c r="I39" s="380"/>
      <c r="J39" s="380"/>
    </row>
    <row r="40" spans="1:10" x14ac:dyDescent="0.25">
      <c r="A40" s="367" t="s">
        <v>474</v>
      </c>
      <c r="B40" s="387" t="s">
        <v>475</v>
      </c>
      <c r="C40" s="369">
        <f>SUM(C41:C43)</f>
        <v>5154931529.9999981</v>
      </c>
      <c r="D40" s="370">
        <f>SUM(D41:D41)</f>
        <v>1266896090.7199998</v>
      </c>
      <c r="E40" s="371">
        <f>SUM(E41:E41)</f>
        <v>1266896090.7199998</v>
      </c>
      <c r="F40" s="377">
        <f>SUM(F41:F41)</f>
        <v>0</v>
      </c>
      <c r="G40" s="372">
        <f>SUM(G41:G42)</f>
        <v>0</v>
      </c>
      <c r="H40" s="369">
        <f>SUM(H41:H43)</f>
        <v>3888035439.2799978</v>
      </c>
      <c r="I40" s="373">
        <f>SUM(I41:I43)</f>
        <v>3888035439.2799978</v>
      </c>
      <c r="J40" s="373">
        <f>SUM(J41:J43)</f>
        <v>0</v>
      </c>
    </row>
    <row r="41" spans="1:10" x14ac:dyDescent="0.25">
      <c r="A41" s="367"/>
      <c r="B41" s="398" t="s">
        <v>476</v>
      </c>
      <c r="C41" s="395">
        <f>SUM(D41+I41)</f>
        <v>1266896090.7199998</v>
      </c>
      <c r="D41" s="376">
        <f>SUM(E41:G41)+J41</f>
        <v>1266896090.7199998</v>
      </c>
      <c r="E41" s="377">
        <f>+'[1]Ingresos Est. 2020-2021'!$AS$43+68000000+8500000+113137811+32000000+4000000</f>
        <v>1266896090.7199998</v>
      </c>
      <c r="F41" s="377"/>
      <c r="G41" s="378">
        <v>0</v>
      </c>
      <c r="H41" s="379"/>
      <c r="I41" s="380"/>
      <c r="J41" s="380"/>
    </row>
    <row r="42" spans="1:10" x14ac:dyDescent="0.25">
      <c r="A42" s="367"/>
      <c r="B42" s="414"/>
      <c r="C42" s="395"/>
      <c r="E42" s="377"/>
      <c r="F42" s="377"/>
      <c r="G42" s="378">
        <v>0</v>
      </c>
      <c r="H42" s="379"/>
      <c r="I42" s="380"/>
      <c r="J42" s="380"/>
    </row>
    <row r="43" spans="1:10" x14ac:dyDescent="0.25">
      <c r="A43" s="367" t="s">
        <v>477</v>
      </c>
      <c r="B43" s="398" t="s">
        <v>478</v>
      </c>
      <c r="C43" s="395">
        <f>SUM(D43+I43)</f>
        <v>3888035439.2799978</v>
      </c>
      <c r="E43" s="377"/>
      <c r="F43" s="377"/>
      <c r="G43" s="378">
        <v>0</v>
      </c>
      <c r="H43" s="379">
        <f>SUM(I43:J43)</f>
        <v>3888035439.2799978</v>
      </c>
      <c r="I43" s="380">
        <f>+'[1]Ingresos Est. 2020-2021'!$AS$52</f>
        <v>3888035439.2799978</v>
      </c>
      <c r="J43" s="380"/>
    </row>
    <row r="44" spans="1:10" x14ac:dyDescent="0.25">
      <c r="A44" s="367"/>
      <c r="B44" s="414"/>
      <c r="C44" s="388"/>
      <c r="E44" s="377"/>
      <c r="F44" s="377"/>
      <c r="G44" s="378"/>
      <c r="H44" s="379"/>
      <c r="I44" s="380"/>
      <c r="J44" s="380"/>
    </row>
    <row r="45" spans="1:10" ht="14.25" customHeight="1" x14ac:dyDescent="0.25">
      <c r="A45" s="367" t="s">
        <v>479</v>
      </c>
      <c r="B45" s="387" t="s">
        <v>480</v>
      </c>
      <c r="C45" s="388">
        <f>SUM(C46)</f>
        <v>168697116.61000001</v>
      </c>
      <c r="D45" s="392">
        <f t="shared" ref="D45:J45" si="6">SUM(D46)</f>
        <v>25480160.120000001</v>
      </c>
      <c r="E45" s="392">
        <f t="shared" si="6"/>
        <v>25480160.120000001</v>
      </c>
      <c r="F45" s="392">
        <f t="shared" si="6"/>
        <v>0</v>
      </c>
      <c r="G45" s="401">
        <f t="shared" si="6"/>
        <v>0</v>
      </c>
      <c r="H45" s="388">
        <f t="shared" si="6"/>
        <v>143216956.49000001</v>
      </c>
      <c r="I45" s="393">
        <f t="shared" si="6"/>
        <v>143216956.49000001</v>
      </c>
      <c r="J45" s="392">
        <f t="shared" si="6"/>
        <v>0</v>
      </c>
    </row>
    <row r="46" spans="1:10" ht="14.25" customHeight="1" x14ac:dyDescent="0.25">
      <c r="A46" s="367" t="s">
        <v>481</v>
      </c>
      <c r="B46" s="415" t="s">
        <v>482</v>
      </c>
      <c r="C46" s="388">
        <f>SUM(C47+C49)</f>
        <v>168697116.61000001</v>
      </c>
      <c r="D46" s="370">
        <f>SUM(D47:D49)</f>
        <v>25480160.120000001</v>
      </c>
      <c r="E46" s="371">
        <f>SUM(E47:E50)</f>
        <v>25480160.120000001</v>
      </c>
      <c r="F46" s="377">
        <f>SUM(F47)</f>
        <v>0</v>
      </c>
      <c r="G46" s="378">
        <f>SUM(G47)</f>
        <v>0</v>
      </c>
      <c r="H46" s="379">
        <f>SUM(H47:H49)</f>
        <v>143216956.49000001</v>
      </c>
      <c r="I46" s="380">
        <f>SUM(I47:I49)</f>
        <v>143216956.49000001</v>
      </c>
      <c r="J46" s="376">
        <f>SUM(J47:J49)</f>
        <v>0</v>
      </c>
    </row>
    <row r="47" spans="1:10" x14ac:dyDescent="0.25">
      <c r="A47" s="367"/>
      <c r="B47" s="416" t="s">
        <v>470</v>
      </c>
      <c r="C47" s="395">
        <f>SUM(D47+I47)</f>
        <v>25480160.120000001</v>
      </c>
      <c r="D47" s="376">
        <f>SUM(E47+F47+G47+J47)</f>
        <v>25480160.120000001</v>
      </c>
      <c r="E47" s="377">
        <f>+'[1]Ingresos Est. 2020-2021'!$AS$56</f>
        <v>25480160.120000001</v>
      </c>
      <c r="F47" s="377">
        <v>0</v>
      </c>
      <c r="G47" s="378">
        <v>0</v>
      </c>
      <c r="H47" s="379"/>
      <c r="I47" s="380"/>
      <c r="J47" s="380"/>
    </row>
    <row r="48" spans="1:10" x14ac:dyDescent="0.25">
      <c r="A48" s="367"/>
      <c r="B48" s="412"/>
      <c r="C48" s="395"/>
      <c r="D48" s="376">
        <f>SUM(E48+F48+G48+J48)</f>
        <v>0</v>
      </c>
      <c r="E48" s="377"/>
      <c r="F48" s="377"/>
      <c r="G48" s="378"/>
      <c r="H48" s="379"/>
      <c r="I48" s="380"/>
      <c r="J48" s="380"/>
    </row>
    <row r="49" spans="1:12" x14ac:dyDescent="0.25">
      <c r="A49" s="367" t="s">
        <v>481</v>
      </c>
      <c r="B49" s="398" t="s">
        <v>483</v>
      </c>
      <c r="C49" s="395">
        <f>SUM(D49+I49)</f>
        <v>143216956.49000001</v>
      </c>
      <c r="D49" s="376">
        <f>SUM(E49+F49+G49+J49)</f>
        <v>0</v>
      </c>
      <c r="E49" s="377"/>
      <c r="F49" s="377"/>
      <c r="G49" s="378"/>
      <c r="H49" s="379">
        <f>SUM(I49:J49)</f>
        <v>143216956.49000001</v>
      </c>
      <c r="I49" s="380">
        <f>+'[1]Ingresos Est. 2020-2021'!$AS$63</f>
        <v>143216956.49000001</v>
      </c>
      <c r="J49" s="380"/>
    </row>
    <row r="50" spans="1:12" x14ac:dyDescent="0.25">
      <c r="A50" s="367"/>
      <c r="B50" s="398"/>
      <c r="C50" s="395"/>
      <c r="E50" s="377"/>
      <c r="F50" s="377"/>
      <c r="G50" s="378"/>
      <c r="H50" s="379"/>
      <c r="I50" s="380"/>
      <c r="J50" s="380"/>
    </row>
    <row r="51" spans="1:12" x14ac:dyDescent="0.25">
      <c r="A51" s="367" t="s">
        <v>484</v>
      </c>
      <c r="B51" s="387" t="s">
        <v>485</v>
      </c>
      <c r="C51" s="388">
        <f>SUM(C52)</f>
        <v>681852655</v>
      </c>
      <c r="D51" s="392">
        <f t="shared" ref="D51:J51" si="7">D52</f>
        <v>201852655</v>
      </c>
      <c r="E51" s="417">
        <f t="shared" si="7"/>
        <v>196852655</v>
      </c>
      <c r="F51" s="417">
        <f t="shared" si="7"/>
        <v>0</v>
      </c>
      <c r="G51" s="399">
        <f t="shared" si="7"/>
        <v>5000000</v>
      </c>
      <c r="H51" s="388">
        <f t="shared" si="7"/>
        <v>480000000</v>
      </c>
      <c r="I51" s="393">
        <f t="shared" si="7"/>
        <v>480000000</v>
      </c>
      <c r="J51" s="393">
        <f t="shared" si="7"/>
        <v>0</v>
      </c>
    </row>
    <row r="52" spans="1:12" x14ac:dyDescent="0.25">
      <c r="A52" s="367" t="s">
        <v>486</v>
      </c>
      <c r="B52" s="387" t="s">
        <v>487</v>
      </c>
      <c r="C52" s="388">
        <f>SUM(C53:C54)</f>
        <v>681852655</v>
      </c>
      <c r="D52" s="408">
        <f>SUM(D53:D54)</f>
        <v>201852655</v>
      </c>
      <c r="E52" s="406">
        <f>SUM(E53)</f>
        <v>196852655</v>
      </c>
      <c r="F52" s="406"/>
      <c r="G52" s="407">
        <f>SUM(G53:G54)</f>
        <v>5000000</v>
      </c>
      <c r="H52" s="394">
        <f>SUM(H53:H54)</f>
        <v>480000000</v>
      </c>
      <c r="I52" s="402">
        <f>SUM(I53:I54)</f>
        <v>480000000</v>
      </c>
      <c r="J52" s="402">
        <f>SUM(J53:J54)</f>
        <v>0</v>
      </c>
    </row>
    <row r="53" spans="1:12" x14ac:dyDescent="0.25">
      <c r="A53" s="367" t="s">
        <v>488</v>
      </c>
      <c r="B53" s="398" t="s">
        <v>489</v>
      </c>
      <c r="C53" s="395">
        <f>SUM(D53+I53)</f>
        <v>201852655</v>
      </c>
      <c r="D53" s="376">
        <f>SUM(E53+F53+G53+J53)</f>
        <v>201852655</v>
      </c>
      <c r="E53" s="403">
        <f>185000000+10535693+1316962</f>
        <v>196852655</v>
      </c>
      <c r="F53" s="403"/>
      <c r="G53" s="404">
        <v>5000000</v>
      </c>
      <c r="H53" s="413">
        <f>SUM(I53:J53)</f>
        <v>0</v>
      </c>
      <c r="I53" s="418"/>
      <c r="J53" s="418"/>
    </row>
    <row r="54" spans="1:12" x14ac:dyDescent="0.25">
      <c r="A54" s="367" t="s">
        <v>490</v>
      </c>
      <c r="B54" s="398" t="s">
        <v>491</v>
      </c>
      <c r="C54" s="395">
        <f>SUM(D54+I54)</f>
        <v>480000000</v>
      </c>
      <c r="D54" s="376">
        <f>SUM(E54+F54+G54+J54)</f>
        <v>0</v>
      </c>
      <c r="E54" s="403"/>
      <c r="F54" s="403"/>
      <c r="G54" s="404"/>
      <c r="H54" s="379">
        <f>SUM(I54:J54)</f>
        <v>480000000</v>
      </c>
      <c r="I54" s="418">
        <v>480000000</v>
      </c>
      <c r="J54" s="418"/>
    </row>
    <row r="55" spans="1:12" x14ac:dyDescent="0.25">
      <c r="A55" s="367"/>
      <c r="B55" s="398"/>
      <c r="C55" s="395"/>
      <c r="D55" s="405"/>
      <c r="E55" s="403"/>
      <c r="F55" s="403"/>
      <c r="G55" s="404"/>
      <c r="H55" s="413"/>
      <c r="I55" s="418"/>
      <c r="J55" s="418"/>
      <c r="L55" s="366"/>
    </row>
    <row r="56" spans="1:12" x14ac:dyDescent="0.25">
      <c r="A56" s="382" t="s">
        <v>492</v>
      </c>
      <c r="B56" s="387" t="s">
        <v>493</v>
      </c>
      <c r="C56" s="388">
        <f t="shared" ref="C56:I56" si="8">SUM(C57)</f>
        <v>99299893.390000001</v>
      </c>
      <c r="D56" s="408">
        <f t="shared" si="8"/>
        <v>99299893.390000001</v>
      </c>
      <c r="E56" s="406">
        <f t="shared" si="8"/>
        <v>0</v>
      </c>
      <c r="F56" s="406">
        <f t="shared" si="8"/>
        <v>0</v>
      </c>
      <c r="G56" s="407">
        <f>SUM(G57)</f>
        <v>99299893.390000001</v>
      </c>
      <c r="H56" s="413">
        <f t="shared" si="8"/>
        <v>0</v>
      </c>
      <c r="I56" s="418">
        <f t="shared" si="8"/>
        <v>0</v>
      </c>
      <c r="J56" s="402">
        <f>SUM(J57)</f>
        <v>0</v>
      </c>
    </row>
    <row r="57" spans="1:12" x14ac:dyDescent="0.25">
      <c r="A57" s="382" t="s">
        <v>494</v>
      </c>
      <c r="B57" s="387" t="s">
        <v>495</v>
      </c>
      <c r="C57" s="388">
        <f>SUM(C58:C58)</f>
        <v>99299893.390000001</v>
      </c>
      <c r="D57" s="408">
        <f>SUM(D58:D58)</f>
        <v>99299893.390000001</v>
      </c>
      <c r="E57" s="406">
        <f>SUM(E58)</f>
        <v>0</v>
      </c>
      <c r="F57" s="406">
        <f>SUM(F58:F58)</f>
        <v>0</v>
      </c>
      <c r="G57" s="407">
        <f>SUM(G58:G58)</f>
        <v>99299893.390000001</v>
      </c>
      <c r="H57" s="413">
        <f>SUM(H58)</f>
        <v>0</v>
      </c>
      <c r="I57" s="418"/>
      <c r="J57" s="418">
        <f>SUM(J58)</f>
        <v>0</v>
      </c>
      <c r="L57" s="366"/>
    </row>
    <row r="58" spans="1:12" x14ac:dyDescent="0.25">
      <c r="A58" s="367" t="s">
        <v>496</v>
      </c>
      <c r="B58" s="398" t="s">
        <v>497</v>
      </c>
      <c r="C58" s="395">
        <f>SUM(D58+I58)</f>
        <v>99299893.390000001</v>
      </c>
      <c r="D58" s="376">
        <f>SUM(E58:G58)+J58</f>
        <v>99299893.390000001</v>
      </c>
      <c r="E58" s="403">
        <v>0</v>
      </c>
      <c r="F58" s="403"/>
      <c r="G58" s="404">
        <v>99299893.390000001</v>
      </c>
      <c r="H58" s="379">
        <f>SUM(I58:J58)</f>
        <v>0</v>
      </c>
      <c r="I58" s="418"/>
      <c r="J58" s="418"/>
    </row>
    <row r="59" spans="1:12" ht="13.8" thickBot="1" x14ac:dyDescent="0.3">
      <c r="A59" s="419"/>
      <c r="B59" s="398"/>
      <c r="C59" s="395"/>
      <c r="D59" s="405"/>
      <c r="E59" s="420"/>
      <c r="F59" s="420"/>
      <c r="G59" s="420"/>
      <c r="H59" s="379"/>
      <c r="I59" s="418"/>
      <c r="J59" s="418"/>
      <c r="L59" s="381"/>
    </row>
    <row r="60" spans="1:12" x14ac:dyDescent="0.25">
      <c r="A60" s="421"/>
      <c r="B60" s="398"/>
      <c r="C60" s="388"/>
      <c r="D60" s="408"/>
      <c r="E60" s="405"/>
      <c r="F60" s="403"/>
      <c r="G60" s="404"/>
      <c r="H60" s="413"/>
      <c r="I60" s="418"/>
      <c r="J60" s="418"/>
    </row>
    <row r="61" spans="1:12" x14ac:dyDescent="0.25">
      <c r="A61" s="367"/>
      <c r="B61" s="387" t="s">
        <v>498</v>
      </c>
      <c r="C61" s="422">
        <f>SUM(C62+C81)</f>
        <v>34569491666.151337</v>
      </c>
      <c r="D61" s="408">
        <f t="shared" ref="D61:J61" si="9">+D62+D81</f>
        <v>14803627321.4</v>
      </c>
      <c r="E61" s="408">
        <f t="shared" si="9"/>
        <v>2603478109.2599998</v>
      </c>
      <c r="F61" s="406">
        <f t="shared" si="9"/>
        <v>122147424</v>
      </c>
      <c r="G61" s="407">
        <f>SUM(G62+G81)</f>
        <v>10278001788.139999</v>
      </c>
      <c r="H61" s="394">
        <f t="shared" si="9"/>
        <v>21565864344.751335</v>
      </c>
      <c r="I61" s="402">
        <f t="shared" si="9"/>
        <v>19765864344.751335</v>
      </c>
      <c r="J61" s="402">
        <f t="shared" si="9"/>
        <v>1800000000</v>
      </c>
    </row>
    <row r="62" spans="1:12" x14ac:dyDescent="0.25">
      <c r="A62" s="423" t="s">
        <v>499</v>
      </c>
      <c r="B62" s="387" t="s">
        <v>500</v>
      </c>
      <c r="C62" s="386">
        <f>SUM(C63+C69+C75)</f>
        <v>17920864337.920002</v>
      </c>
      <c r="D62" s="424">
        <f>D63+D69+D75</f>
        <v>5735460191.3799992</v>
      </c>
      <c r="E62" s="424">
        <f>E63+E69+E75</f>
        <v>324837088.9799999</v>
      </c>
      <c r="F62" s="425">
        <f>F63+F69+F75</f>
        <v>0</v>
      </c>
      <c r="G62" s="426">
        <f>G63+G69+G75</f>
        <v>5410623102.3999996</v>
      </c>
      <c r="H62" s="384">
        <f>H69+H75</f>
        <v>12185404146.540003</v>
      </c>
      <c r="I62" s="427">
        <f>I69</f>
        <v>12185404146.540003</v>
      </c>
      <c r="J62" s="427">
        <f>SUM(J69+J75)</f>
        <v>0</v>
      </c>
    </row>
    <row r="63" spans="1:12" x14ac:dyDescent="0.25">
      <c r="A63" s="382" t="s">
        <v>501</v>
      </c>
      <c r="B63" s="387" t="s">
        <v>502</v>
      </c>
      <c r="C63" s="388">
        <f>D63+H63</f>
        <v>846200000</v>
      </c>
      <c r="D63" s="370">
        <f>SUM(D66:D67)</f>
        <v>846200000</v>
      </c>
      <c r="E63" s="370">
        <f>SUM(E67)</f>
        <v>0</v>
      </c>
      <c r="F63" s="371">
        <f>F65</f>
        <v>0</v>
      </c>
      <c r="G63" s="372">
        <f>G65</f>
        <v>846200000</v>
      </c>
      <c r="H63" s="369">
        <f>H65</f>
        <v>0</v>
      </c>
      <c r="I63" s="373">
        <f>I65</f>
        <v>0</v>
      </c>
      <c r="J63" s="373">
        <f>J65</f>
        <v>0</v>
      </c>
    </row>
    <row r="64" spans="1:12" x14ac:dyDescent="0.25">
      <c r="A64" s="428"/>
      <c r="B64" s="414"/>
      <c r="C64" s="388"/>
      <c r="F64" s="377"/>
      <c r="G64" s="378"/>
      <c r="H64" s="379"/>
      <c r="I64" s="380"/>
      <c r="J64" s="380"/>
    </row>
    <row r="65" spans="1:10" x14ac:dyDescent="0.25">
      <c r="A65" s="367" t="s">
        <v>503</v>
      </c>
      <c r="B65" s="387" t="s">
        <v>504</v>
      </c>
      <c r="C65" s="388">
        <f>SUM(C66:C67)</f>
        <v>846200000</v>
      </c>
      <c r="D65" s="370">
        <f>SUM(C66:C67)</f>
        <v>846200000</v>
      </c>
      <c r="E65" s="376">
        <f>SUM(E66:E67)</f>
        <v>0</v>
      </c>
      <c r="F65" s="376">
        <f>SUM(F66:F67)</f>
        <v>0</v>
      </c>
      <c r="G65" s="366">
        <f>SUM(G66:G67)</f>
        <v>846200000</v>
      </c>
      <c r="H65" s="379">
        <f>H66</f>
        <v>0</v>
      </c>
      <c r="I65" s="380">
        <f>SUM(I66:I67)</f>
        <v>0</v>
      </c>
      <c r="J65" s="376">
        <f>SUM(J66:J67)</f>
        <v>0</v>
      </c>
    </row>
    <row r="66" spans="1:10" x14ac:dyDescent="0.25">
      <c r="A66" s="367" t="s">
        <v>505</v>
      </c>
      <c r="B66" s="398" t="s">
        <v>506</v>
      </c>
      <c r="C66" s="395">
        <f>SUM(D66+I66)</f>
        <v>846200000</v>
      </c>
      <c r="D66" s="376">
        <f>SUM(E66:G66)+J66</f>
        <v>846200000</v>
      </c>
      <c r="F66" s="377"/>
      <c r="G66" s="378">
        <f>+'[1]Ingresos Est. 2020-2021'!$AS$90</f>
        <v>846200000</v>
      </c>
      <c r="H66" s="379">
        <v>0</v>
      </c>
      <c r="I66" s="380">
        <v>0</v>
      </c>
      <c r="J66" s="380">
        <v>0</v>
      </c>
    </row>
    <row r="67" spans="1:10" x14ac:dyDescent="0.25">
      <c r="A67" s="367" t="s">
        <v>507</v>
      </c>
      <c r="B67" s="398" t="s">
        <v>508</v>
      </c>
      <c r="C67" s="395">
        <f>SUM(D67+I67)</f>
        <v>0</v>
      </c>
      <c r="D67" s="376">
        <f>SUM(E67:G67)+J67</f>
        <v>0</v>
      </c>
      <c r="F67" s="377"/>
      <c r="G67" s="378"/>
      <c r="H67" s="379"/>
      <c r="I67" s="380"/>
      <c r="J67" s="380"/>
    </row>
    <row r="68" spans="1:10" x14ac:dyDescent="0.25">
      <c r="A68" s="367"/>
      <c r="B68" s="398"/>
      <c r="C68" s="388"/>
      <c r="F68" s="377"/>
      <c r="G68" s="378"/>
      <c r="H68" s="379"/>
      <c r="I68" s="380"/>
      <c r="J68" s="380"/>
    </row>
    <row r="69" spans="1:10" x14ac:dyDescent="0.25">
      <c r="A69" s="382" t="s">
        <v>509</v>
      </c>
      <c r="B69" s="387" t="s">
        <v>510</v>
      </c>
      <c r="C69" s="388">
        <f>+C70</f>
        <v>12510241235.520002</v>
      </c>
      <c r="D69" s="370">
        <f t="shared" ref="D69:J69" si="10">D70</f>
        <v>324837088.9799999</v>
      </c>
      <c r="E69" s="370">
        <f t="shared" si="10"/>
        <v>324837088.9799999</v>
      </c>
      <c r="F69" s="371">
        <f t="shared" si="10"/>
        <v>0</v>
      </c>
      <c r="G69" s="372">
        <f t="shared" si="10"/>
        <v>0</v>
      </c>
      <c r="H69" s="369">
        <f t="shared" si="10"/>
        <v>12185404146.540003</v>
      </c>
      <c r="I69" s="373">
        <f t="shared" si="10"/>
        <v>12185404146.540003</v>
      </c>
      <c r="J69" s="373">
        <f t="shared" si="10"/>
        <v>0</v>
      </c>
    </row>
    <row r="70" spans="1:10" x14ac:dyDescent="0.25">
      <c r="A70" s="367" t="s">
        <v>511</v>
      </c>
      <c r="B70" s="398" t="s">
        <v>512</v>
      </c>
      <c r="C70" s="388">
        <f>SUM(C71+C73)</f>
        <v>12510241235.520002</v>
      </c>
      <c r="D70" s="370">
        <f>SUM(D71)</f>
        <v>324837088.9799999</v>
      </c>
      <c r="E70" s="370">
        <f>SUM(E71)</f>
        <v>324837088.9799999</v>
      </c>
      <c r="F70" s="371">
        <f>SUM(F72:F72)</f>
        <v>0</v>
      </c>
      <c r="G70" s="372">
        <f>SUM(G71:G72)</f>
        <v>0</v>
      </c>
      <c r="H70" s="379">
        <f>+H71</f>
        <v>12185404146.540003</v>
      </c>
      <c r="I70" s="380">
        <f>+I71</f>
        <v>12185404146.540003</v>
      </c>
      <c r="J70" s="380">
        <f>+J71</f>
        <v>0</v>
      </c>
    </row>
    <row r="71" spans="1:10" x14ac:dyDescent="0.25">
      <c r="A71" s="367" t="s">
        <v>513</v>
      </c>
      <c r="B71" s="398" t="s">
        <v>514</v>
      </c>
      <c r="C71" s="388">
        <f>SUM(C72:C72)</f>
        <v>324837088.9799999</v>
      </c>
      <c r="D71" s="370">
        <f>SUM(D72:D72)</f>
        <v>324837088.9799999</v>
      </c>
      <c r="E71" s="376">
        <f>SUM(E72:E72)</f>
        <v>324837088.9799999</v>
      </c>
      <c r="F71" s="377"/>
      <c r="G71" s="378"/>
      <c r="H71" s="379">
        <f>SUM(H72:H73)</f>
        <v>12185404146.540003</v>
      </c>
      <c r="I71" s="380">
        <f>SUM(I72:I73)</f>
        <v>12185404146.540003</v>
      </c>
      <c r="J71" s="380">
        <f>SUM(J72:J73)</f>
        <v>0</v>
      </c>
    </row>
    <row r="72" spans="1:10" x14ac:dyDescent="0.25">
      <c r="A72" s="367"/>
      <c r="B72" s="412" t="s">
        <v>515</v>
      </c>
      <c r="C72" s="395">
        <f>SUM(D72+I72)</f>
        <v>324837088.9799999</v>
      </c>
      <c r="D72" s="376">
        <f>SUM(E72:G72)+J72</f>
        <v>324837088.9799999</v>
      </c>
      <c r="E72" s="376">
        <f>+'[1]Ingresos Est. 2020-2021'!$AS$94+12223685+1316962+30194600</f>
        <v>324837088.9799999</v>
      </c>
      <c r="F72" s="377"/>
      <c r="G72" s="378"/>
      <c r="H72" s="379">
        <v>0</v>
      </c>
      <c r="I72" s="380">
        <v>0</v>
      </c>
      <c r="J72" s="380">
        <v>0</v>
      </c>
    </row>
    <row r="73" spans="1:10" ht="13.5" customHeight="1" thickBot="1" x14ac:dyDescent="0.3">
      <c r="A73" s="367" t="s">
        <v>516</v>
      </c>
      <c r="B73" s="419" t="s">
        <v>517</v>
      </c>
      <c r="C73" s="429">
        <f>SUM(D73+I73)</f>
        <v>12185404146.540003</v>
      </c>
      <c r="D73" s="430"/>
      <c r="E73" s="430"/>
      <c r="F73" s="431"/>
      <c r="G73" s="432"/>
      <c r="H73" s="433">
        <f>SUM(I73:J73)</f>
        <v>12185404146.540003</v>
      </c>
      <c r="I73" s="434">
        <f>+'[1]Ingresos Est. 2020-2021'!$AS$102</f>
        <v>12185404146.540003</v>
      </c>
      <c r="J73" s="434"/>
    </row>
    <row r="74" spans="1:10" ht="13.5" customHeight="1" x14ac:dyDescent="0.25">
      <c r="A74" s="367"/>
      <c r="B74" s="414"/>
      <c r="C74" s="395"/>
      <c r="F74" s="377"/>
      <c r="G74" s="378"/>
      <c r="H74" s="379"/>
      <c r="I74" s="380"/>
      <c r="J74" s="380"/>
    </row>
    <row r="75" spans="1:10" s="440" customFormat="1" x14ac:dyDescent="0.25">
      <c r="A75" s="382" t="s">
        <v>518</v>
      </c>
      <c r="B75" s="387" t="s">
        <v>404</v>
      </c>
      <c r="C75" s="388">
        <f>D75+I75</f>
        <v>4564423102.3999996</v>
      </c>
      <c r="D75" s="435">
        <f>SUM(D76)</f>
        <v>4564423102.3999996</v>
      </c>
      <c r="E75" s="435">
        <f>E76</f>
        <v>0</v>
      </c>
      <c r="F75" s="436">
        <f>F76</f>
        <v>0</v>
      </c>
      <c r="G75" s="437">
        <f>G76</f>
        <v>4564423102.3999996</v>
      </c>
      <c r="H75" s="438">
        <f>H76</f>
        <v>0</v>
      </c>
      <c r="I75" s="439">
        <v>0</v>
      </c>
      <c r="J75" s="439">
        <f>SUM(J76)</f>
        <v>0</v>
      </c>
    </row>
    <row r="76" spans="1:10" s="440" customFormat="1" x14ac:dyDescent="0.25">
      <c r="A76" s="382" t="s">
        <v>519</v>
      </c>
      <c r="B76" s="387" t="s">
        <v>520</v>
      </c>
      <c r="C76" s="388">
        <f>SUM(C77:C78)</f>
        <v>4564423102.3999996</v>
      </c>
      <c r="D76" s="435">
        <f>SUM(D77:D78)</f>
        <v>4564423102.3999996</v>
      </c>
      <c r="E76" s="435">
        <f>E77</f>
        <v>0</v>
      </c>
      <c r="F76" s="436">
        <f>F77</f>
        <v>0</v>
      </c>
      <c r="G76" s="437">
        <f>SUM(G77:G78)</f>
        <v>4564423102.3999996</v>
      </c>
      <c r="H76" s="438">
        <f>SUM(H77:H77)</f>
        <v>0</v>
      </c>
      <c r="I76" s="439">
        <v>0</v>
      </c>
      <c r="J76" s="439">
        <f>SUM(J77)</f>
        <v>0</v>
      </c>
    </row>
    <row r="77" spans="1:10" s="440" customFormat="1" x14ac:dyDescent="0.25">
      <c r="A77" s="367" t="s">
        <v>521</v>
      </c>
      <c r="B77" s="398" t="s">
        <v>522</v>
      </c>
      <c r="C77" s="395">
        <f>SUM(D77+I77)</f>
        <v>4564423102.3999996</v>
      </c>
      <c r="D77" s="376">
        <f>SUM(E77:G77)+J77</f>
        <v>4564423102.3999996</v>
      </c>
      <c r="E77" s="441"/>
      <c r="F77" s="442">
        <v>0</v>
      </c>
      <c r="G77" s="443">
        <f>4564423102.4+2084850-2084850</f>
        <v>4564423102.3999996</v>
      </c>
      <c r="H77" s="444">
        <f>SUM(I77:J77)</f>
        <v>0</v>
      </c>
      <c r="I77" s="439">
        <v>0</v>
      </c>
      <c r="J77" s="445"/>
    </row>
    <row r="78" spans="1:10" ht="13.5" hidden="1" customHeight="1" x14ac:dyDescent="0.25">
      <c r="A78" s="367" t="s">
        <v>523</v>
      </c>
      <c r="B78" s="398" t="s">
        <v>524</v>
      </c>
      <c r="C78" s="395">
        <f>SUM(D78+I78)</f>
        <v>0</v>
      </c>
      <c r="D78" s="376">
        <f>SUM(E78:G78)+J78</f>
        <v>0</v>
      </c>
      <c r="F78" s="377"/>
      <c r="G78" s="378"/>
      <c r="H78" s="379"/>
      <c r="I78" s="380"/>
      <c r="J78" s="380"/>
    </row>
    <row r="79" spans="1:10" ht="13.5" customHeight="1" x14ac:dyDescent="0.25">
      <c r="A79" s="367"/>
      <c r="B79" s="414"/>
      <c r="C79" s="395"/>
      <c r="F79" s="377"/>
      <c r="G79" s="378"/>
      <c r="H79" s="379"/>
      <c r="I79" s="380"/>
      <c r="J79" s="380"/>
    </row>
    <row r="80" spans="1:10" ht="13.5" customHeight="1" x14ac:dyDescent="0.25">
      <c r="A80" s="367"/>
      <c r="B80" s="414"/>
      <c r="C80" s="395"/>
      <c r="F80" s="377"/>
      <c r="G80" s="378"/>
      <c r="H80" s="379"/>
      <c r="I80" s="380"/>
      <c r="J80" s="380"/>
    </row>
    <row r="81" spans="1:13" x14ac:dyDescent="0.25">
      <c r="A81" s="382" t="s">
        <v>525</v>
      </c>
      <c r="B81" s="446" t="s">
        <v>526</v>
      </c>
      <c r="C81" s="386">
        <f>SUM(C82+C87)</f>
        <v>16648627328.231335</v>
      </c>
      <c r="D81" s="389">
        <f t="shared" ref="D81:J81" si="11">D82</f>
        <v>9068167130.0200005</v>
      </c>
      <c r="E81" s="389">
        <f t="shared" si="11"/>
        <v>2278641020.2799997</v>
      </c>
      <c r="F81" s="447">
        <f t="shared" si="11"/>
        <v>122147424</v>
      </c>
      <c r="G81" s="448">
        <f t="shared" si="11"/>
        <v>4867378685.7399998</v>
      </c>
      <c r="H81" s="386">
        <f t="shared" si="11"/>
        <v>9380460198.2113342</v>
      </c>
      <c r="I81" s="391">
        <f t="shared" si="11"/>
        <v>7580460198.2113342</v>
      </c>
      <c r="J81" s="391">
        <f t="shared" si="11"/>
        <v>1800000000</v>
      </c>
    </row>
    <row r="82" spans="1:13" x14ac:dyDescent="0.25">
      <c r="A82" s="382" t="s">
        <v>527</v>
      </c>
      <c r="B82" s="387" t="s">
        <v>528</v>
      </c>
      <c r="C82" s="388">
        <f>SUM(C83)</f>
        <v>7580460198.2113342</v>
      </c>
      <c r="D82" s="392">
        <f>SUM(D83+D87)</f>
        <v>9068167130.0200005</v>
      </c>
      <c r="E82" s="392">
        <f>E87</f>
        <v>2278641020.2799997</v>
      </c>
      <c r="F82" s="417">
        <f>F87</f>
        <v>122147424</v>
      </c>
      <c r="G82" s="399">
        <f>G83+G87</f>
        <v>4867378685.7399998</v>
      </c>
      <c r="H82" s="388">
        <f>H83+H87</f>
        <v>9380460198.2113342</v>
      </c>
      <c r="I82" s="393">
        <f>I83+I87</f>
        <v>7580460198.2113342</v>
      </c>
      <c r="J82" s="393">
        <f>J83+J87</f>
        <v>1800000000</v>
      </c>
    </row>
    <row r="83" spans="1:13" ht="14.25" customHeight="1" x14ac:dyDescent="0.25">
      <c r="A83" s="382" t="s">
        <v>529</v>
      </c>
      <c r="B83" s="387" t="s">
        <v>530</v>
      </c>
      <c r="C83" s="388">
        <f>SUM(C85)</f>
        <v>7580460198.2113342</v>
      </c>
      <c r="D83" s="392">
        <f>SUM(D84:D84)</f>
        <v>0</v>
      </c>
      <c r="E83" s="392">
        <v>0</v>
      </c>
      <c r="F83" s="417">
        <v>0</v>
      </c>
      <c r="G83" s="399">
        <f>SUM(G84:G84)</f>
        <v>0</v>
      </c>
      <c r="H83" s="388">
        <f>H84</f>
        <v>7580460198.2113342</v>
      </c>
      <c r="I83" s="393">
        <f>I84</f>
        <v>7580460198.2113342</v>
      </c>
      <c r="J83" s="393">
        <f>J84</f>
        <v>0</v>
      </c>
    </row>
    <row r="84" spans="1:13" ht="12.75" customHeight="1" x14ac:dyDescent="0.25">
      <c r="A84" s="367" t="s">
        <v>531</v>
      </c>
      <c r="B84" s="398" t="s">
        <v>532</v>
      </c>
      <c r="C84" s="395">
        <f>D84+H84</f>
        <v>7580460198.2113342</v>
      </c>
      <c r="D84" s="396">
        <f>SUM(E84:G84)/1000</f>
        <v>0</v>
      </c>
      <c r="E84" s="376">
        <v>0</v>
      </c>
      <c r="F84" s="377">
        <v>0</v>
      </c>
      <c r="G84" s="378"/>
      <c r="H84" s="379">
        <f>SUM(H85)</f>
        <v>7580460198.2113342</v>
      </c>
      <c r="I84" s="380">
        <f>SUM(I85)</f>
        <v>7580460198.2113342</v>
      </c>
      <c r="J84" s="380">
        <f>SUM(J85)</f>
        <v>0</v>
      </c>
    </row>
    <row r="85" spans="1:13" ht="17.25" customHeight="1" x14ac:dyDescent="0.25">
      <c r="A85" s="367" t="s">
        <v>531</v>
      </c>
      <c r="B85" s="398" t="s">
        <v>533</v>
      </c>
      <c r="C85" s="395">
        <f>SUM(D85+I85)</f>
        <v>7580460198.2113342</v>
      </c>
      <c r="D85" s="376">
        <f>SUM(E85:G85)+J85</f>
        <v>0</v>
      </c>
      <c r="E85" s="441"/>
      <c r="F85" s="442"/>
      <c r="G85" s="443"/>
      <c r="H85" s="379">
        <f>SUM(I85:J85)</f>
        <v>7580460198.2113342</v>
      </c>
      <c r="I85" s="445">
        <f>+'[1]Ingresos Est. 2020-2021'!$AS$117</f>
        <v>7580460198.2113342</v>
      </c>
      <c r="J85" s="445"/>
    </row>
    <row r="86" spans="1:13" x14ac:dyDescent="0.25">
      <c r="A86" s="367"/>
      <c r="B86" s="398"/>
      <c r="C86" s="394" t="s">
        <v>0</v>
      </c>
      <c r="D86" s="441"/>
      <c r="E86" s="441"/>
      <c r="F86" s="442"/>
      <c r="G86" s="443"/>
      <c r="H86" s="444"/>
      <c r="I86" s="445"/>
      <c r="J86" s="445"/>
      <c r="M86" s="366"/>
    </row>
    <row r="87" spans="1:13" s="440" customFormat="1" x14ac:dyDescent="0.25">
      <c r="A87" s="382" t="s">
        <v>534</v>
      </c>
      <c r="B87" s="387" t="s">
        <v>535</v>
      </c>
      <c r="C87" s="388">
        <f>SUM(C88+C91)</f>
        <v>9068167130.0200005</v>
      </c>
      <c r="D87" s="392">
        <f>SUM(D91+D88)</f>
        <v>9068167130.0200005</v>
      </c>
      <c r="E87" s="392">
        <f>E88+E91</f>
        <v>2278641020.2799997</v>
      </c>
      <c r="F87" s="417">
        <f>F88+F91</f>
        <v>122147424</v>
      </c>
      <c r="G87" s="399">
        <f>SUM(G88+G91)</f>
        <v>4867378685.7399998</v>
      </c>
      <c r="H87" s="388">
        <f>SUM(H91+H88)</f>
        <v>1800000000</v>
      </c>
      <c r="I87" s="393">
        <f>SUM(I88+I91)</f>
        <v>0</v>
      </c>
      <c r="J87" s="393">
        <f>SUM(J88+J91)</f>
        <v>1800000000</v>
      </c>
      <c r="M87" s="449"/>
    </row>
    <row r="88" spans="1:13" s="440" customFormat="1" x14ac:dyDescent="0.25">
      <c r="A88" s="367" t="s">
        <v>536</v>
      </c>
      <c r="B88" s="398" t="s">
        <v>537</v>
      </c>
      <c r="C88" s="388">
        <f>SUM(C89:C89)</f>
        <v>1600000000</v>
      </c>
      <c r="D88" s="392">
        <f>SUM(D89)</f>
        <v>1600000000</v>
      </c>
      <c r="E88" s="441">
        <f>SUM(E89)</f>
        <v>0</v>
      </c>
      <c r="F88" s="442">
        <f>SUM(F89)</f>
        <v>0</v>
      </c>
      <c r="G88" s="437">
        <f>SUM(G89)</f>
        <v>0</v>
      </c>
      <c r="H88" s="444">
        <f>SUM(H89)</f>
        <v>1600000000</v>
      </c>
      <c r="I88" s="445"/>
      <c r="J88" s="445">
        <f>SUM(J89)</f>
        <v>1600000000</v>
      </c>
      <c r="M88" s="449"/>
    </row>
    <row r="89" spans="1:13" s="440" customFormat="1" x14ac:dyDescent="0.25">
      <c r="A89" s="367"/>
      <c r="B89" s="398" t="s">
        <v>538</v>
      </c>
      <c r="C89" s="395">
        <f>SUM(D89+I89)</f>
        <v>1600000000</v>
      </c>
      <c r="D89" s="376">
        <f>SUM(E89:G89)+J89</f>
        <v>1600000000</v>
      </c>
      <c r="E89" s="441"/>
      <c r="F89" s="442"/>
      <c r="G89" s="443"/>
      <c r="H89" s="444">
        <f>SUM(I89:J89)</f>
        <v>1600000000</v>
      </c>
      <c r="I89" s="445"/>
      <c r="J89" s="445">
        <v>1600000000</v>
      </c>
      <c r="M89" s="409"/>
    </row>
    <row r="90" spans="1:13" s="440" customFormat="1" x14ac:dyDescent="0.25">
      <c r="A90" s="450"/>
      <c r="B90" s="451"/>
      <c r="C90" s="452"/>
      <c r="D90" s="453"/>
      <c r="E90" s="453"/>
      <c r="F90" s="454"/>
      <c r="G90" s="455"/>
      <c r="H90" s="456"/>
      <c r="I90" s="457"/>
      <c r="J90" s="457"/>
    </row>
    <row r="91" spans="1:13" s="440" customFormat="1" x14ac:dyDescent="0.25">
      <c r="A91" s="367" t="s">
        <v>539</v>
      </c>
      <c r="B91" s="387" t="s">
        <v>540</v>
      </c>
      <c r="C91" s="388">
        <f>SUM(C92:C106)</f>
        <v>7468167130.0199995</v>
      </c>
      <c r="D91" s="435">
        <f>SUM(D92:D106)</f>
        <v>7468167130.0199995</v>
      </c>
      <c r="E91" s="435">
        <f>SUM(E92:E106)</f>
        <v>2278641020.2799997</v>
      </c>
      <c r="F91" s="436">
        <f>SUM(F92:F105)</f>
        <v>122147424</v>
      </c>
      <c r="G91" s="437">
        <f>SUM(G92:G106)</f>
        <v>4867378685.7399998</v>
      </c>
      <c r="H91" s="438">
        <f>SUM(H92:H106)</f>
        <v>200000000</v>
      </c>
      <c r="I91" s="439">
        <f>SUM(I92:I106)</f>
        <v>0</v>
      </c>
      <c r="J91" s="439">
        <f>SUM(J92:J106)</f>
        <v>200000000</v>
      </c>
    </row>
    <row r="92" spans="1:13" s="440" customFormat="1" x14ac:dyDescent="0.25">
      <c r="A92" s="367"/>
      <c r="B92" s="398" t="s">
        <v>541</v>
      </c>
      <c r="C92" s="395">
        <f>SUM(D92+I92)</f>
        <v>87000000</v>
      </c>
      <c r="D92" s="376">
        <f t="shared" ref="D92:D106" si="12">SUM(E92:G92)+J92</f>
        <v>87000000</v>
      </c>
      <c r="E92" s="441"/>
      <c r="F92" s="442"/>
      <c r="G92" s="378">
        <f>+'[1]Ingresos Est. 2020-2021'!$AS$124</f>
        <v>87000000</v>
      </c>
      <c r="H92" s="444">
        <f>SUM(I92:J92)</f>
        <v>0</v>
      </c>
      <c r="I92" s="445"/>
      <c r="J92" s="445"/>
    </row>
    <row r="93" spans="1:13" s="440" customFormat="1" x14ac:dyDescent="0.25">
      <c r="A93" s="367"/>
      <c r="B93" s="398" t="s">
        <v>542</v>
      </c>
      <c r="C93" s="395">
        <f t="shared" ref="C93:C106" si="13">SUM(D93+I93)</f>
        <v>70000000</v>
      </c>
      <c r="D93" s="376">
        <f t="shared" si="12"/>
        <v>70000000</v>
      </c>
      <c r="E93" s="441"/>
      <c r="F93" s="442"/>
      <c r="G93" s="443">
        <f>+'[1]Ingresos Est. 2020-2021'!$AS$125</f>
        <v>70000000</v>
      </c>
      <c r="H93" s="444"/>
      <c r="I93" s="445"/>
      <c r="J93" s="445"/>
    </row>
    <row r="94" spans="1:13" s="440" customFormat="1" x14ac:dyDescent="0.25">
      <c r="A94" s="367"/>
      <c r="B94" s="398" t="s">
        <v>543</v>
      </c>
      <c r="C94" s="395">
        <f t="shared" si="13"/>
        <v>2000000</v>
      </c>
      <c r="D94" s="376">
        <f t="shared" si="12"/>
        <v>2000000</v>
      </c>
      <c r="E94" s="441"/>
      <c r="F94" s="442"/>
      <c r="G94" s="443">
        <f>750000+750000+500000</f>
        <v>2000000</v>
      </c>
      <c r="H94" s="444"/>
      <c r="I94" s="445"/>
      <c r="J94" s="445"/>
    </row>
    <row r="95" spans="1:13" s="440" customFormat="1" x14ac:dyDescent="0.25">
      <c r="A95" s="367"/>
      <c r="B95" s="398" t="s">
        <v>544</v>
      </c>
      <c r="C95" s="395">
        <f t="shared" si="13"/>
        <v>1100000000</v>
      </c>
      <c r="D95" s="376">
        <f t="shared" si="12"/>
        <v>1100000000</v>
      </c>
      <c r="E95" s="441"/>
      <c r="F95" s="442"/>
      <c r="G95" s="443">
        <f>+'[1]Ingresos Est. 2020-2021'!$AS$126</f>
        <v>1100000000</v>
      </c>
      <c r="H95" s="444">
        <f>SUM(I95:J95)</f>
        <v>0</v>
      </c>
      <c r="I95" s="445"/>
      <c r="J95" s="445"/>
    </row>
    <row r="96" spans="1:13" s="440" customFormat="1" x14ac:dyDescent="0.25">
      <c r="A96" s="367"/>
      <c r="B96" s="398" t="s">
        <v>545</v>
      </c>
      <c r="C96" s="395">
        <f t="shared" si="13"/>
        <v>179636685.74000001</v>
      </c>
      <c r="D96" s="376">
        <f>SUM(E96+G96)</f>
        <v>179636685.74000001</v>
      </c>
      <c r="E96" s="441"/>
      <c r="F96" s="442"/>
      <c r="G96" s="443">
        <v>179636685.74000001</v>
      </c>
      <c r="H96" s="444"/>
      <c r="I96" s="445"/>
      <c r="J96" s="445"/>
    </row>
    <row r="97" spans="1:10" s="440" customFormat="1" x14ac:dyDescent="0.25">
      <c r="A97" s="367"/>
      <c r="B97" s="398" t="s">
        <v>546</v>
      </c>
      <c r="C97" s="395">
        <f t="shared" si="13"/>
        <v>1859480000</v>
      </c>
      <c r="D97" s="376">
        <f>SUM(E97+G97)</f>
        <v>1859480000</v>
      </c>
      <c r="E97" s="441"/>
      <c r="F97" s="442"/>
      <c r="G97" s="443">
        <v>1859480000</v>
      </c>
      <c r="H97" s="444"/>
      <c r="I97" s="445"/>
      <c r="J97" s="445"/>
    </row>
    <row r="98" spans="1:10" s="440" customFormat="1" x14ac:dyDescent="0.25">
      <c r="A98" s="367"/>
      <c r="B98" s="398" t="s">
        <v>547</v>
      </c>
      <c r="C98" s="395">
        <f t="shared" si="13"/>
        <v>680000000</v>
      </c>
      <c r="D98" s="376">
        <f t="shared" si="12"/>
        <v>680000000</v>
      </c>
      <c r="E98" s="441"/>
      <c r="F98" s="442"/>
      <c r="G98" s="443">
        <f>+'[1]Ingresos Est. 2020-2021'!$AS$130</f>
        <v>680000000</v>
      </c>
      <c r="H98" s="444"/>
      <c r="I98" s="445"/>
      <c r="J98" s="445"/>
    </row>
    <row r="99" spans="1:10" s="440" customFormat="1" x14ac:dyDescent="0.25">
      <c r="A99" s="367"/>
      <c r="B99" s="398" t="s">
        <v>548</v>
      </c>
      <c r="C99" s="395">
        <f t="shared" si="13"/>
        <v>224140282</v>
      </c>
      <c r="D99" s="376">
        <f t="shared" si="12"/>
        <v>224140282</v>
      </c>
      <c r="E99" s="441">
        <v>224140282</v>
      </c>
      <c r="F99" s="442"/>
      <c r="G99" s="443"/>
      <c r="H99" s="444"/>
      <c r="I99" s="445"/>
      <c r="J99" s="445"/>
    </row>
    <row r="100" spans="1:10" s="440" customFormat="1" x14ac:dyDescent="0.25">
      <c r="A100" s="367"/>
      <c r="B100" s="398" t="s">
        <v>549</v>
      </c>
      <c r="C100" s="395">
        <f t="shared" si="13"/>
        <v>17568388</v>
      </c>
      <c r="D100" s="376">
        <f t="shared" si="12"/>
        <v>17568388</v>
      </c>
      <c r="E100" s="441"/>
      <c r="F100" s="442">
        <v>17568388</v>
      </c>
      <c r="G100" s="443"/>
      <c r="H100" s="444"/>
      <c r="I100" s="445"/>
      <c r="J100" s="445"/>
    </row>
    <row r="101" spans="1:10" s="440" customFormat="1" x14ac:dyDescent="0.25">
      <c r="A101" s="367"/>
      <c r="B101" s="398" t="s">
        <v>550</v>
      </c>
      <c r="C101" s="395">
        <f t="shared" si="13"/>
        <v>54579036</v>
      </c>
      <c r="D101" s="376">
        <f>SUM(E101:G101)+J101</f>
        <v>54579036</v>
      </c>
      <c r="E101" s="441"/>
      <c r="F101" s="442">
        <v>54579036</v>
      </c>
      <c r="G101" s="443"/>
      <c r="H101" s="444"/>
      <c r="I101" s="445"/>
      <c r="J101" s="445"/>
    </row>
    <row r="102" spans="1:10" s="440" customFormat="1" x14ac:dyDescent="0.25">
      <c r="A102" s="367"/>
      <c r="B102" s="398" t="s">
        <v>551</v>
      </c>
      <c r="C102" s="395">
        <f t="shared" si="13"/>
        <v>119262000</v>
      </c>
      <c r="D102" s="376">
        <f t="shared" si="12"/>
        <v>119262000</v>
      </c>
      <c r="E102" s="441"/>
      <c r="F102" s="442">
        <v>50000000</v>
      </c>
      <c r="G102" s="443">
        <f>+'[1]Ingresos Est. 2020-2021'!$AS$131</f>
        <v>69262000</v>
      </c>
      <c r="H102" s="444"/>
      <c r="I102" s="445"/>
      <c r="J102" s="445"/>
    </row>
    <row r="103" spans="1:10" s="440" customFormat="1" x14ac:dyDescent="0.25">
      <c r="A103" s="367"/>
      <c r="B103" s="398" t="s">
        <v>552</v>
      </c>
      <c r="C103" s="395">
        <f t="shared" si="13"/>
        <v>400000000</v>
      </c>
      <c r="D103" s="376">
        <f t="shared" si="12"/>
        <v>400000000</v>
      </c>
      <c r="E103" s="441"/>
      <c r="F103" s="442"/>
      <c r="G103" s="443">
        <f>+'[1]Ingresos Est. 2020-2021'!$AS$135</f>
        <v>400000000</v>
      </c>
      <c r="H103" s="444"/>
      <c r="I103" s="445"/>
      <c r="J103" s="445"/>
    </row>
    <row r="104" spans="1:10" s="440" customFormat="1" hidden="1" x14ac:dyDescent="0.25">
      <c r="A104" s="367"/>
      <c r="B104" s="398" t="s">
        <v>553</v>
      </c>
      <c r="C104" s="395">
        <f t="shared" si="13"/>
        <v>0</v>
      </c>
      <c r="D104" s="376">
        <f t="shared" si="12"/>
        <v>0</v>
      </c>
      <c r="E104" s="441"/>
      <c r="F104" s="442"/>
      <c r="G104" s="443"/>
      <c r="H104" s="444"/>
      <c r="I104" s="445"/>
      <c r="J104" s="445"/>
    </row>
    <row r="105" spans="1:10" s="440" customFormat="1" x14ac:dyDescent="0.25">
      <c r="A105" s="367"/>
      <c r="B105" s="398" t="s">
        <v>554</v>
      </c>
      <c r="C105" s="395">
        <f t="shared" si="13"/>
        <v>2054500738.28</v>
      </c>
      <c r="D105" s="376">
        <f t="shared" si="12"/>
        <v>2054500738.28</v>
      </c>
      <c r="E105" s="441">
        <f>1904500738+150000000.28</f>
        <v>2054500738.28</v>
      </c>
      <c r="F105" s="442"/>
      <c r="G105" s="443"/>
      <c r="H105" s="444">
        <f>SUM(I105:J105)</f>
        <v>0</v>
      </c>
      <c r="I105" s="445"/>
      <c r="J105" s="445"/>
    </row>
    <row r="106" spans="1:10" s="440" customFormat="1" ht="13.8" thickBot="1" x14ac:dyDescent="0.3">
      <c r="A106" s="458"/>
      <c r="B106" s="419" t="s">
        <v>555</v>
      </c>
      <c r="C106" s="429">
        <f t="shared" si="13"/>
        <v>620000000</v>
      </c>
      <c r="D106" s="430">
        <f t="shared" si="12"/>
        <v>620000000</v>
      </c>
      <c r="E106" s="459"/>
      <c r="F106" s="460"/>
      <c r="G106" s="461">
        <f>+'[1]Ingresos Est. 2020-2021'!$AS$138</f>
        <v>420000000</v>
      </c>
      <c r="H106" s="462">
        <f>SUM(I106:J106)</f>
        <v>200000000</v>
      </c>
      <c r="I106" s="463"/>
      <c r="J106" s="463">
        <v>200000000</v>
      </c>
    </row>
    <row r="107" spans="1:10" x14ac:dyDescent="0.25">
      <c r="D107" s="366"/>
      <c r="E107" s="366"/>
      <c r="F107" s="366"/>
      <c r="G107" s="366"/>
      <c r="H107" s="366"/>
      <c r="I107" s="366"/>
      <c r="J107" s="366"/>
    </row>
    <row r="108" spans="1:10" x14ac:dyDescent="0.25">
      <c r="A108" s="440" t="s">
        <v>777</v>
      </c>
      <c r="B108" s="464"/>
      <c r="C108" s="465"/>
      <c r="D108" s="366"/>
      <c r="E108" s="366"/>
      <c r="F108" s="366"/>
      <c r="G108" s="366"/>
      <c r="H108" s="366"/>
      <c r="I108" s="366"/>
      <c r="J108" s="366"/>
    </row>
    <row r="109" spans="1:10" x14ac:dyDescent="0.25">
      <c r="B109" s="466"/>
      <c r="C109" s="465"/>
      <c r="D109" s="366"/>
      <c r="E109" s="366"/>
      <c r="F109" s="366"/>
      <c r="G109" s="366"/>
      <c r="H109" s="366"/>
      <c r="I109" s="366"/>
      <c r="J109" s="366"/>
    </row>
    <row r="110" spans="1:10" ht="17.25" customHeight="1" x14ac:dyDescent="0.25">
      <c r="C110" s="381"/>
      <c r="D110" s="366"/>
      <c r="E110" s="366"/>
      <c r="F110" s="366"/>
      <c r="G110" s="366"/>
      <c r="H110" s="366"/>
      <c r="I110" s="366"/>
      <c r="J110" s="366"/>
    </row>
    <row r="111" spans="1:10" x14ac:dyDescent="0.25">
      <c r="C111" s="381"/>
      <c r="D111" s="366"/>
      <c r="E111" s="366"/>
      <c r="F111" s="366"/>
      <c r="G111" s="366"/>
      <c r="H111" s="366"/>
      <c r="I111" s="366"/>
      <c r="J111" s="366"/>
    </row>
    <row r="112" spans="1:10" x14ac:dyDescent="0.25">
      <c r="D112" s="366"/>
      <c r="E112" s="366"/>
      <c r="F112" s="366"/>
      <c r="G112" s="366"/>
      <c r="H112" s="366"/>
      <c r="I112" s="366"/>
      <c r="J112" s="366"/>
    </row>
    <row r="113" spans="1:10" x14ac:dyDescent="0.25">
      <c r="C113" s="381"/>
      <c r="D113" s="366"/>
      <c r="E113" s="366"/>
      <c r="F113" s="366"/>
      <c r="G113" s="366"/>
      <c r="H113" s="366"/>
      <c r="I113" s="366"/>
      <c r="J113" s="366"/>
    </row>
    <row r="114" spans="1:10" x14ac:dyDescent="0.25">
      <c r="A114" s="467"/>
      <c r="C114" s="468"/>
      <c r="D114" s="366"/>
      <c r="E114" s="366"/>
      <c r="F114" s="366"/>
      <c r="G114" s="366"/>
      <c r="H114" s="366"/>
      <c r="I114" s="366"/>
      <c r="J114" s="366"/>
    </row>
    <row r="115" spans="1:10" x14ac:dyDescent="0.25">
      <c r="C115" s="467"/>
      <c r="D115" s="366"/>
      <c r="E115" s="366"/>
      <c r="F115" s="366"/>
      <c r="G115" s="366"/>
      <c r="H115" s="366"/>
      <c r="I115" s="366"/>
      <c r="J115" s="366"/>
    </row>
    <row r="116" spans="1:10" x14ac:dyDescent="0.25">
      <c r="D116" s="366"/>
      <c r="E116" s="366"/>
      <c r="F116" s="366"/>
      <c r="G116" s="366"/>
      <c r="H116" s="366"/>
      <c r="I116" s="366"/>
      <c r="J116" s="366"/>
    </row>
    <row r="117" spans="1:10" x14ac:dyDescent="0.25">
      <c r="D117" s="366"/>
      <c r="E117" s="366"/>
      <c r="F117" s="366"/>
      <c r="G117" s="366"/>
      <c r="H117" s="366"/>
      <c r="I117" s="366"/>
      <c r="J117" s="366"/>
    </row>
    <row r="118" spans="1:10" x14ac:dyDescent="0.25">
      <c r="D118" s="366"/>
      <c r="E118" s="366"/>
      <c r="F118" s="366"/>
      <c r="G118" s="366"/>
      <c r="H118" s="366"/>
      <c r="I118" s="366"/>
      <c r="J118" s="366"/>
    </row>
    <row r="119" spans="1:10" x14ac:dyDescent="0.25">
      <c r="D119" s="366"/>
      <c r="E119" s="366"/>
      <c r="F119" s="366"/>
      <c r="G119" s="366"/>
      <c r="H119" s="366"/>
      <c r="I119" s="366"/>
      <c r="J119" s="366"/>
    </row>
    <row r="120" spans="1:10" x14ac:dyDescent="0.25">
      <c r="D120" s="366"/>
      <c r="E120" s="366"/>
      <c r="F120" s="366"/>
      <c r="G120" s="366"/>
      <c r="H120" s="366"/>
      <c r="I120" s="366"/>
      <c r="J120" s="366"/>
    </row>
    <row r="121" spans="1:10" x14ac:dyDescent="0.25">
      <c r="C121" s="381"/>
      <c r="D121" s="366"/>
      <c r="E121" s="366"/>
      <c r="F121" s="366"/>
      <c r="G121" s="366"/>
      <c r="H121" s="366"/>
      <c r="I121" s="366"/>
      <c r="J121" s="366"/>
    </row>
    <row r="122" spans="1:10" x14ac:dyDescent="0.25">
      <c r="D122" s="366"/>
      <c r="E122" s="366"/>
      <c r="F122" s="366"/>
      <c r="G122" s="366"/>
      <c r="H122" s="366"/>
      <c r="I122" s="366"/>
      <c r="J122" s="366"/>
    </row>
    <row r="123" spans="1:10" x14ac:dyDescent="0.25">
      <c r="D123" s="366"/>
      <c r="E123" s="366"/>
      <c r="F123" s="366"/>
      <c r="G123" s="366"/>
      <c r="H123" s="366"/>
      <c r="I123" s="366"/>
      <c r="J123" s="366"/>
    </row>
    <row r="124" spans="1:10" x14ac:dyDescent="0.25">
      <c r="D124" s="366"/>
      <c r="E124" s="366"/>
      <c r="F124" s="366"/>
      <c r="G124" s="366"/>
      <c r="H124" s="366"/>
      <c r="I124" s="366"/>
      <c r="J124" s="366"/>
    </row>
    <row r="125" spans="1:10" x14ac:dyDescent="0.25">
      <c r="D125" s="366"/>
      <c r="E125" s="366"/>
      <c r="F125" s="366"/>
      <c r="G125" s="366"/>
      <c r="H125" s="366"/>
      <c r="I125" s="366"/>
      <c r="J125" s="366"/>
    </row>
    <row r="126" spans="1:10" x14ac:dyDescent="0.25">
      <c r="D126" s="366"/>
      <c r="E126" s="366"/>
      <c r="F126" s="366"/>
      <c r="G126" s="366"/>
      <c r="H126" s="366"/>
      <c r="I126" s="366"/>
      <c r="J126" s="366"/>
    </row>
    <row r="127" spans="1:10" x14ac:dyDescent="0.25">
      <c r="D127" s="366"/>
      <c r="E127" s="366"/>
      <c r="F127" s="366"/>
      <c r="G127" s="366"/>
      <c r="H127" s="366"/>
      <c r="I127" s="366"/>
      <c r="J127" s="366"/>
    </row>
    <row r="128" spans="1:10" x14ac:dyDescent="0.25">
      <c r="D128" s="366"/>
      <c r="E128" s="366"/>
      <c r="F128" s="366"/>
      <c r="G128" s="366"/>
      <c r="H128" s="366"/>
      <c r="I128" s="366"/>
      <c r="J128" s="366"/>
    </row>
    <row r="129" spans="3:10" x14ac:dyDescent="0.25">
      <c r="D129" s="366"/>
      <c r="E129" s="366"/>
      <c r="F129" s="366"/>
      <c r="G129" s="366"/>
      <c r="H129" s="366"/>
      <c r="I129" s="366"/>
      <c r="J129" s="366"/>
    </row>
    <row r="130" spans="3:10" x14ac:dyDescent="0.25">
      <c r="D130" s="366"/>
      <c r="E130" s="366"/>
      <c r="F130" s="366"/>
      <c r="G130" s="366"/>
      <c r="H130" s="366"/>
      <c r="I130" s="366"/>
      <c r="J130" s="366"/>
    </row>
    <row r="131" spans="3:10" x14ac:dyDescent="0.25">
      <c r="D131" s="366"/>
      <c r="E131" s="366"/>
      <c r="F131" s="366"/>
      <c r="G131" s="366"/>
      <c r="H131" s="366"/>
      <c r="I131" s="366"/>
      <c r="J131" s="366"/>
    </row>
    <row r="132" spans="3:10" x14ac:dyDescent="0.25">
      <c r="D132" s="366"/>
      <c r="E132" s="366"/>
      <c r="F132" s="366"/>
      <c r="G132" s="366"/>
      <c r="H132" s="366"/>
      <c r="I132" s="366"/>
      <c r="J132" s="366"/>
    </row>
    <row r="133" spans="3:10" x14ac:dyDescent="0.25">
      <c r="D133" s="366"/>
      <c r="E133" s="366"/>
      <c r="F133" s="366"/>
      <c r="G133" s="366"/>
      <c r="H133" s="366"/>
      <c r="I133" s="366"/>
      <c r="J133" s="366"/>
    </row>
    <row r="134" spans="3:10" x14ac:dyDescent="0.25">
      <c r="D134" s="366"/>
      <c r="E134" s="366"/>
      <c r="F134" s="366"/>
      <c r="G134" s="366"/>
      <c r="H134" s="366"/>
      <c r="I134" s="366"/>
      <c r="J134" s="366"/>
    </row>
    <row r="135" spans="3:10" x14ac:dyDescent="0.25">
      <c r="D135" s="366"/>
      <c r="E135" s="366"/>
      <c r="F135" s="366"/>
      <c r="G135" s="366"/>
      <c r="H135" s="366"/>
      <c r="I135" s="366"/>
      <c r="J135" s="366"/>
    </row>
    <row r="136" spans="3:10" x14ac:dyDescent="0.25">
      <c r="D136" s="366"/>
      <c r="E136" s="366"/>
      <c r="F136" s="366"/>
      <c r="G136" s="366"/>
      <c r="H136" s="366"/>
      <c r="I136" s="366"/>
      <c r="J136" s="366"/>
    </row>
    <row r="137" spans="3:10" x14ac:dyDescent="0.25">
      <c r="D137" s="366"/>
      <c r="E137" s="366"/>
      <c r="F137" s="366"/>
      <c r="G137" s="366"/>
      <c r="H137" s="366"/>
      <c r="I137" s="366"/>
      <c r="J137" s="366"/>
    </row>
    <row r="138" spans="3:10" x14ac:dyDescent="0.25">
      <c r="D138" s="366"/>
      <c r="E138" s="366"/>
      <c r="F138" s="366"/>
      <c r="G138" s="366"/>
      <c r="H138" s="366"/>
      <c r="I138" s="366"/>
      <c r="J138" s="366"/>
    </row>
    <row r="139" spans="3:10" x14ac:dyDescent="0.25">
      <c r="D139" s="366"/>
      <c r="E139" s="366"/>
      <c r="F139" s="366"/>
      <c r="G139" s="366"/>
      <c r="H139" s="366"/>
      <c r="I139" s="366"/>
      <c r="J139" s="366"/>
    </row>
    <row r="140" spans="3:10" x14ac:dyDescent="0.25">
      <c r="D140" s="366"/>
      <c r="E140" s="366"/>
      <c r="F140" s="366"/>
      <c r="G140" s="366"/>
      <c r="H140" s="366"/>
      <c r="I140" s="366"/>
      <c r="J140" s="366"/>
    </row>
    <row r="141" spans="3:10" x14ac:dyDescent="0.25">
      <c r="D141" s="366"/>
      <c r="E141" s="366"/>
      <c r="F141" s="366"/>
      <c r="G141" s="366"/>
      <c r="H141" s="366"/>
      <c r="I141" s="366"/>
      <c r="J141" s="366"/>
    </row>
    <row r="142" spans="3:10" x14ac:dyDescent="0.25">
      <c r="C142" s="366"/>
      <c r="D142" s="366"/>
      <c r="E142" s="366"/>
      <c r="F142" s="366"/>
      <c r="G142" s="366"/>
      <c r="H142" s="366"/>
      <c r="I142" s="366"/>
      <c r="J142" s="366"/>
    </row>
    <row r="143" spans="3:10" x14ac:dyDescent="0.25">
      <c r="D143" s="366"/>
      <c r="E143" s="366"/>
      <c r="F143" s="366"/>
      <c r="G143" s="366"/>
      <c r="H143" s="366"/>
      <c r="I143" s="366"/>
      <c r="J143" s="366"/>
    </row>
    <row r="144" spans="3:10" x14ac:dyDescent="0.25">
      <c r="C144" s="366"/>
      <c r="D144" s="366"/>
      <c r="E144" s="366"/>
      <c r="F144" s="366"/>
      <c r="G144" s="366"/>
      <c r="H144" s="366"/>
      <c r="I144" s="366"/>
      <c r="J144" s="366"/>
    </row>
    <row r="145" spans="3:10" x14ac:dyDescent="0.25">
      <c r="C145" s="366"/>
      <c r="D145" s="366"/>
      <c r="E145" s="366"/>
      <c r="F145" s="366"/>
      <c r="G145" s="366"/>
      <c r="H145" s="366"/>
      <c r="I145" s="366"/>
      <c r="J145" s="366"/>
    </row>
    <row r="146" spans="3:10" x14ac:dyDescent="0.25">
      <c r="D146" s="366"/>
      <c r="E146" s="366"/>
      <c r="F146" s="366"/>
      <c r="G146" s="366"/>
      <c r="H146" s="366"/>
      <c r="I146" s="366"/>
      <c r="J146" s="366"/>
    </row>
    <row r="147" spans="3:10" x14ac:dyDescent="0.25">
      <c r="D147" s="366"/>
      <c r="E147" s="366"/>
      <c r="F147" s="366"/>
      <c r="G147" s="366"/>
      <c r="H147" s="366"/>
      <c r="I147" s="366"/>
      <c r="J147" s="366"/>
    </row>
    <row r="148" spans="3:10" x14ac:dyDescent="0.25">
      <c r="D148" s="366"/>
      <c r="E148" s="366"/>
      <c r="F148" s="366"/>
      <c r="G148" s="366"/>
      <c r="H148" s="366"/>
      <c r="I148" s="366"/>
      <c r="J148" s="366"/>
    </row>
    <row r="149" spans="3:10" x14ac:dyDescent="0.25">
      <c r="D149" s="366"/>
      <c r="E149" s="366"/>
      <c r="F149" s="366"/>
      <c r="G149" s="366"/>
      <c r="H149" s="366"/>
      <c r="I149" s="366"/>
      <c r="J149" s="366"/>
    </row>
    <row r="150" spans="3:10" x14ac:dyDescent="0.25">
      <c r="D150" s="366"/>
      <c r="E150" s="366"/>
      <c r="F150" s="366"/>
      <c r="G150" s="366"/>
      <c r="H150" s="366"/>
      <c r="I150" s="366"/>
      <c r="J150" s="366"/>
    </row>
    <row r="151" spans="3:10" x14ac:dyDescent="0.25">
      <c r="D151" s="366"/>
      <c r="E151" s="366"/>
      <c r="F151" s="366"/>
      <c r="G151" s="366"/>
      <c r="H151" s="366"/>
      <c r="I151" s="366"/>
      <c r="J151" s="366"/>
    </row>
    <row r="152" spans="3:10" x14ac:dyDescent="0.25">
      <c r="D152" s="366"/>
      <c r="E152" s="366"/>
      <c r="F152" s="366"/>
      <c r="G152" s="366"/>
      <c r="H152" s="366"/>
      <c r="I152" s="366"/>
      <c r="J152" s="366"/>
    </row>
    <row r="153" spans="3:10" x14ac:dyDescent="0.25">
      <c r="D153" s="366"/>
      <c r="E153" s="366"/>
      <c r="F153" s="366"/>
      <c r="G153" s="366"/>
      <c r="H153" s="366"/>
      <c r="I153" s="366"/>
      <c r="J153" s="366"/>
    </row>
    <row r="154" spans="3:10" x14ac:dyDescent="0.25">
      <c r="D154" s="366"/>
      <c r="E154" s="366"/>
      <c r="F154" s="366"/>
      <c r="G154" s="366"/>
      <c r="H154" s="366"/>
      <c r="I154" s="366"/>
      <c r="J154" s="366"/>
    </row>
    <row r="155" spans="3:10" x14ac:dyDescent="0.25">
      <c r="D155" s="366"/>
      <c r="E155" s="366"/>
      <c r="F155" s="366"/>
      <c r="G155" s="366"/>
      <c r="H155" s="366"/>
      <c r="I155" s="366"/>
      <c r="J155" s="366"/>
    </row>
    <row r="156" spans="3:10" x14ac:dyDescent="0.25">
      <c r="D156" s="366"/>
      <c r="E156" s="366"/>
      <c r="F156" s="366"/>
      <c r="G156" s="366"/>
      <c r="H156" s="366"/>
      <c r="I156" s="366"/>
      <c r="J156" s="366"/>
    </row>
    <row r="157" spans="3:10" x14ac:dyDescent="0.25">
      <c r="D157" s="366"/>
      <c r="E157" s="366"/>
      <c r="F157" s="366"/>
      <c r="G157" s="366"/>
      <c r="H157" s="366"/>
      <c r="I157" s="366"/>
      <c r="J157" s="366"/>
    </row>
    <row r="158" spans="3:10" x14ac:dyDescent="0.25">
      <c r="D158" s="366"/>
      <c r="E158" s="366"/>
      <c r="F158" s="366"/>
      <c r="G158" s="366"/>
      <c r="H158" s="366"/>
      <c r="I158" s="366"/>
      <c r="J158" s="366"/>
    </row>
    <row r="159" spans="3:10" x14ac:dyDescent="0.25">
      <c r="D159" s="366"/>
      <c r="E159" s="366"/>
      <c r="F159" s="366"/>
      <c r="G159" s="366"/>
      <c r="H159" s="366"/>
      <c r="I159" s="366"/>
      <c r="J159" s="366"/>
    </row>
    <row r="160" spans="3:10" x14ac:dyDescent="0.25">
      <c r="D160" s="366"/>
      <c r="E160" s="366"/>
      <c r="F160" s="366"/>
      <c r="G160" s="366"/>
      <c r="H160" s="366"/>
      <c r="I160" s="366"/>
      <c r="J160" s="366"/>
    </row>
    <row r="161" spans="3:10" x14ac:dyDescent="0.25">
      <c r="D161" s="366"/>
      <c r="E161" s="366"/>
      <c r="F161" s="366"/>
      <c r="G161" s="366"/>
      <c r="H161" s="366"/>
      <c r="I161" s="366"/>
      <c r="J161" s="366"/>
    </row>
    <row r="162" spans="3:10" x14ac:dyDescent="0.25">
      <c r="D162" s="366"/>
      <c r="E162" s="366"/>
      <c r="F162" s="366"/>
      <c r="G162" s="366"/>
      <c r="H162" s="366"/>
      <c r="I162" s="366"/>
      <c r="J162" s="366"/>
    </row>
    <row r="163" spans="3:10" x14ac:dyDescent="0.25">
      <c r="D163" s="366"/>
      <c r="E163" s="366"/>
      <c r="F163" s="366"/>
      <c r="G163" s="366"/>
      <c r="H163" s="366"/>
      <c r="I163" s="366"/>
      <c r="J163" s="366"/>
    </row>
    <row r="164" spans="3:10" x14ac:dyDescent="0.25">
      <c r="C164" s="469"/>
      <c r="D164" s="366"/>
      <c r="E164" s="366"/>
      <c r="F164" s="366"/>
      <c r="G164" s="366"/>
      <c r="H164" s="366"/>
      <c r="I164" s="366"/>
      <c r="J164" s="366"/>
    </row>
    <row r="165" spans="3:10" x14ac:dyDescent="0.25">
      <c r="C165" s="366"/>
      <c r="D165" s="366"/>
      <c r="E165" s="366"/>
      <c r="F165" s="366"/>
      <c r="G165" s="366"/>
      <c r="H165" s="366"/>
      <c r="I165" s="366"/>
      <c r="J165" s="366"/>
    </row>
    <row r="166" spans="3:10" x14ac:dyDescent="0.25">
      <c r="C166" s="470"/>
      <c r="D166" s="366"/>
      <c r="E166" s="366"/>
      <c r="F166" s="366"/>
      <c r="G166" s="366"/>
      <c r="H166" s="366"/>
      <c r="I166" s="366"/>
      <c r="J166" s="366"/>
    </row>
    <row r="167" spans="3:10" x14ac:dyDescent="0.25">
      <c r="D167" s="366"/>
      <c r="E167" s="366"/>
      <c r="F167" s="366"/>
      <c r="G167" s="366"/>
      <c r="H167" s="366"/>
      <c r="I167" s="366"/>
      <c r="J167" s="366"/>
    </row>
    <row r="168" spans="3:10" x14ac:dyDescent="0.25">
      <c r="C168" s="381"/>
      <c r="D168" s="366"/>
      <c r="E168" s="366"/>
      <c r="F168" s="366"/>
      <c r="G168" s="366"/>
      <c r="H168" s="366"/>
      <c r="I168" s="366"/>
      <c r="J168" s="366"/>
    </row>
    <row r="169" spans="3:10" x14ac:dyDescent="0.25">
      <c r="D169" s="366"/>
      <c r="E169" s="366"/>
      <c r="F169" s="366"/>
      <c r="G169" s="366"/>
      <c r="H169" s="366"/>
      <c r="I169" s="366"/>
      <c r="J169" s="366"/>
    </row>
    <row r="170" spans="3:10" x14ac:dyDescent="0.25">
      <c r="C170" s="366"/>
      <c r="D170" s="366"/>
      <c r="E170" s="366"/>
      <c r="F170" s="366"/>
      <c r="G170" s="366"/>
      <c r="H170" s="366"/>
      <c r="I170" s="366"/>
      <c r="J170" s="366"/>
    </row>
    <row r="171" spans="3:10" x14ac:dyDescent="0.25">
      <c r="C171" s="366"/>
      <c r="D171" s="366"/>
      <c r="E171" s="366"/>
      <c r="F171" s="366"/>
      <c r="G171" s="366"/>
      <c r="H171" s="366"/>
      <c r="I171" s="366"/>
      <c r="J171" s="366"/>
    </row>
    <row r="172" spans="3:10" x14ac:dyDescent="0.25">
      <c r="C172" s="381"/>
      <c r="D172" s="366"/>
      <c r="E172" s="366"/>
      <c r="F172" s="366"/>
      <c r="G172" s="366"/>
      <c r="H172" s="366"/>
      <c r="I172" s="366"/>
      <c r="J172" s="366"/>
    </row>
    <row r="173" spans="3:10" x14ac:dyDescent="0.25">
      <c r="C173" s="366"/>
      <c r="D173" s="366"/>
      <c r="E173" s="366"/>
      <c r="F173" s="366"/>
      <c r="G173" s="366"/>
      <c r="H173" s="366"/>
      <c r="I173" s="366"/>
      <c r="J173" s="366"/>
    </row>
    <row r="174" spans="3:10" x14ac:dyDescent="0.25">
      <c r="C174" s="381"/>
      <c r="D174" s="366"/>
      <c r="E174" s="366"/>
      <c r="F174" s="366"/>
      <c r="G174" s="366"/>
      <c r="H174" s="366"/>
      <c r="I174" s="366"/>
      <c r="J174" s="366"/>
    </row>
    <row r="175" spans="3:10" x14ac:dyDescent="0.25">
      <c r="C175" s="381"/>
      <c r="D175" s="366"/>
      <c r="E175" s="366"/>
      <c r="F175" s="366"/>
      <c r="G175" s="366"/>
      <c r="H175" s="366"/>
      <c r="I175" s="366"/>
      <c r="J175" s="366"/>
    </row>
    <row r="176" spans="3:10" x14ac:dyDescent="0.25">
      <c r="C176" s="467"/>
      <c r="D176" s="366"/>
      <c r="E176" s="366"/>
      <c r="F176" s="366"/>
      <c r="G176" s="366"/>
      <c r="H176" s="366"/>
      <c r="I176" s="366"/>
      <c r="J176" s="366"/>
    </row>
    <row r="177" spans="3:10" x14ac:dyDescent="0.25">
      <c r="C177" s="381"/>
      <c r="D177" s="366"/>
      <c r="E177" s="366"/>
      <c r="F177" s="366"/>
      <c r="G177" s="366"/>
      <c r="H177" s="366"/>
      <c r="I177" s="366"/>
      <c r="J177" s="366"/>
    </row>
    <row r="178" spans="3:10" x14ac:dyDescent="0.25">
      <c r="C178" s="381"/>
      <c r="D178" s="366"/>
      <c r="E178" s="366"/>
      <c r="F178" s="366"/>
      <c r="G178" s="366"/>
      <c r="H178" s="366"/>
      <c r="I178" s="366"/>
      <c r="J178" s="366"/>
    </row>
    <row r="179" spans="3:10" x14ac:dyDescent="0.25">
      <c r="C179" s="381"/>
      <c r="D179" s="366"/>
      <c r="E179" s="366"/>
      <c r="F179" s="366"/>
      <c r="G179" s="366"/>
      <c r="H179" s="366"/>
      <c r="I179" s="366"/>
      <c r="J179" s="366"/>
    </row>
    <row r="180" spans="3:10" x14ac:dyDescent="0.25">
      <c r="C180" s="381"/>
      <c r="D180" s="366"/>
      <c r="E180" s="366"/>
      <c r="F180" s="366"/>
      <c r="G180" s="366"/>
      <c r="H180" s="366"/>
      <c r="I180" s="366"/>
      <c r="J180" s="366"/>
    </row>
    <row r="181" spans="3:10" x14ac:dyDescent="0.25">
      <c r="C181" s="381"/>
      <c r="D181" s="366"/>
      <c r="E181" s="366"/>
      <c r="F181" s="366"/>
      <c r="G181" s="366"/>
      <c r="H181" s="366"/>
      <c r="I181" s="366"/>
      <c r="J181" s="366"/>
    </row>
    <row r="182" spans="3:10" x14ac:dyDescent="0.25">
      <c r="C182" s="366"/>
      <c r="D182" s="366"/>
      <c r="E182" s="366"/>
      <c r="F182" s="366"/>
      <c r="G182" s="366"/>
      <c r="H182" s="366"/>
      <c r="I182" s="366"/>
      <c r="J182" s="366"/>
    </row>
    <row r="183" spans="3:10" x14ac:dyDescent="0.25">
      <c r="D183" s="366"/>
      <c r="E183" s="366"/>
      <c r="F183" s="366"/>
      <c r="G183" s="366"/>
      <c r="H183" s="366"/>
      <c r="I183" s="366"/>
      <c r="J183" s="366"/>
    </row>
    <row r="184" spans="3:10" x14ac:dyDescent="0.25">
      <c r="D184" s="366"/>
      <c r="E184" s="366"/>
      <c r="F184" s="366"/>
      <c r="G184" s="366"/>
      <c r="H184" s="366"/>
      <c r="I184" s="366"/>
      <c r="J184" s="366"/>
    </row>
    <row r="185" spans="3:10" x14ac:dyDescent="0.25">
      <c r="D185" s="366"/>
      <c r="E185" s="366"/>
      <c r="F185" s="366"/>
      <c r="G185" s="366"/>
      <c r="H185" s="366"/>
      <c r="I185" s="366"/>
      <c r="J185" s="366"/>
    </row>
    <row r="186" spans="3:10" x14ac:dyDescent="0.25">
      <c r="D186" s="366"/>
      <c r="E186" s="366"/>
      <c r="F186" s="366"/>
      <c r="G186" s="366"/>
      <c r="H186" s="366"/>
      <c r="I186" s="366"/>
      <c r="J186" s="366"/>
    </row>
    <row r="187" spans="3:10" x14ac:dyDescent="0.25">
      <c r="D187" s="366"/>
      <c r="E187" s="366"/>
      <c r="F187" s="366"/>
      <c r="G187" s="366"/>
      <c r="H187" s="366"/>
      <c r="I187" s="366"/>
      <c r="J187" s="366"/>
    </row>
    <row r="188" spans="3:10" x14ac:dyDescent="0.25">
      <c r="D188" s="366"/>
      <c r="E188" s="366"/>
      <c r="F188" s="366"/>
      <c r="G188" s="366"/>
      <c r="H188" s="366"/>
      <c r="I188" s="366"/>
      <c r="J188" s="366"/>
    </row>
    <row r="189" spans="3:10" x14ac:dyDescent="0.25">
      <c r="D189" s="366"/>
      <c r="E189" s="366"/>
      <c r="F189" s="366"/>
      <c r="G189" s="366"/>
      <c r="H189" s="366"/>
      <c r="I189" s="366"/>
      <c r="J189" s="366"/>
    </row>
    <row r="190" spans="3:10" x14ac:dyDescent="0.25">
      <c r="D190" s="366"/>
      <c r="E190" s="366"/>
      <c r="F190" s="366"/>
      <c r="G190" s="366"/>
      <c r="H190" s="366"/>
      <c r="I190" s="366"/>
      <c r="J190" s="366"/>
    </row>
    <row r="191" spans="3:10" x14ac:dyDescent="0.25">
      <c r="D191" s="366"/>
      <c r="E191" s="366"/>
      <c r="F191" s="366"/>
      <c r="G191" s="366"/>
      <c r="H191" s="366"/>
      <c r="I191" s="366"/>
      <c r="J191" s="366"/>
    </row>
    <row r="192" spans="3:10" x14ac:dyDescent="0.25">
      <c r="D192" s="366"/>
      <c r="E192" s="366"/>
      <c r="F192" s="366"/>
      <c r="G192" s="366"/>
      <c r="H192" s="366"/>
      <c r="I192" s="366"/>
      <c r="J192" s="366"/>
    </row>
    <row r="193" spans="4:10" x14ac:dyDescent="0.25">
      <c r="D193" s="366"/>
      <c r="E193" s="366"/>
      <c r="F193" s="366"/>
      <c r="G193" s="366"/>
      <c r="H193" s="366"/>
      <c r="I193" s="366"/>
      <c r="J193" s="366"/>
    </row>
    <row r="194" spans="4:10" x14ac:dyDescent="0.25">
      <c r="D194" s="366"/>
      <c r="E194" s="366"/>
      <c r="F194" s="366"/>
      <c r="G194" s="366"/>
      <c r="H194" s="366"/>
      <c r="I194" s="366"/>
      <c r="J194" s="366"/>
    </row>
    <row r="195" spans="4:10" x14ac:dyDescent="0.25">
      <c r="D195" s="366"/>
      <c r="E195" s="366"/>
      <c r="F195" s="366"/>
      <c r="G195" s="366"/>
      <c r="H195" s="366"/>
      <c r="I195" s="366"/>
      <c r="J195" s="366"/>
    </row>
    <row r="196" spans="4:10" x14ac:dyDescent="0.25">
      <c r="D196" s="366"/>
      <c r="E196" s="366"/>
      <c r="F196" s="366"/>
      <c r="G196" s="366"/>
      <c r="H196" s="366"/>
      <c r="I196" s="366"/>
      <c r="J196" s="366"/>
    </row>
    <row r="197" spans="4:10" x14ac:dyDescent="0.25">
      <c r="D197" s="366"/>
      <c r="E197" s="366"/>
      <c r="F197" s="366"/>
      <c r="G197" s="366"/>
      <c r="H197" s="366"/>
      <c r="I197" s="366"/>
      <c r="J197" s="366"/>
    </row>
    <row r="198" spans="4:10" x14ac:dyDescent="0.25">
      <c r="D198" s="366"/>
      <c r="E198" s="366"/>
      <c r="F198" s="366"/>
      <c r="G198" s="366"/>
      <c r="H198" s="366"/>
      <c r="I198" s="366"/>
      <c r="J198" s="366"/>
    </row>
    <row r="199" spans="4:10" x14ac:dyDescent="0.25">
      <c r="D199" s="366"/>
      <c r="E199" s="366"/>
      <c r="F199" s="366"/>
      <c r="G199" s="366"/>
      <c r="H199" s="366"/>
      <c r="I199" s="366"/>
      <c r="J199" s="366"/>
    </row>
    <row r="200" spans="4:10" x14ac:dyDescent="0.25">
      <c r="D200" s="366"/>
      <c r="E200" s="366"/>
      <c r="F200" s="366"/>
      <c r="G200" s="366"/>
      <c r="H200" s="366"/>
      <c r="I200" s="366"/>
      <c r="J200" s="366"/>
    </row>
    <row r="201" spans="4:10" x14ac:dyDescent="0.25">
      <c r="D201" s="366"/>
      <c r="E201" s="366"/>
      <c r="F201" s="366"/>
      <c r="G201" s="366"/>
      <c r="H201" s="366"/>
      <c r="I201" s="366"/>
      <c r="J201" s="366"/>
    </row>
    <row r="202" spans="4:10" x14ac:dyDescent="0.25">
      <c r="D202" s="366"/>
      <c r="E202" s="366"/>
      <c r="F202" s="366"/>
      <c r="G202" s="366"/>
      <c r="H202" s="366"/>
      <c r="I202" s="366"/>
      <c r="J202" s="366"/>
    </row>
    <row r="203" spans="4:10" x14ac:dyDescent="0.25">
      <c r="D203" s="366"/>
      <c r="E203" s="366"/>
      <c r="F203" s="366"/>
      <c r="G203" s="366"/>
      <c r="H203" s="366"/>
      <c r="I203" s="366"/>
      <c r="J203" s="366"/>
    </row>
    <row r="204" spans="4:10" x14ac:dyDescent="0.25">
      <c r="D204" s="366"/>
      <c r="E204" s="366"/>
      <c r="F204" s="366"/>
      <c r="G204" s="366"/>
      <c r="H204" s="366"/>
      <c r="I204" s="366"/>
      <c r="J204" s="366"/>
    </row>
    <row r="205" spans="4:10" x14ac:dyDescent="0.25">
      <c r="D205" s="366"/>
      <c r="E205" s="366"/>
      <c r="F205" s="366"/>
      <c r="G205" s="366"/>
      <c r="H205" s="366"/>
      <c r="I205" s="366"/>
      <c r="J205" s="366"/>
    </row>
    <row r="206" spans="4:10" x14ac:dyDescent="0.25">
      <c r="D206" s="366"/>
      <c r="E206" s="366"/>
      <c r="F206" s="366"/>
      <c r="G206" s="366"/>
      <c r="H206" s="366"/>
      <c r="I206" s="366"/>
      <c r="J206" s="366"/>
    </row>
    <row r="207" spans="4:10" x14ac:dyDescent="0.25">
      <c r="D207" s="366"/>
      <c r="E207" s="366"/>
      <c r="F207" s="366"/>
      <c r="G207" s="366"/>
      <c r="H207" s="366"/>
      <c r="I207" s="366"/>
      <c r="J207" s="366"/>
    </row>
    <row r="208" spans="4:10" x14ac:dyDescent="0.25">
      <c r="D208" s="366"/>
      <c r="E208" s="366"/>
      <c r="F208" s="366"/>
      <c r="G208" s="366"/>
      <c r="H208" s="366"/>
      <c r="I208" s="366"/>
      <c r="J208" s="366"/>
    </row>
    <row r="209" spans="4:10" x14ac:dyDescent="0.25">
      <c r="D209" s="366"/>
      <c r="E209" s="366"/>
      <c r="F209" s="366"/>
      <c r="G209" s="366"/>
      <c r="H209" s="366"/>
      <c r="I209" s="366"/>
      <c r="J209" s="366"/>
    </row>
    <row r="210" spans="4:10" x14ac:dyDescent="0.25">
      <c r="D210" s="366"/>
      <c r="E210" s="366"/>
      <c r="F210" s="366"/>
      <c r="G210" s="366"/>
      <c r="H210" s="366"/>
      <c r="I210" s="366"/>
      <c r="J210" s="366"/>
    </row>
    <row r="211" spans="4:10" x14ac:dyDescent="0.25">
      <c r="D211" s="366"/>
      <c r="E211" s="366"/>
      <c r="F211" s="366"/>
      <c r="G211" s="366"/>
      <c r="H211" s="366"/>
      <c r="I211" s="366"/>
      <c r="J211" s="366"/>
    </row>
    <row r="212" spans="4:10" x14ac:dyDescent="0.25">
      <c r="D212" s="366"/>
      <c r="E212" s="366"/>
      <c r="F212" s="366"/>
      <c r="G212" s="366"/>
      <c r="H212" s="366"/>
      <c r="I212" s="366"/>
      <c r="J212" s="366"/>
    </row>
    <row r="213" spans="4:10" x14ac:dyDescent="0.25">
      <c r="D213" s="366"/>
      <c r="E213" s="366"/>
      <c r="F213" s="366"/>
      <c r="G213" s="366"/>
      <c r="H213" s="366"/>
      <c r="I213" s="366"/>
      <c r="J213" s="366"/>
    </row>
    <row r="214" spans="4:10" x14ac:dyDescent="0.25">
      <c r="D214" s="366"/>
      <c r="E214" s="366"/>
      <c r="F214" s="366"/>
      <c r="G214" s="366"/>
      <c r="H214" s="366"/>
      <c r="I214" s="366"/>
      <c r="J214" s="366"/>
    </row>
    <row r="215" spans="4:10" x14ac:dyDescent="0.25">
      <c r="D215" s="366"/>
      <c r="E215" s="366"/>
      <c r="F215" s="366"/>
      <c r="G215" s="366"/>
      <c r="H215" s="366"/>
      <c r="I215" s="366"/>
      <c r="J215" s="366"/>
    </row>
    <row r="216" spans="4:10" x14ac:dyDescent="0.25">
      <c r="D216" s="366"/>
      <c r="E216" s="366"/>
      <c r="F216" s="366"/>
      <c r="G216" s="366"/>
      <c r="H216" s="366"/>
      <c r="I216" s="366"/>
      <c r="J216" s="366"/>
    </row>
    <row r="217" spans="4:10" x14ac:dyDescent="0.25">
      <c r="D217" s="366"/>
      <c r="E217" s="366"/>
      <c r="F217" s="366"/>
      <c r="G217" s="366"/>
      <c r="H217" s="366"/>
      <c r="I217" s="366"/>
      <c r="J217" s="366"/>
    </row>
    <row r="218" spans="4:10" x14ac:dyDescent="0.25">
      <c r="D218" s="366"/>
      <c r="E218" s="366"/>
      <c r="F218" s="366"/>
      <c r="G218" s="366"/>
      <c r="H218" s="366"/>
      <c r="I218" s="366"/>
      <c r="J218" s="366"/>
    </row>
    <row r="219" spans="4:10" x14ac:dyDescent="0.25">
      <c r="D219" s="366"/>
      <c r="E219" s="366"/>
      <c r="F219" s="366"/>
      <c r="G219" s="366"/>
      <c r="H219" s="366"/>
      <c r="I219" s="366"/>
      <c r="J219" s="366"/>
    </row>
    <row r="220" spans="4:10" x14ac:dyDescent="0.25">
      <c r="D220" s="366"/>
      <c r="E220" s="366"/>
      <c r="F220" s="366"/>
      <c r="G220" s="366"/>
      <c r="H220" s="366"/>
      <c r="I220" s="366"/>
      <c r="J220" s="366"/>
    </row>
    <row r="221" spans="4:10" x14ac:dyDescent="0.25">
      <c r="D221" s="366"/>
      <c r="E221" s="366"/>
      <c r="F221" s="366"/>
      <c r="G221" s="366"/>
      <c r="H221" s="366"/>
      <c r="I221" s="366"/>
      <c r="J221" s="366"/>
    </row>
    <row r="222" spans="4:10" x14ac:dyDescent="0.25">
      <c r="D222" s="366"/>
      <c r="E222" s="366"/>
      <c r="F222" s="366"/>
      <c r="G222" s="366"/>
      <c r="H222" s="366"/>
      <c r="I222" s="366"/>
      <c r="J222" s="366"/>
    </row>
    <row r="223" spans="4:10" x14ac:dyDescent="0.25">
      <c r="D223" s="366"/>
      <c r="E223" s="366"/>
      <c r="F223" s="366"/>
      <c r="G223" s="366"/>
      <c r="H223" s="366"/>
      <c r="I223" s="366"/>
      <c r="J223" s="366"/>
    </row>
    <row r="224" spans="4:10" x14ac:dyDescent="0.25">
      <c r="D224" s="366"/>
      <c r="E224" s="366"/>
      <c r="F224" s="366"/>
      <c r="G224" s="366"/>
      <c r="H224" s="366"/>
      <c r="I224" s="366"/>
      <c r="J224" s="366"/>
    </row>
    <row r="225" spans="4:10" x14ac:dyDescent="0.25">
      <c r="D225" s="366"/>
      <c r="E225" s="366"/>
      <c r="F225" s="366"/>
      <c r="G225" s="366"/>
      <c r="H225" s="366"/>
      <c r="I225" s="366"/>
      <c r="J225" s="366"/>
    </row>
    <row r="226" spans="4:10" x14ac:dyDescent="0.25">
      <c r="D226" s="366"/>
      <c r="E226" s="366"/>
      <c r="F226" s="366"/>
      <c r="G226" s="366"/>
      <c r="H226" s="366"/>
      <c r="I226" s="366"/>
      <c r="J226" s="366"/>
    </row>
    <row r="227" spans="4:10" x14ac:dyDescent="0.25">
      <c r="D227" s="366"/>
      <c r="E227" s="366"/>
      <c r="F227" s="366"/>
      <c r="G227" s="366"/>
      <c r="H227" s="366"/>
      <c r="I227" s="366"/>
      <c r="J227" s="366"/>
    </row>
    <row r="228" spans="4:10" x14ac:dyDescent="0.25">
      <c r="D228" s="366"/>
      <c r="E228" s="366"/>
      <c r="F228" s="366"/>
      <c r="G228" s="366"/>
      <c r="H228" s="366"/>
      <c r="I228" s="366"/>
      <c r="J228" s="366"/>
    </row>
    <row r="229" spans="4:10" x14ac:dyDescent="0.25">
      <c r="D229" s="366"/>
      <c r="E229" s="366"/>
      <c r="F229" s="366"/>
      <c r="G229" s="366"/>
      <c r="H229" s="366"/>
      <c r="I229" s="366"/>
      <c r="J229" s="366"/>
    </row>
    <row r="230" spans="4:10" x14ac:dyDescent="0.25">
      <c r="D230" s="366"/>
      <c r="E230" s="366"/>
      <c r="F230" s="366"/>
      <c r="G230" s="366"/>
      <c r="H230" s="366"/>
      <c r="I230" s="366"/>
      <c r="J230" s="366"/>
    </row>
    <row r="231" spans="4:10" x14ac:dyDescent="0.25">
      <c r="D231" s="366"/>
      <c r="E231" s="366"/>
      <c r="F231" s="366"/>
      <c r="G231" s="366"/>
      <c r="H231" s="366"/>
      <c r="I231" s="366"/>
      <c r="J231" s="366"/>
    </row>
    <row r="232" spans="4:10" x14ac:dyDescent="0.25">
      <c r="D232" s="366"/>
      <c r="E232" s="366"/>
      <c r="F232" s="366"/>
      <c r="G232" s="366"/>
      <c r="H232" s="366"/>
      <c r="I232" s="366"/>
      <c r="J232" s="366"/>
    </row>
    <row r="233" spans="4:10" x14ac:dyDescent="0.25">
      <c r="D233" s="366"/>
      <c r="E233" s="366"/>
      <c r="F233" s="366"/>
      <c r="G233" s="366"/>
      <c r="H233" s="366"/>
      <c r="I233" s="366"/>
      <c r="J233" s="366"/>
    </row>
    <row r="234" spans="4:10" x14ac:dyDescent="0.25">
      <c r="D234" s="366"/>
      <c r="E234" s="366"/>
      <c r="F234" s="366"/>
      <c r="G234" s="366"/>
      <c r="H234" s="366"/>
      <c r="I234" s="366"/>
      <c r="J234" s="366"/>
    </row>
    <row r="235" spans="4:10" x14ac:dyDescent="0.25">
      <c r="D235" s="366"/>
      <c r="E235" s="366"/>
      <c r="F235" s="366"/>
      <c r="G235" s="366"/>
      <c r="H235" s="366"/>
      <c r="I235" s="366"/>
      <c r="J235" s="366"/>
    </row>
    <row r="236" spans="4:10" x14ac:dyDescent="0.25">
      <c r="D236" s="366"/>
      <c r="E236" s="366"/>
      <c r="F236" s="366"/>
      <c r="G236" s="366"/>
      <c r="H236" s="366"/>
      <c r="I236" s="366"/>
      <c r="J236" s="366"/>
    </row>
    <row r="237" spans="4:10" x14ac:dyDescent="0.25">
      <c r="D237" s="366"/>
      <c r="E237" s="366"/>
      <c r="F237" s="366"/>
      <c r="G237" s="366"/>
      <c r="H237" s="366"/>
      <c r="I237" s="366"/>
      <c r="J237" s="366"/>
    </row>
    <row r="238" spans="4:10" x14ac:dyDescent="0.25">
      <c r="D238" s="366"/>
      <c r="E238" s="366"/>
      <c r="F238" s="366"/>
      <c r="G238" s="366"/>
      <c r="H238" s="366"/>
      <c r="I238" s="366"/>
      <c r="J238" s="366"/>
    </row>
    <row r="239" spans="4:10" x14ac:dyDescent="0.25">
      <c r="D239" s="366"/>
      <c r="E239" s="366"/>
      <c r="F239" s="366"/>
      <c r="G239" s="366"/>
      <c r="H239" s="366"/>
      <c r="I239" s="366"/>
      <c r="J239" s="366"/>
    </row>
    <row r="240" spans="4:10" x14ac:dyDescent="0.25">
      <c r="D240" s="366"/>
      <c r="E240" s="366"/>
      <c r="F240" s="366"/>
      <c r="G240" s="366"/>
      <c r="H240" s="366"/>
      <c r="I240" s="366"/>
      <c r="J240" s="366"/>
    </row>
    <row r="241" spans="4:10" x14ac:dyDescent="0.25">
      <c r="D241" s="366"/>
      <c r="E241" s="366"/>
      <c r="F241" s="366"/>
      <c r="G241" s="366"/>
      <c r="H241" s="366"/>
      <c r="I241" s="366"/>
      <c r="J241" s="366"/>
    </row>
    <row r="242" spans="4:10" x14ac:dyDescent="0.25">
      <c r="D242" s="366"/>
      <c r="E242" s="366"/>
      <c r="F242" s="366"/>
      <c r="G242" s="366"/>
      <c r="H242" s="366"/>
      <c r="I242" s="366"/>
      <c r="J242" s="366"/>
    </row>
    <row r="243" spans="4:10" x14ac:dyDescent="0.25">
      <c r="D243" s="366"/>
      <c r="E243" s="366"/>
      <c r="F243" s="366"/>
      <c r="G243" s="366"/>
      <c r="H243" s="366"/>
      <c r="I243" s="366"/>
      <c r="J243" s="366"/>
    </row>
    <row r="244" spans="4:10" x14ac:dyDescent="0.25">
      <c r="D244" s="366"/>
      <c r="E244" s="366"/>
      <c r="F244" s="366"/>
      <c r="G244" s="366"/>
      <c r="H244" s="366"/>
      <c r="I244" s="366"/>
      <c r="J244" s="366"/>
    </row>
    <row r="245" spans="4:10" x14ac:dyDescent="0.25">
      <c r="D245" s="366"/>
      <c r="E245" s="366"/>
      <c r="F245" s="366"/>
      <c r="G245" s="366"/>
      <c r="H245" s="366"/>
      <c r="I245" s="366"/>
      <c r="J245" s="366"/>
    </row>
    <row r="246" spans="4:10" x14ac:dyDescent="0.25">
      <c r="D246" s="366"/>
      <c r="E246" s="366"/>
      <c r="F246" s="366"/>
      <c r="G246" s="366"/>
      <c r="H246" s="366"/>
      <c r="I246" s="366"/>
      <c r="J246" s="366"/>
    </row>
    <row r="247" spans="4:10" x14ac:dyDescent="0.25">
      <c r="D247" s="366"/>
      <c r="E247" s="366"/>
      <c r="F247" s="366"/>
      <c r="G247" s="366"/>
      <c r="H247" s="366"/>
      <c r="I247" s="366"/>
      <c r="J247" s="366"/>
    </row>
    <row r="248" spans="4:10" x14ac:dyDescent="0.25">
      <c r="D248" s="366"/>
      <c r="E248" s="366"/>
      <c r="F248" s="366"/>
      <c r="G248" s="366"/>
      <c r="H248" s="366"/>
      <c r="I248" s="366"/>
      <c r="J248" s="366"/>
    </row>
    <row r="249" spans="4:10" x14ac:dyDescent="0.25">
      <c r="D249" s="366"/>
      <c r="E249" s="366"/>
      <c r="F249" s="366"/>
      <c r="G249" s="366"/>
      <c r="H249" s="366"/>
      <c r="I249" s="366"/>
      <c r="J249" s="366"/>
    </row>
    <row r="250" spans="4:10" x14ac:dyDescent="0.25">
      <c r="D250" s="366"/>
      <c r="E250" s="366"/>
      <c r="F250" s="366"/>
      <c r="G250" s="366"/>
      <c r="H250" s="366"/>
      <c r="I250" s="366"/>
      <c r="J250" s="366"/>
    </row>
    <row r="251" spans="4:10" x14ac:dyDescent="0.25">
      <c r="D251" s="366"/>
      <c r="E251" s="366"/>
      <c r="F251" s="366"/>
      <c r="G251" s="366"/>
      <c r="H251" s="366"/>
      <c r="I251" s="366"/>
      <c r="J251" s="366"/>
    </row>
    <row r="252" spans="4:10" x14ac:dyDescent="0.25">
      <c r="D252" s="366"/>
      <c r="E252" s="366"/>
      <c r="F252" s="366"/>
      <c r="G252" s="366"/>
      <c r="H252" s="366"/>
      <c r="I252" s="366"/>
      <c r="J252" s="366"/>
    </row>
    <row r="253" spans="4:10" x14ac:dyDescent="0.25">
      <c r="D253" s="366"/>
      <c r="E253" s="366"/>
      <c r="F253" s="366"/>
      <c r="G253" s="366"/>
      <c r="H253" s="366"/>
      <c r="I253" s="366"/>
      <c r="J253" s="366"/>
    </row>
    <row r="254" spans="4:10" x14ac:dyDescent="0.25">
      <c r="D254" s="366"/>
      <c r="E254" s="366"/>
      <c r="F254" s="366"/>
      <c r="G254" s="366"/>
      <c r="H254" s="366"/>
      <c r="I254" s="366"/>
      <c r="J254" s="366"/>
    </row>
    <row r="255" spans="4:10" x14ac:dyDescent="0.25">
      <c r="D255" s="366"/>
      <c r="E255" s="366"/>
      <c r="F255" s="366"/>
      <c r="G255" s="366"/>
      <c r="H255" s="366"/>
      <c r="I255" s="366"/>
      <c r="J255" s="366"/>
    </row>
    <row r="256" spans="4:10" x14ac:dyDescent="0.25">
      <c r="D256" s="366"/>
      <c r="E256" s="366"/>
      <c r="F256" s="366"/>
      <c r="G256" s="366"/>
      <c r="H256" s="366"/>
      <c r="I256" s="366"/>
      <c r="J256" s="366"/>
    </row>
    <row r="257" spans="4:10" x14ac:dyDescent="0.25">
      <c r="D257" s="366"/>
      <c r="E257" s="366"/>
      <c r="F257" s="366"/>
      <c r="G257" s="366"/>
      <c r="H257" s="366"/>
      <c r="I257" s="366"/>
      <c r="J257" s="366"/>
    </row>
    <row r="258" spans="4:10" x14ac:dyDescent="0.25">
      <c r="D258" s="366"/>
      <c r="E258" s="366"/>
      <c r="F258" s="366"/>
      <c r="G258" s="366"/>
      <c r="H258" s="366"/>
      <c r="I258" s="366"/>
      <c r="J258" s="366"/>
    </row>
    <row r="259" spans="4:10" x14ac:dyDescent="0.25">
      <c r="D259" s="366"/>
      <c r="E259" s="366"/>
      <c r="F259" s="366"/>
      <c r="G259" s="366"/>
      <c r="H259" s="366"/>
      <c r="I259" s="366"/>
      <c r="J259" s="366"/>
    </row>
    <row r="260" spans="4:10" x14ac:dyDescent="0.25">
      <c r="D260" s="366"/>
      <c r="E260" s="366"/>
      <c r="F260" s="366"/>
      <c r="G260" s="366"/>
      <c r="H260" s="366"/>
      <c r="I260" s="366"/>
      <c r="J260" s="366"/>
    </row>
    <row r="261" spans="4:10" x14ac:dyDescent="0.25">
      <c r="D261" s="366"/>
      <c r="E261" s="366"/>
      <c r="F261" s="366"/>
      <c r="G261" s="366"/>
      <c r="H261" s="366"/>
      <c r="I261" s="366"/>
      <c r="J261" s="366"/>
    </row>
    <row r="262" spans="4:10" x14ac:dyDescent="0.25">
      <c r="D262" s="366"/>
      <c r="E262" s="366"/>
      <c r="F262" s="366"/>
      <c r="G262" s="366"/>
      <c r="H262" s="366"/>
      <c r="I262" s="366"/>
      <c r="J262" s="366"/>
    </row>
    <row r="263" spans="4:10" x14ac:dyDescent="0.25">
      <c r="D263" s="366"/>
      <c r="E263" s="366"/>
      <c r="F263" s="366"/>
      <c r="G263" s="366"/>
      <c r="H263" s="366"/>
      <c r="I263" s="366"/>
      <c r="J263" s="366"/>
    </row>
    <row r="264" spans="4:10" x14ac:dyDescent="0.25">
      <c r="D264" s="366"/>
      <c r="E264" s="366"/>
      <c r="F264" s="366"/>
      <c r="G264" s="366"/>
      <c r="H264" s="366"/>
      <c r="I264" s="366"/>
      <c r="J264" s="366"/>
    </row>
    <row r="265" spans="4:10" x14ac:dyDescent="0.25">
      <c r="D265" s="366"/>
      <c r="E265" s="366"/>
      <c r="F265" s="366"/>
      <c r="G265" s="366"/>
      <c r="H265" s="366"/>
      <c r="I265" s="366"/>
      <c r="J265" s="366"/>
    </row>
    <row r="266" spans="4:10" x14ac:dyDescent="0.25">
      <c r="D266" s="366"/>
      <c r="E266" s="366"/>
      <c r="F266" s="366"/>
      <c r="G266" s="366"/>
      <c r="H266" s="366"/>
      <c r="I266" s="366"/>
      <c r="J266" s="366"/>
    </row>
    <row r="267" spans="4:10" x14ac:dyDescent="0.25">
      <c r="D267" s="366"/>
      <c r="E267" s="366"/>
      <c r="F267" s="366"/>
      <c r="G267" s="366"/>
      <c r="H267" s="366"/>
      <c r="I267" s="366"/>
      <c r="J267" s="366"/>
    </row>
    <row r="268" spans="4:10" x14ac:dyDescent="0.25">
      <c r="D268" s="366"/>
      <c r="E268" s="366"/>
      <c r="F268" s="366"/>
      <c r="G268" s="366"/>
      <c r="H268" s="366"/>
      <c r="I268" s="366"/>
      <c r="J268" s="366"/>
    </row>
    <row r="269" spans="4:10" x14ac:dyDescent="0.25">
      <c r="D269" s="366"/>
      <c r="E269" s="366"/>
      <c r="F269" s="366"/>
      <c r="G269" s="366"/>
      <c r="H269" s="366"/>
      <c r="I269" s="366"/>
      <c r="J269" s="366"/>
    </row>
    <row r="270" spans="4:10" x14ac:dyDescent="0.25">
      <c r="D270" s="366"/>
      <c r="E270" s="366"/>
      <c r="F270" s="366"/>
      <c r="G270" s="366"/>
      <c r="H270" s="366"/>
      <c r="I270" s="366"/>
      <c r="J270" s="366"/>
    </row>
    <row r="271" spans="4:10" x14ac:dyDescent="0.25">
      <c r="D271" s="366"/>
      <c r="E271" s="366"/>
      <c r="F271" s="366"/>
      <c r="G271" s="366"/>
      <c r="H271" s="366"/>
      <c r="I271" s="366"/>
      <c r="J271" s="366"/>
    </row>
    <row r="272" spans="4:10" x14ac:dyDescent="0.25">
      <c r="D272" s="366"/>
      <c r="E272" s="366"/>
      <c r="F272" s="366"/>
      <c r="G272" s="366"/>
      <c r="H272" s="366"/>
      <c r="I272" s="366"/>
      <c r="J272" s="366"/>
    </row>
    <row r="273" spans="4:10" x14ac:dyDescent="0.25">
      <c r="D273" s="366"/>
      <c r="E273" s="366"/>
      <c r="F273" s="366"/>
      <c r="G273" s="366"/>
      <c r="H273" s="366"/>
      <c r="I273" s="366"/>
      <c r="J273" s="366"/>
    </row>
    <row r="274" spans="4:10" x14ac:dyDescent="0.25">
      <c r="D274" s="366"/>
      <c r="E274" s="366"/>
      <c r="F274" s="366"/>
      <c r="G274" s="366"/>
      <c r="H274" s="366"/>
      <c r="I274" s="366"/>
      <c r="J274" s="366"/>
    </row>
    <row r="275" spans="4:10" x14ac:dyDescent="0.25">
      <c r="D275" s="366"/>
      <c r="E275" s="366"/>
      <c r="F275" s="366"/>
      <c r="G275" s="366"/>
      <c r="H275" s="366"/>
      <c r="I275" s="366"/>
      <c r="J275" s="366"/>
    </row>
    <row r="276" spans="4:10" x14ac:dyDescent="0.25">
      <c r="D276" s="366"/>
      <c r="E276" s="366"/>
      <c r="F276" s="366"/>
      <c r="G276" s="366"/>
      <c r="H276" s="366"/>
      <c r="I276" s="366"/>
      <c r="J276" s="366"/>
    </row>
    <row r="277" spans="4:10" x14ac:dyDescent="0.25">
      <c r="D277" s="366"/>
      <c r="E277" s="366"/>
      <c r="F277" s="366"/>
      <c r="G277" s="366"/>
      <c r="H277" s="366"/>
      <c r="I277" s="366"/>
      <c r="J277" s="366"/>
    </row>
    <row r="278" spans="4:10" x14ac:dyDescent="0.25">
      <c r="D278" s="366"/>
      <c r="E278" s="366"/>
      <c r="F278" s="366"/>
      <c r="G278" s="366"/>
      <c r="H278" s="366"/>
      <c r="I278" s="366"/>
      <c r="J278" s="366"/>
    </row>
    <row r="279" spans="4:10" x14ac:dyDescent="0.25">
      <c r="D279" s="366"/>
      <c r="E279" s="366"/>
      <c r="F279" s="366"/>
      <c r="G279" s="366"/>
      <c r="H279" s="366"/>
      <c r="I279" s="366"/>
      <c r="J279" s="366"/>
    </row>
    <row r="280" spans="4:10" x14ac:dyDescent="0.25">
      <c r="D280" s="366"/>
      <c r="E280" s="366"/>
      <c r="F280" s="366"/>
      <c r="G280" s="366"/>
      <c r="H280" s="366"/>
      <c r="I280" s="366"/>
      <c r="J280" s="366"/>
    </row>
    <row r="281" spans="4:10" x14ac:dyDescent="0.25">
      <c r="D281" s="366"/>
      <c r="E281" s="366"/>
      <c r="F281" s="366"/>
      <c r="G281" s="366"/>
      <c r="H281" s="366"/>
      <c r="I281" s="366"/>
      <c r="J281" s="366"/>
    </row>
    <row r="282" spans="4:10" x14ac:dyDescent="0.25">
      <c r="D282" s="366"/>
      <c r="E282" s="366"/>
      <c r="F282" s="366"/>
      <c r="G282" s="366"/>
      <c r="H282" s="366"/>
      <c r="I282" s="366"/>
      <c r="J282" s="366"/>
    </row>
    <row r="283" spans="4:10" x14ac:dyDescent="0.25">
      <c r="D283" s="366"/>
      <c r="E283" s="366"/>
      <c r="F283" s="366"/>
      <c r="G283" s="366"/>
      <c r="H283" s="366"/>
      <c r="I283" s="366"/>
      <c r="J283" s="366"/>
    </row>
    <row r="284" spans="4:10" x14ac:dyDescent="0.25">
      <c r="D284" s="366"/>
      <c r="E284" s="366"/>
      <c r="F284" s="366"/>
      <c r="G284" s="366"/>
      <c r="H284" s="366"/>
      <c r="I284" s="366"/>
      <c r="J284" s="366"/>
    </row>
    <row r="285" spans="4:10" x14ac:dyDescent="0.25">
      <c r="D285" s="366"/>
      <c r="E285" s="366"/>
      <c r="F285" s="366"/>
      <c r="G285" s="366"/>
      <c r="H285" s="366"/>
      <c r="I285" s="366"/>
      <c r="J285" s="366"/>
    </row>
  </sheetData>
  <mergeCells count="1">
    <mergeCell ref="A1:J5"/>
  </mergeCell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7CF51-A83A-4257-A6FC-B4119BD62DF1}">
  <sheetPr>
    <tabColor theme="5" tint="-0.249977111117893"/>
  </sheetPr>
  <dimension ref="A1:XFD282"/>
  <sheetViews>
    <sheetView zoomScale="80" zoomScaleNormal="80" workbookViewId="0">
      <selection activeCell="AK7" sqref="AK7"/>
    </sheetView>
  </sheetViews>
  <sheetFormatPr baseColWidth="10" defaultColWidth="11.44140625" defaultRowHeight="13.2" x14ac:dyDescent="0.25"/>
  <cols>
    <col min="1" max="1" width="15" style="44" customWidth="1"/>
    <col min="2" max="2" width="85.88671875" style="44" bestFit="1" customWidth="1"/>
    <col min="3" max="3" width="24" style="44" bestFit="1" customWidth="1"/>
    <col min="4" max="4" width="24.33203125" style="44" hidden="1" customWidth="1"/>
    <col min="5" max="5" width="23.44140625" style="44" customWidth="1"/>
    <col min="6" max="6" width="23.44140625" style="349" hidden="1" customWidth="1"/>
    <col min="7" max="7" width="23.33203125" style="349" hidden="1" customWidth="1"/>
    <col min="8" max="8" width="21" style="349" hidden="1" customWidth="1"/>
    <col min="9" max="10" width="21.6640625" style="349" hidden="1" customWidth="1"/>
    <col min="11" max="11" width="21.44140625" style="348" hidden="1" customWidth="1"/>
    <col min="12" max="12" width="21.88671875" style="349" hidden="1" customWidth="1"/>
    <col min="13" max="13" width="22.33203125" style="349" hidden="1" customWidth="1"/>
    <col min="14" max="14" width="21" style="349" hidden="1" customWidth="1"/>
    <col min="15" max="15" width="21.44140625" style="349" hidden="1" customWidth="1"/>
    <col min="16" max="16" width="21.44140625" style="352" hidden="1" customWidth="1"/>
    <col min="17" max="17" width="27.109375" style="348" hidden="1" customWidth="1"/>
    <col min="18" max="19" width="25.88671875" style="348" hidden="1" customWidth="1"/>
    <col min="20" max="23" width="21.33203125" style="348" hidden="1" customWidth="1"/>
    <col min="24" max="24" width="22.109375" style="348" hidden="1" customWidth="1"/>
    <col min="25" max="25" width="22" style="349" hidden="1" customWidth="1"/>
    <col min="26" max="26" width="31.33203125" style="349" customWidth="1"/>
    <col min="27" max="27" width="24.6640625" style="349" hidden="1" customWidth="1"/>
    <col min="28" max="30" width="26.88671875" style="349" hidden="1" customWidth="1"/>
    <col min="31" max="31" width="26.88671875" style="353" hidden="1" customWidth="1"/>
    <col min="32" max="32" width="25.109375" style="44" customWidth="1"/>
    <col min="33" max="33" width="23.5546875" style="349" hidden="1" customWidth="1"/>
    <col min="34" max="34" width="25.88671875" style="349" hidden="1" customWidth="1"/>
    <col min="35" max="35" width="23.6640625" style="349" hidden="1" customWidth="1"/>
    <col min="36" max="36" width="24.6640625" style="349" hidden="1" customWidth="1"/>
    <col min="37" max="37" width="26.88671875" style="351" customWidth="1"/>
    <col min="38" max="38" width="27.109375" style="349" customWidth="1"/>
    <col min="39" max="39" width="24.109375" style="351" customWidth="1"/>
    <col min="40" max="40" width="20.6640625" style="349" hidden="1" customWidth="1"/>
    <col min="41" max="41" width="27.44140625" style="349" hidden="1" customWidth="1"/>
    <col min="42" max="42" width="23" style="349" hidden="1" customWidth="1"/>
    <col min="43" max="43" width="21.6640625" style="43" hidden="1" customWidth="1"/>
    <col min="44" max="44" width="33.44140625" style="43" hidden="1" customWidth="1"/>
    <col min="45" max="45" width="11.44140625" style="43" hidden="1" customWidth="1"/>
    <col min="46" max="46" width="23.88671875" style="43" hidden="1" customWidth="1"/>
    <col min="47" max="48" width="15.88671875" style="44" hidden="1" customWidth="1"/>
    <col min="49" max="50" width="11.44140625" style="44" hidden="1" customWidth="1"/>
    <col min="51" max="62" width="0" style="44" hidden="1" customWidth="1"/>
    <col min="63" max="64" width="11.44140625" style="44"/>
    <col min="65" max="65" width="17.33203125" style="44" bestFit="1" customWidth="1"/>
    <col min="66" max="16383" width="11.44140625" style="44"/>
    <col min="16384" max="16384" width="14" style="44" bestFit="1" customWidth="1"/>
  </cols>
  <sheetData>
    <row r="1" spans="1:48" ht="20.399999999999999" customHeight="1" x14ac:dyDescent="0.25">
      <c r="A1" s="498" t="s">
        <v>779</v>
      </c>
      <c r="B1" s="499"/>
      <c r="C1" s="499"/>
      <c r="D1" s="499"/>
      <c r="E1" s="499"/>
      <c r="F1" s="499"/>
      <c r="G1" s="499"/>
      <c r="H1" s="499"/>
      <c r="I1" s="499"/>
      <c r="J1" s="499"/>
      <c r="K1" s="499"/>
      <c r="L1" s="499"/>
      <c r="M1" s="499"/>
      <c r="N1" s="499"/>
      <c r="O1" s="499"/>
      <c r="P1" s="499"/>
      <c r="Q1" s="499"/>
      <c r="R1" s="499"/>
      <c r="S1" s="499"/>
      <c r="T1" s="499"/>
      <c r="U1" s="499"/>
      <c r="V1" s="499"/>
      <c r="W1" s="499"/>
      <c r="X1" s="499"/>
      <c r="Y1" s="499"/>
      <c r="Z1" s="499"/>
      <c r="AA1" s="499"/>
      <c r="AB1" s="499"/>
      <c r="AC1" s="499"/>
      <c r="AD1" s="499"/>
      <c r="AE1" s="499"/>
      <c r="AF1" s="499"/>
      <c r="AG1" s="499"/>
      <c r="AH1" s="499"/>
      <c r="AI1" s="499"/>
      <c r="AJ1" s="499"/>
      <c r="AK1" s="499"/>
      <c r="AL1" s="499"/>
      <c r="AM1" s="499"/>
      <c r="AN1" s="42"/>
      <c r="AO1" s="42"/>
      <c r="AP1" s="42"/>
    </row>
    <row r="2" spans="1:48" ht="20.399999999999999" customHeight="1" x14ac:dyDescent="0.25">
      <c r="A2" s="500"/>
      <c r="B2" s="501"/>
      <c r="C2" s="501"/>
      <c r="D2" s="501"/>
      <c r="E2" s="501"/>
      <c r="F2" s="501"/>
      <c r="G2" s="501"/>
      <c r="H2" s="501"/>
      <c r="I2" s="501"/>
      <c r="J2" s="501"/>
      <c r="K2" s="501"/>
      <c r="L2" s="501"/>
      <c r="M2" s="501"/>
      <c r="N2" s="501"/>
      <c r="O2" s="501"/>
      <c r="P2" s="501"/>
      <c r="Q2" s="501"/>
      <c r="R2" s="501"/>
      <c r="S2" s="501"/>
      <c r="T2" s="501"/>
      <c r="U2" s="501"/>
      <c r="V2" s="501"/>
      <c r="W2" s="501"/>
      <c r="X2" s="501"/>
      <c r="Y2" s="501"/>
      <c r="Z2" s="501"/>
      <c r="AA2" s="501"/>
      <c r="AB2" s="501"/>
      <c r="AC2" s="501"/>
      <c r="AD2" s="501"/>
      <c r="AE2" s="501"/>
      <c r="AF2" s="501"/>
      <c r="AG2" s="501"/>
      <c r="AH2" s="501"/>
      <c r="AI2" s="501"/>
      <c r="AJ2" s="501"/>
      <c r="AK2" s="501"/>
      <c r="AL2" s="501"/>
      <c r="AM2" s="501"/>
      <c r="AN2" s="42"/>
      <c r="AO2" s="42"/>
      <c r="AP2" s="42"/>
    </row>
    <row r="3" spans="1:48" ht="20.399999999999999" customHeight="1" x14ac:dyDescent="0.25">
      <c r="A3" s="500"/>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c r="AJ3" s="501"/>
      <c r="AK3" s="501"/>
      <c r="AL3" s="501"/>
      <c r="AM3" s="501"/>
      <c r="AN3" s="42">
        <f>+AL271</f>
        <v>2956044522.9100003</v>
      </c>
      <c r="AO3" s="42"/>
      <c r="AP3" s="42"/>
    </row>
    <row r="4" spans="1:48" ht="20.399999999999999" customHeight="1" x14ac:dyDescent="0.25">
      <c r="A4" s="500"/>
      <c r="B4" s="501"/>
      <c r="C4" s="501"/>
      <c r="D4" s="501"/>
      <c r="E4" s="501"/>
      <c r="F4" s="501"/>
      <c r="G4" s="501"/>
      <c r="H4" s="501"/>
      <c r="I4" s="501"/>
      <c r="J4" s="501"/>
      <c r="K4" s="501"/>
      <c r="L4" s="501"/>
      <c r="M4" s="501"/>
      <c r="N4" s="501"/>
      <c r="O4" s="501"/>
      <c r="P4" s="501"/>
      <c r="Q4" s="501"/>
      <c r="R4" s="501"/>
      <c r="S4" s="501"/>
      <c r="T4" s="501"/>
      <c r="U4" s="501"/>
      <c r="V4" s="501"/>
      <c r="W4" s="501"/>
      <c r="X4" s="501"/>
      <c r="Y4" s="501"/>
      <c r="Z4" s="501"/>
      <c r="AA4" s="501"/>
      <c r="AB4" s="501"/>
      <c r="AC4" s="501"/>
      <c r="AD4" s="501"/>
      <c r="AE4" s="501"/>
      <c r="AF4" s="501"/>
      <c r="AG4" s="501"/>
      <c r="AH4" s="501"/>
      <c r="AI4" s="501"/>
      <c r="AJ4" s="501"/>
      <c r="AK4" s="501"/>
      <c r="AL4" s="501"/>
      <c r="AM4" s="501"/>
      <c r="AN4" s="42"/>
      <c r="AO4" s="42"/>
      <c r="AP4" s="42"/>
    </row>
    <row r="5" spans="1:48" s="47" customFormat="1" ht="20.399999999999999" customHeight="1" thickBot="1" x14ac:dyDescent="0.3">
      <c r="A5" s="502"/>
      <c r="B5" s="503"/>
      <c r="C5" s="503"/>
      <c r="D5" s="503"/>
      <c r="E5" s="503"/>
      <c r="F5" s="503"/>
      <c r="G5" s="503"/>
      <c r="H5" s="503"/>
      <c r="I5" s="503"/>
      <c r="J5" s="503"/>
      <c r="K5" s="503"/>
      <c r="L5" s="503"/>
      <c r="M5" s="503"/>
      <c r="N5" s="503"/>
      <c r="O5" s="503"/>
      <c r="P5" s="503"/>
      <c r="Q5" s="503"/>
      <c r="R5" s="503"/>
      <c r="S5" s="503"/>
      <c r="T5" s="503"/>
      <c r="U5" s="503"/>
      <c r="V5" s="503"/>
      <c r="W5" s="503"/>
      <c r="X5" s="503"/>
      <c r="Y5" s="503"/>
      <c r="Z5" s="503"/>
      <c r="AA5" s="503"/>
      <c r="AB5" s="503"/>
      <c r="AC5" s="503"/>
      <c r="AD5" s="503"/>
      <c r="AE5" s="503"/>
      <c r="AF5" s="503"/>
      <c r="AG5" s="503"/>
      <c r="AH5" s="503"/>
      <c r="AI5" s="503"/>
      <c r="AJ5" s="503"/>
      <c r="AK5" s="503"/>
      <c r="AL5" s="503"/>
      <c r="AM5" s="503"/>
      <c r="AN5" s="45"/>
      <c r="AO5" s="45"/>
      <c r="AP5" s="45"/>
      <c r="AQ5" s="46"/>
      <c r="AR5" s="46"/>
      <c r="AS5" s="46"/>
      <c r="AT5" s="46"/>
    </row>
    <row r="6" spans="1:48" s="52" customFormat="1" ht="66.599999999999994" thickBot="1" x14ac:dyDescent="0.35">
      <c r="A6" s="494" t="s">
        <v>776</v>
      </c>
      <c r="B6" s="475" t="s">
        <v>775</v>
      </c>
      <c r="C6" s="476" t="s">
        <v>3</v>
      </c>
      <c r="D6" s="477" t="s">
        <v>4</v>
      </c>
      <c r="E6" s="475" t="s">
        <v>5</v>
      </c>
      <c r="F6" s="478" t="s">
        <v>6</v>
      </c>
      <c r="G6" s="479" t="s">
        <v>7</v>
      </c>
      <c r="H6" s="479" t="s">
        <v>8</v>
      </c>
      <c r="I6" s="479" t="s">
        <v>9</v>
      </c>
      <c r="J6" s="479" t="s">
        <v>10</v>
      </c>
      <c r="K6" s="480" t="s">
        <v>11</v>
      </c>
      <c r="L6" s="479" t="s">
        <v>12</v>
      </c>
      <c r="M6" s="479" t="s">
        <v>13</v>
      </c>
      <c r="N6" s="479" t="s">
        <v>14</v>
      </c>
      <c r="O6" s="479" t="s">
        <v>15</v>
      </c>
      <c r="P6" s="480" t="s">
        <v>16</v>
      </c>
      <c r="Q6" s="480" t="s">
        <v>17</v>
      </c>
      <c r="R6" s="480" t="s">
        <v>18</v>
      </c>
      <c r="S6" s="481" t="s">
        <v>19</v>
      </c>
      <c r="T6" s="482" t="s">
        <v>20</v>
      </c>
      <c r="U6" s="483" t="s">
        <v>21</v>
      </c>
      <c r="V6" s="480" t="s">
        <v>22</v>
      </c>
      <c r="W6" s="480" t="s">
        <v>23</v>
      </c>
      <c r="X6" s="481" t="s">
        <v>24</v>
      </c>
      <c r="Y6" s="484" t="s">
        <v>25</v>
      </c>
      <c r="Z6" s="485" t="s">
        <v>26</v>
      </c>
      <c r="AA6" s="486" t="s">
        <v>27</v>
      </c>
      <c r="AB6" s="487" t="s">
        <v>28</v>
      </c>
      <c r="AC6" s="487" t="s">
        <v>29</v>
      </c>
      <c r="AD6" s="487" t="s">
        <v>30</v>
      </c>
      <c r="AE6" s="488" t="s">
        <v>31</v>
      </c>
      <c r="AF6" s="489" t="s">
        <v>32</v>
      </c>
      <c r="AG6" s="490" t="s">
        <v>33</v>
      </c>
      <c r="AH6" s="491" t="s">
        <v>34</v>
      </c>
      <c r="AI6" s="491" t="s">
        <v>35</v>
      </c>
      <c r="AJ6" s="492" t="s">
        <v>36</v>
      </c>
      <c r="AK6" s="482" t="s">
        <v>37</v>
      </c>
      <c r="AL6" s="493" t="s">
        <v>38</v>
      </c>
      <c r="AM6" s="489" t="s">
        <v>39</v>
      </c>
      <c r="AN6" s="48" t="s">
        <v>40</v>
      </c>
      <c r="AO6" s="49" t="s">
        <v>41</v>
      </c>
      <c r="AP6" s="50" t="s">
        <v>42</v>
      </c>
      <c r="AQ6" s="51"/>
      <c r="AR6" s="51"/>
      <c r="AS6" s="51"/>
      <c r="AT6" s="51"/>
    </row>
    <row r="7" spans="1:48" ht="13.8" thickTop="1" x14ac:dyDescent="0.25">
      <c r="A7" s="53"/>
      <c r="B7" s="54" t="s">
        <v>43</v>
      </c>
      <c r="C7" s="55">
        <f t="shared" ref="C7:U7" si="0">SUM(C9+C54+C147+C183+C197+C205+C231+C252+C263+C268)</f>
        <v>55054190749.817787</v>
      </c>
      <c r="D7" s="55">
        <f t="shared" si="0"/>
        <v>55054190749.817787</v>
      </c>
      <c r="E7" s="56">
        <f t="shared" si="0"/>
        <v>3935157893.3877873</v>
      </c>
      <c r="F7" s="57">
        <f t="shared" si="0"/>
        <v>30238000</v>
      </c>
      <c r="G7" s="58">
        <f t="shared" si="0"/>
        <v>167519079</v>
      </c>
      <c r="H7" s="58">
        <f t="shared" si="0"/>
        <v>153873611.99778751</v>
      </c>
      <c r="I7" s="58">
        <f t="shared" si="0"/>
        <v>105359275</v>
      </c>
      <c r="J7" s="58">
        <f t="shared" si="0"/>
        <v>29618212</v>
      </c>
      <c r="K7" s="58">
        <f t="shared" si="0"/>
        <v>741664880.5</v>
      </c>
      <c r="L7" s="58">
        <f t="shared" si="0"/>
        <v>50220484</v>
      </c>
      <c r="M7" s="58">
        <f t="shared" si="0"/>
        <v>24754623</v>
      </c>
      <c r="N7" s="58">
        <f t="shared" si="0"/>
        <v>180106962</v>
      </c>
      <c r="O7" s="58">
        <f t="shared" si="0"/>
        <v>309175829</v>
      </c>
      <c r="P7" s="58">
        <f t="shared" si="0"/>
        <v>104312971</v>
      </c>
      <c r="Q7" s="58">
        <f t="shared" si="0"/>
        <v>708972258.88999999</v>
      </c>
      <c r="R7" s="58">
        <f t="shared" si="0"/>
        <v>379095376</v>
      </c>
      <c r="S7" s="58">
        <f t="shared" si="0"/>
        <v>96764788</v>
      </c>
      <c r="T7" s="58">
        <f t="shared" si="0"/>
        <v>44893858</v>
      </c>
      <c r="U7" s="58">
        <f t="shared" si="0"/>
        <v>158289911</v>
      </c>
      <c r="V7" s="58">
        <f>SUM(V9+V231+V54+V147+V183+V197+V205+V252+V263+V268)</f>
        <v>363067579</v>
      </c>
      <c r="W7" s="58">
        <f>SUM(W9+W231+W54+W147+W183+W197+W205+W252+W263+W268)</f>
        <v>95692848</v>
      </c>
      <c r="X7" s="59">
        <f t="shared" ref="X7:AJ7" si="1">SUM(X9+X54+X147+X183+X197+X205+X231+X252+X263+X268)</f>
        <v>44627991</v>
      </c>
      <c r="Y7" s="60">
        <f t="shared" si="1"/>
        <v>146909356</v>
      </c>
      <c r="Z7" s="58">
        <f t="shared" si="1"/>
        <v>964382620</v>
      </c>
      <c r="AA7" s="57">
        <f t="shared" si="1"/>
        <v>90752051</v>
      </c>
      <c r="AB7" s="58">
        <f t="shared" si="1"/>
        <v>158144454</v>
      </c>
      <c r="AC7" s="58">
        <f t="shared" si="1"/>
        <v>210643766</v>
      </c>
      <c r="AD7" s="58">
        <f t="shared" si="1"/>
        <v>389537892</v>
      </c>
      <c r="AE7" s="61">
        <f t="shared" si="1"/>
        <v>115304457</v>
      </c>
      <c r="AF7" s="62">
        <f t="shared" si="1"/>
        <v>10604062045.519999</v>
      </c>
      <c r="AG7" s="58">
        <f t="shared" si="1"/>
        <v>79301834</v>
      </c>
      <c r="AH7" s="58">
        <f t="shared" si="1"/>
        <v>3185886546.7399998</v>
      </c>
      <c r="AI7" s="58">
        <f t="shared" si="1"/>
        <v>2971174576.4000001</v>
      </c>
      <c r="AJ7" s="58">
        <f t="shared" si="1"/>
        <v>3924957116.4000001</v>
      </c>
      <c r="AK7" s="62">
        <f>SUM(AL7+AM7)</f>
        <v>39550588190.910004</v>
      </c>
      <c r="AL7" s="63">
        <f>SUM(AL9+AL54+AL147+AL183+AL197+AL205+AL231+AL252+AL263+AL268)</f>
        <v>37580027043.910004</v>
      </c>
      <c r="AM7" s="56">
        <f>SUM(AM9+AM54+AM147+AM183+AM197+AM205+AM231+AM252+AM263+AM268)</f>
        <v>1970561147</v>
      </c>
      <c r="AN7" s="63">
        <f>SUM(AN9+AN54+AN147+AN183+AN197+AN205+AN231+AN252+AN263+AN268)</f>
        <v>36090007</v>
      </c>
      <c r="AO7" s="64">
        <f>SUM(AO9+AO54+AO147+AO183+AO197+AO205+AO231+AO252+AO263+AO268)</f>
        <v>60280799</v>
      </c>
      <c r="AP7" s="65">
        <f>SUM(AP9+AP54+AP147+AP183+AP197+AP205+AP231+AP252+AP263+AP268)</f>
        <v>1874190341</v>
      </c>
      <c r="AQ7" s="66">
        <f>+F7+G7+H7+I7+J7+K7+L7+M7+N7+O7+P7+Q7+R7+S7+T7+U7+V7+W7+X7+Y7+AA7+AB7+AC7+AD7+AE7+AG7+AH7+AI7+AJ7+AL7+AN7+AO7+AP7</f>
        <v>54611448777.837791</v>
      </c>
      <c r="AR7" s="43">
        <f>+C7-AQ7</f>
        <v>442741971.97999573</v>
      </c>
      <c r="AV7" s="44" t="s">
        <v>44</v>
      </c>
    </row>
    <row r="8" spans="1:48" x14ac:dyDescent="0.25">
      <c r="A8" s="67"/>
      <c r="B8" s="68" t="s">
        <v>0</v>
      </c>
      <c r="C8" s="69"/>
      <c r="D8" s="70"/>
      <c r="E8" s="71"/>
      <c r="F8" s="72"/>
      <c r="G8" s="73"/>
      <c r="H8" s="73"/>
      <c r="I8" s="73"/>
      <c r="J8" s="73"/>
      <c r="K8" s="74"/>
      <c r="L8" s="73"/>
      <c r="M8" s="73"/>
      <c r="N8" s="73"/>
      <c r="O8" s="73"/>
      <c r="P8" s="74"/>
      <c r="Q8" s="74"/>
      <c r="R8" s="74"/>
      <c r="S8" s="75"/>
      <c r="T8" s="76"/>
      <c r="U8" s="77"/>
      <c r="V8" s="74"/>
      <c r="W8" s="74"/>
      <c r="X8" s="75"/>
      <c r="Y8" s="78"/>
      <c r="Z8" s="79"/>
      <c r="AA8" s="80"/>
      <c r="AB8" s="81"/>
      <c r="AC8" s="81"/>
      <c r="AD8" s="81"/>
      <c r="AE8" s="82"/>
      <c r="AF8" s="83"/>
      <c r="AG8" s="80"/>
      <c r="AH8" s="81"/>
      <c r="AI8" s="81"/>
      <c r="AJ8" s="84"/>
      <c r="AK8" s="85"/>
      <c r="AL8" s="86"/>
      <c r="AM8" s="87"/>
      <c r="AN8" s="86"/>
      <c r="AO8" s="78"/>
      <c r="AP8" s="88"/>
      <c r="AQ8" s="66">
        <f t="shared" ref="AQ8:AQ71" si="2">+F8+G8+H8+I8+J8+K8+L8+M8+N8+O8+P8+Q8+R8+S8+T8+U8+V8+W8+X8+Y8+AA8+AB8+AC8+AD8+AE8+AG8+AH8+AI8+AJ8+AL8+AN8+AO8+AP8</f>
        <v>0</v>
      </c>
      <c r="AR8" s="43">
        <f t="shared" ref="AR8:AR71" si="3">+C8-AQ8</f>
        <v>0</v>
      </c>
      <c r="AT8" s="89"/>
      <c r="AV8" s="44">
        <f>+C9-AL9</f>
        <v>3504940352.9977875</v>
      </c>
    </row>
    <row r="9" spans="1:48" x14ac:dyDescent="0.25">
      <c r="A9" s="90">
        <v>0</v>
      </c>
      <c r="B9" s="91" t="s">
        <v>45</v>
      </c>
      <c r="C9" s="92">
        <f>C11+C15+C20+C41+C48</f>
        <v>3848404066.9977875</v>
      </c>
      <c r="D9" s="92">
        <f>SUM(D11+D15+D20+D41+D48)</f>
        <v>3848404066.9977875</v>
      </c>
      <c r="E9" s="93">
        <f>SUM(E11+E15+E20+E41+E48)</f>
        <v>2022450104.9977875</v>
      </c>
      <c r="F9" s="94">
        <f t="shared" ref="F9:AP9" si="4">SUM(F11+F15+F20+F41+F48)</f>
        <v>28800000</v>
      </c>
      <c r="G9" s="94">
        <f t="shared" si="4"/>
        <v>163460879</v>
      </c>
      <c r="H9" s="94">
        <f t="shared" si="4"/>
        <v>145934400.99778751</v>
      </c>
      <c r="I9" s="94">
        <f t="shared" si="4"/>
        <v>96399275</v>
      </c>
      <c r="J9" s="94">
        <f t="shared" si="4"/>
        <v>19748212</v>
      </c>
      <c r="K9" s="94">
        <f t="shared" si="4"/>
        <v>181156036</v>
      </c>
      <c r="L9" s="94">
        <f t="shared" si="4"/>
        <v>43970484</v>
      </c>
      <c r="M9" s="94">
        <f t="shared" si="4"/>
        <v>23661995</v>
      </c>
      <c r="N9" s="94">
        <f t="shared" si="4"/>
        <v>167870962</v>
      </c>
      <c r="O9" s="94">
        <f t="shared" si="4"/>
        <v>307371902</v>
      </c>
      <c r="P9" s="94">
        <f t="shared" si="4"/>
        <v>45469353</v>
      </c>
      <c r="Q9" s="94">
        <f t="shared" si="4"/>
        <v>167359460</v>
      </c>
      <c r="R9" s="94">
        <f t="shared" si="4"/>
        <v>93820094</v>
      </c>
      <c r="S9" s="94">
        <f t="shared" si="4"/>
        <v>86339788</v>
      </c>
      <c r="T9" s="94">
        <f t="shared" si="4"/>
        <v>42707258</v>
      </c>
      <c r="U9" s="94">
        <f t="shared" si="4"/>
        <v>153094911</v>
      </c>
      <c r="V9" s="94">
        <f t="shared" si="4"/>
        <v>63839924</v>
      </c>
      <c r="W9" s="94">
        <f t="shared" si="4"/>
        <v>51607824</v>
      </c>
      <c r="X9" s="94">
        <f t="shared" si="4"/>
        <v>36477991</v>
      </c>
      <c r="Y9" s="94">
        <f t="shared" si="4"/>
        <v>103359356</v>
      </c>
      <c r="Z9" s="94">
        <f t="shared" si="4"/>
        <v>705898091</v>
      </c>
      <c r="AA9" s="94">
        <f t="shared" si="4"/>
        <v>86196151</v>
      </c>
      <c r="AB9" s="94">
        <f t="shared" si="4"/>
        <v>123694454</v>
      </c>
      <c r="AC9" s="94">
        <f t="shared" si="4"/>
        <v>200118766</v>
      </c>
      <c r="AD9" s="94">
        <f t="shared" si="4"/>
        <v>188455263</v>
      </c>
      <c r="AE9" s="94">
        <f t="shared" si="4"/>
        <v>107433457</v>
      </c>
      <c r="AF9" s="93">
        <f t="shared" si="4"/>
        <v>614531010</v>
      </c>
      <c r="AG9" s="94">
        <f t="shared" si="4"/>
        <v>50398334</v>
      </c>
      <c r="AH9" s="94">
        <f t="shared" si="4"/>
        <v>305537771</v>
      </c>
      <c r="AI9" s="94">
        <f t="shared" si="4"/>
        <v>110971884</v>
      </c>
      <c r="AJ9" s="94">
        <f t="shared" si="4"/>
        <v>147623021</v>
      </c>
      <c r="AK9" s="93">
        <f t="shared" si="4"/>
        <v>505524861</v>
      </c>
      <c r="AL9" s="94">
        <f t="shared" si="4"/>
        <v>343463714</v>
      </c>
      <c r="AM9" s="93">
        <f t="shared" si="4"/>
        <v>162061147</v>
      </c>
      <c r="AN9" s="94">
        <f t="shared" si="4"/>
        <v>33495007</v>
      </c>
      <c r="AO9" s="94">
        <f t="shared" si="4"/>
        <v>57180799</v>
      </c>
      <c r="AP9" s="94">
        <f t="shared" si="4"/>
        <v>71385341</v>
      </c>
      <c r="AQ9" s="66">
        <f t="shared" si="2"/>
        <v>3848404066.9977875</v>
      </c>
      <c r="AR9" s="43">
        <f t="shared" si="3"/>
        <v>0</v>
      </c>
      <c r="AV9" s="44">
        <f>-'[2]Estado de Origen y aplicación'!F38</f>
        <v>-715157728.04999995</v>
      </c>
    </row>
    <row r="10" spans="1:48" x14ac:dyDescent="0.25">
      <c r="A10" s="95"/>
      <c r="B10" s="96"/>
      <c r="C10" s="97" t="s">
        <v>0</v>
      </c>
      <c r="D10" s="98"/>
      <c r="E10" s="96"/>
      <c r="F10" s="99"/>
      <c r="G10" s="100"/>
      <c r="H10" s="100"/>
      <c r="I10" s="100"/>
      <c r="J10" s="100"/>
      <c r="K10" s="101"/>
      <c r="L10" s="100"/>
      <c r="M10" s="100"/>
      <c r="N10" s="100"/>
      <c r="O10" s="100"/>
      <c r="P10" s="102"/>
      <c r="Q10" s="101"/>
      <c r="R10" s="101"/>
      <c r="S10" s="103"/>
      <c r="T10" s="104"/>
      <c r="U10" s="105"/>
      <c r="V10" s="101"/>
      <c r="W10" s="101"/>
      <c r="X10" s="103"/>
      <c r="Y10" s="101"/>
      <c r="Z10" s="106"/>
      <c r="AA10" s="99"/>
      <c r="AB10" s="100"/>
      <c r="AC10" s="100"/>
      <c r="AD10" s="100"/>
      <c r="AE10" s="107"/>
      <c r="AF10" s="108">
        <f>SUM(AG10:AI10)</f>
        <v>0</v>
      </c>
      <c r="AG10" s="99"/>
      <c r="AH10" s="100"/>
      <c r="AI10" s="101"/>
      <c r="AJ10" s="103"/>
      <c r="AK10" s="109"/>
      <c r="AL10" s="110"/>
      <c r="AM10" s="109"/>
      <c r="AN10" s="110"/>
      <c r="AO10" s="101"/>
      <c r="AP10" s="111"/>
      <c r="AQ10" s="66">
        <f t="shared" si="2"/>
        <v>0</v>
      </c>
      <c r="AR10" s="43" t="e">
        <f t="shared" si="3"/>
        <v>#VALUE!</v>
      </c>
      <c r="AV10" s="44">
        <f>-'[2]Estado de Origen y aplicación'!F55</f>
        <v>-25480160.120000001</v>
      </c>
    </row>
    <row r="11" spans="1:48" x14ac:dyDescent="0.25">
      <c r="A11" s="112" t="s">
        <v>46</v>
      </c>
      <c r="B11" s="113" t="s">
        <v>47</v>
      </c>
      <c r="C11" s="92">
        <f>SUM(C12:C13)</f>
        <v>1365353076</v>
      </c>
      <c r="D11" s="70">
        <f>SUM(D12:D13)</f>
        <v>1365353076</v>
      </c>
      <c r="E11" s="93">
        <f>SUM(E12:E13)</f>
        <v>729415646</v>
      </c>
      <c r="F11" s="114">
        <f t="shared" ref="F11:AP11" si="5">SUM(F12:F13)</f>
        <v>0</v>
      </c>
      <c r="G11" s="115">
        <f t="shared" si="5"/>
        <v>54846000</v>
      </c>
      <c r="H11" s="115">
        <f t="shared" si="5"/>
        <v>73392624</v>
      </c>
      <c r="I11" s="115">
        <f t="shared" si="5"/>
        <v>47550900</v>
      </c>
      <c r="J11" s="115">
        <f t="shared" si="5"/>
        <v>6504600</v>
      </c>
      <c r="K11" s="115">
        <f t="shared" si="5"/>
        <v>61046576</v>
      </c>
      <c r="L11" s="115">
        <f t="shared" si="5"/>
        <v>27004416</v>
      </c>
      <c r="M11" s="115">
        <f t="shared" si="5"/>
        <v>8586000</v>
      </c>
      <c r="N11" s="115">
        <f t="shared" si="5"/>
        <v>50291400</v>
      </c>
      <c r="O11" s="115">
        <f t="shared" si="5"/>
        <v>93196200</v>
      </c>
      <c r="P11" s="115">
        <f t="shared" si="5"/>
        <v>16128000</v>
      </c>
      <c r="Q11" s="115">
        <f t="shared" si="5"/>
        <v>69285000</v>
      </c>
      <c r="R11" s="115">
        <f t="shared" si="5"/>
        <v>37125600</v>
      </c>
      <c r="S11" s="116">
        <f t="shared" si="5"/>
        <v>28018800</v>
      </c>
      <c r="T11" s="117">
        <f t="shared" si="5"/>
        <v>11920080</v>
      </c>
      <c r="U11" s="114">
        <f t="shared" si="5"/>
        <v>52926420</v>
      </c>
      <c r="V11" s="115">
        <f t="shared" si="5"/>
        <v>23243100</v>
      </c>
      <c r="W11" s="115">
        <f t="shared" si="5"/>
        <v>18386130</v>
      </c>
      <c r="X11" s="116">
        <f t="shared" si="5"/>
        <v>13988400</v>
      </c>
      <c r="Y11" s="116">
        <f>SUM(Y12:Y13)</f>
        <v>35975400</v>
      </c>
      <c r="Z11" s="118">
        <f>SUM(Z12:Z13)</f>
        <v>233714310</v>
      </c>
      <c r="AA11" s="119">
        <f t="shared" si="5"/>
        <v>33272310</v>
      </c>
      <c r="AB11" s="116">
        <f t="shared" si="5"/>
        <v>32723400</v>
      </c>
      <c r="AC11" s="116">
        <f t="shared" si="5"/>
        <v>62877000</v>
      </c>
      <c r="AD11" s="116">
        <f t="shared" si="5"/>
        <v>68236800</v>
      </c>
      <c r="AE11" s="120">
        <f t="shared" si="5"/>
        <v>36604800</v>
      </c>
      <c r="AF11" s="108">
        <f t="shared" si="5"/>
        <v>211299600</v>
      </c>
      <c r="AG11" s="116">
        <f t="shared" si="5"/>
        <v>18735000</v>
      </c>
      <c r="AH11" s="116">
        <f t="shared" si="5"/>
        <v>101784600</v>
      </c>
      <c r="AI11" s="116">
        <f t="shared" si="5"/>
        <v>33894000</v>
      </c>
      <c r="AJ11" s="116">
        <f t="shared" si="5"/>
        <v>56886000</v>
      </c>
      <c r="AK11" s="121">
        <f t="shared" si="5"/>
        <v>190923520</v>
      </c>
      <c r="AL11" s="119">
        <f t="shared" si="5"/>
        <v>128529358</v>
      </c>
      <c r="AM11" s="121">
        <f t="shared" si="5"/>
        <v>62394162</v>
      </c>
      <c r="AN11" s="119">
        <f t="shared" si="5"/>
        <v>11241000</v>
      </c>
      <c r="AO11" s="115">
        <f t="shared" si="5"/>
        <v>24869010</v>
      </c>
      <c r="AP11" s="122">
        <f t="shared" si="5"/>
        <v>26284152</v>
      </c>
      <c r="AQ11" s="66">
        <f t="shared" si="2"/>
        <v>1365353076</v>
      </c>
      <c r="AR11" s="43">
        <f t="shared" si="3"/>
        <v>0</v>
      </c>
      <c r="AV11" s="44">
        <f>SUM(AV8:AV10)</f>
        <v>2764302464.8277874</v>
      </c>
    </row>
    <row r="12" spans="1:48" x14ac:dyDescent="0.25">
      <c r="A12" s="123" t="s">
        <v>48</v>
      </c>
      <c r="B12" s="124" t="s">
        <v>49</v>
      </c>
      <c r="C12" s="125">
        <f>SUM(E12+Z12+AF12+AK12)</f>
        <v>1353707940</v>
      </c>
      <c r="D12" s="126">
        <f>SUM(F12+G12+H12+I12+J12+K12+L12+M12+N12+O12+P12+Q12+R12+S12+T12+U12+V12+W12+X12+Y12+AA12+AB12+AC12+AD12+AE12+AG12+AH12+AI12+AJ12+AL12+AN12+AO12+AP12)</f>
        <v>1353707940</v>
      </c>
      <c r="E12" s="127">
        <f>SUM(F12:Y12)</f>
        <v>721704486</v>
      </c>
      <c r="F12" s="128"/>
      <c r="G12" s="129">
        <v>54846000</v>
      </c>
      <c r="H12" s="129">
        <v>73392624</v>
      </c>
      <c r="I12" s="129">
        <v>47550900</v>
      </c>
      <c r="J12" s="129">
        <v>6504600</v>
      </c>
      <c r="K12" s="130">
        <v>53335416</v>
      </c>
      <c r="L12" s="129">
        <v>27004416</v>
      </c>
      <c r="M12" s="129">
        <v>8586000</v>
      </c>
      <c r="N12" s="131">
        <v>50291400</v>
      </c>
      <c r="O12" s="129">
        <v>93196200</v>
      </c>
      <c r="P12" s="129">
        <v>16128000</v>
      </c>
      <c r="Q12" s="129">
        <v>69285000</v>
      </c>
      <c r="R12" s="129">
        <v>37125600</v>
      </c>
      <c r="S12" s="129">
        <v>28018800</v>
      </c>
      <c r="T12" s="132">
        <v>11920080</v>
      </c>
      <c r="U12" s="132">
        <v>52926420</v>
      </c>
      <c r="V12" s="132">
        <v>23243100</v>
      </c>
      <c r="W12" s="132">
        <v>18386130</v>
      </c>
      <c r="X12" s="132">
        <v>13988400</v>
      </c>
      <c r="Y12" s="129">
        <v>35975400</v>
      </c>
      <c r="Z12" s="133">
        <f>SUM(AA12:AE12)</f>
        <v>233714310</v>
      </c>
      <c r="AA12" s="132">
        <v>33272310</v>
      </c>
      <c r="AB12" s="132">
        <v>32723400</v>
      </c>
      <c r="AC12" s="132">
        <v>62877000</v>
      </c>
      <c r="AD12" s="132">
        <v>68236800</v>
      </c>
      <c r="AE12" s="132">
        <v>36604800</v>
      </c>
      <c r="AF12" s="134">
        <f>SUM(AG12:AJ12)</f>
        <v>211299600</v>
      </c>
      <c r="AG12" s="132">
        <v>18735000</v>
      </c>
      <c r="AH12" s="132">
        <v>101784600</v>
      </c>
      <c r="AI12" s="132">
        <v>33894000</v>
      </c>
      <c r="AJ12" s="135">
        <v>56886000</v>
      </c>
      <c r="AK12" s="136">
        <f>SUM(AL12+AM12)</f>
        <v>186989544</v>
      </c>
      <c r="AL12" s="137">
        <f>[3]Presupuesto!BT248</f>
        <v>124595382</v>
      </c>
      <c r="AM12" s="138">
        <f>SUM(AP12+AO12+AN12)</f>
        <v>62394162</v>
      </c>
      <c r="AN12" s="139">
        <v>11241000</v>
      </c>
      <c r="AO12" s="132">
        <v>24869010</v>
      </c>
      <c r="AP12" s="140">
        <v>26284152</v>
      </c>
      <c r="AQ12" s="66">
        <f t="shared" si="2"/>
        <v>1353707940</v>
      </c>
      <c r="AR12" s="43">
        <f t="shared" si="3"/>
        <v>0</v>
      </c>
    </row>
    <row r="13" spans="1:48" x14ac:dyDescent="0.25">
      <c r="A13" s="123" t="s">
        <v>50</v>
      </c>
      <c r="B13" s="124" t="s">
        <v>51</v>
      </c>
      <c r="C13" s="125">
        <f>SUM(E13+Z13+AF13+AK13)</f>
        <v>11645136</v>
      </c>
      <c r="D13" s="126">
        <f>SUM(F13+G13+H13+I13+J13+K13+L13+M13+N13+O13+P13+Q13+R13+S13+T13+U13+V13+W13+X13+Y13+AA13+AB13+AC13+AD13+AE13+AG13+AH13+AI13+AJ13+AL13+AN13+AO13+AP13)</f>
        <v>11645136</v>
      </c>
      <c r="E13" s="127">
        <f>SUM(F13:Y13)</f>
        <v>7711160</v>
      </c>
      <c r="F13" s="128"/>
      <c r="G13" s="129"/>
      <c r="H13" s="129"/>
      <c r="I13" s="129"/>
      <c r="J13" s="129"/>
      <c r="K13" s="130">
        <v>7711160</v>
      </c>
      <c r="L13" s="129"/>
      <c r="M13" s="129"/>
      <c r="N13" s="129"/>
      <c r="O13" s="129"/>
      <c r="P13" s="101"/>
      <c r="Q13" s="101"/>
      <c r="R13" s="129"/>
      <c r="S13" s="129"/>
      <c r="T13" s="129"/>
      <c r="U13" s="129">
        <f>[4]Presupuesto!CR104</f>
        <v>0</v>
      </c>
      <c r="V13" s="129"/>
      <c r="W13" s="129"/>
      <c r="X13" s="141"/>
      <c r="Y13" s="142"/>
      <c r="Z13" s="133">
        <f>SUM(AA13:AE13)</f>
        <v>0</v>
      </c>
      <c r="AA13" s="143"/>
      <c r="AB13" s="144">
        <f>9558193-9558193</f>
        <v>0</v>
      </c>
      <c r="AC13" s="144"/>
      <c r="AD13" s="144"/>
      <c r="AE13" s="145">
        <f>[4]Presupuesto!CR156</f>
        <v>0</v>
      </c>
      <c r="AF13" s="134">
        <f>SUM(AG13:AJ13)</f>
        <v>0</v>
      </c>
      <c r="AG13" s="146"/>
      <c r="AH13" s="147"/>
      <c r="AI13" s="148"/>
      <c r="AJ13" s="149"/>
      <c r="AK13" s="136">
        <f>SUM(AL13+AM13)</f>
        <v>3933976</v>
      </c>
      <c r="AL13" s="137">
        <v>3933976</v>
      </c>
      <c r="AM13" s="138">
        <f>SUM(AP13+AO13+AN13)</f>
        <v>0</v>
      </c>
      <c r="AN13" s="150"/>
      <c r="AO13" s="148"/>
      <c r="AP13" s="151"/>
      <c r="AQ13" s="66">
        <f t="shared" si="2"/>
        <v>11645136</v>
      </c>
      <c r="AR13" s="43">
        <f t="shared" si="3"/>
        <v>0</v>
      </c>
    </row>
    <row r="14" spans="1:48" x14ac:dyDescent="0.25">
      <c r="A14" s="123"/>
      <c r="B14" s="124"/>
      <c r="C14" s="125"/>
      <c r="D14" s="98"/>
      <c r="E14" s="127"/>
      <c r="F14" s="128"/>
      <c r="G14" s="129"/>
      <c r="H14" s="129"/>
      <c r="I14" s="129"/>
      <c r="J14" s="129"/>
      <c r="K14" s="101"/>
      <c r="L14" s="129"/>
      <c r="M14" s="129"/>
      <c r="N14" s="129"/>
      <c r="O14" s="129"/>
      <c r="P14" s="101"/>
      <c r="Q14" s="101"/>
      <c r="R14" s="101"/>
      <c r="S14" s="103"/>
      <c r="T14" s="104"/>
      <c r="U14" s="105"/>
      <c r="V14" s="101"/>
      <c r="W14" s="101"/>
      <c r="X14" s="103"/>
      <c r="Y14" s="100"/>
      <c r="Z14" s="133" t="s">
        <v>0</v>
      </c>
      <c r="AA14" s="143" t="s">
        <v>0</v>
      </c>
      <c r="AB14" s="144" t="s">
        <v>0</v>
      </c>
      <c r="AC14" s="144" t="s">
        <v>0</v>
      </c>
      <c r="AD14" s="144" t="s">
        <v>0</v>
      </c>
      <c r="AE14" s="145" t="s">
        <v>0</v>
      </c>
      <c r="AF14" s="108">
        <f>SUM(AG14:AI14)</f>
        <v>0</v>
      </c>
      <c r="AG14" s="146"/>
      <c r="AH14" s="147"/>
      <c r="AI14" s="100"/>
      <c r="AJ14" s="152"/>
      <c r="AK14" s="85"/>
      <c r="AL14" s="45"/>
      <c r="AM14" s="85"/>
      <c r="AN14" s="45"/>
      <c r="AO14" s="100"/>
      <c r="AP14" s="153"/>
      <c r="AQ14" s="66" t="e">
        <f t="shared" si="2"/>
        <v>#VALUE!</v>
      </c>
      <c r="AR14" s="43" t="e">
        <f t="shared" si="3"/>
        <v>#VALUE!</v>
      </c>
    </row>
    <row r="15" spans="1:48" x14ac:dyDescent="0.25">
      <c r="A15" s="112" t="s">
        <v>52</v>
      </c>
      <c r="B15" s="154" t="s">
        <v>53</v>
      </c>
      <c r="C15" s="92">
        <f>SUM(C16:C18)</f>
        <v>69193981</v>
      </c>
      <c r="D15" s="70">
        <f>SUM(D16:D18)</f>
        <v>69193981</v>
      </c>
      <c r="E15" s="93">
        <f>SUM(E16:E18)</f>
        <v>63888569</v>
      </c>
      <c r="F15" s="155">
        <f t="shared" ref="F15:AP15" si="6">SUM(F16:F18)</f>
        <v>28800000</v>
      </c>
      <c r="G15" s="156">
        <f t="shared" si="6"/>
        <v>0</v>
      </c>
      <c r="H15" s="156">
        <f t="shared" si="6"/>
        <v>0</v>
      </c>
      <c r="I15" s="156">
        <f t="shared" si="6"/>
        <v>0</v>
      </c>
      <c r="J15" s="156">
        <f t="shared" si="6"/>
        <v>0</v>
      </c>
      <c r="K15" s="156">
        <f t="shared" si="6"/>
        <v>0</v>
      </c>
      <c r="L15" s="156">
        <f t="shared" si="6"/>
        <v>0</v>
      </c>
      <c r="M15" s="156">
        <f t="shared" si="6"/>
        <v>0</v>
      </c>
      <c r="N15" s="156">
        <f t="shared" si="6"/>
        <v>5830531</v>
      </c>
      <c r="O15" s="156">
        <f t="shared" si="6"/>
        <v>0</v>
      </c>
      <c r="P15" s="156">
        <f t="shared" si="6"/>
        <v>0</v>
      </c>
      <c r="Q15" s="157">
        <f t="shared" si="6"/>
        <v>6321362</v>
      </c>
      <c r="R15" s="156">
        <f t="shared" si="6"/>
        <v>0</v>
      </c>
      <c r="S15" s="158">
        <f t="shared" si="6"/>
        <v>0</v>
      </c>
      <c r="T15" s="94">
        <f t="shared" si="6"/>
        <v>0</v>
      </c>
      <c r="U15" s="155">
        <f t="shared" si="6"/>
        <v>16592902</v>
      </c>
      <c r="V15" s="156">
        <f t="shared" si="6"/>
        <v>0</v>
      </c>
      <c r="W15" s="156">
        <f t="shared" si="6"/>
        <v>6343774</v>
      </c>
      <c r="X15" s="158">
        <f t="shared" si="6"/>
        <v>0</v>
      </c>
      <c r="Y15" s="148">
        <f>SUM(Y16:Y18)</f>
        <v>0</v>
      </c>
      <c r="Z15" s="118">
        <f>SUM(Z16:Z18)</f>
        <v>2851021</v>
      </c>
      <c r="AA15" s="159">
        <f t="shared" si="6"/>
        <v>2851021</v>
      </c>
      <c r="AB15" s="160">
        <f t="shared" si="6"/>
        <v>0</v>
      </c>
      <c r="AC15" s="160">
        <f t="shared" si="6"/>
        <v>0</v>
      </c>
      <c r="AD15" s="160">
        <f t="shared" si="6"/>
        <v>0</v>
      </c>
      <c r="AE15" s="161">
        <f t="shared" si="6"/>
        <v>0</v>
      </c>
      <c r="AF15" s="108">
        <f t="shared" si="6"/>
        <v>0</v>
      </c>
      <c r="AG15" s="159">
        <f t="shared" si="6"/>
        <v>0</v>
      </c>
      <c r="AH15" s="160"/>
      <c r="AI15" s="162"/>
      <c r="AJ15" s="163"/>
      <c r="AK15" s="164">
        <f t="shared" si="6"/>
        <v>2454391</v>
      </c>
      <c r="AL15" s="165">
        <f t="shared" si="6"/>
        <v>1098235</v>
      </c>
      <c r="AM15" s="164">
        <f t="shared" si="6"/>
        <v>1356156</v>
      </c>
      <c r="AN15" s="165">
        <f t="shared" si="6"/>
        <v>0</v>
      </c>
      <c r="AO15" s="148">
        <f t="shared" si="6"/>
        <v>460343</v>
      </c>
      <c r="AP15" s="166">
        <f t="shared" si="6"/>
        <v>895813</v>
      </c>
      <c r="AQ15" s="66">
        <f t="shared" si="2"/>
        <v>69193981</v>
      </c>
      <c r="AR15" s="43">
        <f t="shared" si="3"/>
        <v>0</v>
      </c>
    </row>
    <row r="16" spans="1:48" x14ac:dyDescent="0.25">
      <c r="A16" s="123" t="s">
        <v>54</v>
      </c>
      <c r="B16" s="124" t="s">
        <v>55</v>
      </c>
      <c r="C16" s="125">
        <f>SUM(E16+Z16+AF16+AK16)</f>
        <v>26629807</v>
      </c>
      <c r="D16" s="126">
        <f>SUM(F16+G16+H16+I16+J16+K16+L16+M16+N16+O16+P16+Q16+R16+S16+T16+U16+V16+W16+X16+Y16+AA16+AB16+AC16+AD16+AE16+AG16+AH16+AI16+AJ16+AL16+AN16+AO16+AP16)</f>
        <v>26629807</v>
      </c>
      <c r="E16" s="127">
        <f>SUM(F16:Y16)</f>
        <v>24175416</v>
      </c>
      <c r="F16" s="128"/>
      <c r="G16" s="129">
        <f>[4]Presupuesto!CE15</f>
        <v>0</v>
      </c>
      <c r="H16" s="129">
        <f>[4]Presupuesto!CE25</f>
        <v>0</v>
      </c>
      <c r="I16" s="129">
        <f>[4]Presupuesto!CE32</f>
        <v>0</v>
      </c>
      <c r="J16" s="129">
        <f>[4]Presupuesto!CE123</f>
        <v>0</v>
      </c>
      <c r="K16" s="101"/>
      <c r="L16" s="129">
        <f>[4]Presupuesto!CE45</f>
        <v>0</v>
      </c>
      <c r="M16" s="129">
        <f>[4]Presupuesto!CE42</f>
        <v>0</v>
      </c>
      <c r="N16" s="129">
        <f>[4]Presupuesto!CE53</f>
        <v>0</v>
      </c>
      <c r="O16" s="129">
        <f>[4]Presupuesto!CE65</f>
        <v>0</v>
      </c>
      <c r="P16" s="101">
        <f>[4]Presupuesto!CE68</f>
        <v>0</v>
      </c>
      <c r="Q16" s="129">
        <v>6321362</v>
      </c>
      <c r="R16" s="129"/>
      <c r="S16" s="103"/>
      <c r="T16" s="104"/>
      <c r="U16" s="167">
        <v>11510280</v>
      </c>
      <c r="V16" s="130">
        <v>0</v>
      </c>
      <c r="W16" s="130">
        <v>6343774</v>
      </c>
      <c r="X16" s="168">
        <v>0</v>
      </c>
      <c r="Y16" s="148"/>
      <c r="Z16" s="133">
        <f>SUM(AA16:AE16)</f>
        <v>0</v>
      </c>
      <c r="AA16" s="143">
        <f>[4]Presupuesto!CE127</f>
        <v>0</v>
      </c>
      <c r="AB16" s="144">
        <f>[4]Presupuesto!CE131</f>
        <v>0</v>
      </c>
      <c r="AC16" s="144">
        <f>[4]Presupuesto!CE150</f>
        <v>0</v>
      </c>
      <c r="AD16" s="144"/>
      <c r="AE16" s="145">
        <f>[4]Presupuesto!CE156</f>
        <v>0</v>
      </c>
      <c r="AF16" s="108">
        <f>SUM(AG16:AJ16)</f>
        <v>0</v>
      </c>
      <c r="AG16" s="146"/>
      <c r="AH16" s="147"/>
      <c r="AI16" s="148"/>
      <c r="AJ16" s="149"/>
      <c r="AK16" s="136">
        <f>SUM(AL16+AM16)</f>
        <v>2454391</v>
      </c>
      <c r="AL16" s="169">
        <v>1098235</v>
      </c>
      <c r="AM16" s="138">
        <f>SUM(AP16+AO16+AN16)</f>
        <v>1356156</v>
      </c>
      <c r="AN16" s="165">
        <f>[4]Presupuesto!CE185</f>
        <v>0</v>
      </c>
      <c r="AO16" s="170">
        <v>460343</v>
      </c>
      <c r="AP16" s="171">
        <v>895813</v>
      </c>
      <c r="AQ16" s="140">
        <v>26284152</v>
      </c>
      <c r="AR16" s="43">
        <f t="shared" si="3"/>
        <v>345655</v>
      </c>
    </row>
    <row r="17" spans="1:44" s="44" customFormat="1" x14ac:dyDescent="0.25">
      <c r="A17" s="123" t="s">
        <v>56</v>
      </c>
      <c r="B17" s="124" t="s">
        <v>57</v>
      </c>
      <c r="C17" s="125">
        <f>SUM(E17+Z17+AF17+AK17)</f>
        <v>13764174</v>
      </c>
      <c r="D17" s="126">
        <f>SUM(F17+G17+H17+I17+J17+K17+L17+M17+N17+O17+P17+Q17+R17+S17+T17+U17+V17+W17+X17+Y17+AA17+AB17+AC17+AD17+AE17+AG17+AH17+AI17+AJ17+AL17+AN17+AO17+AP17)</f>
        <v>13764174</v>
      </c>
      <c r="E17" s="127">
        <f>SUM(F17:Y17)</f>
        <v>10913153</v>
      </c>
      <c r="F17" s="128"/>
      <c r="G17" s="129">
        <f>[4]Presupuesto!DE15</f>
        <v>0</v>
      </c>
      <c r="H17" s="129">
        <f>[4]Presupuesto!DE25</f>
        <v>0</v>
      </c>
      <c r="I17" s="129">
        <f>[4]Presupuesto!DE32</f>
        <v>0</v>
      </c>
      <c r="J17" s="129">
        <f>[4]Presupuesto!DE123</f>
        <v>0</v>
      </c>
      <c r="K17" s="101"/>
      <c r="L17" s="129">
        <f>[4]Presupuesto!DE45</f>
        <v>0</v>
      </c>
      <c r="M17" s="129">
        <f>[4]Presupuesto!DE42</f>
        <v>0</v>
      </c>
      <c r="N17" s="131">
        <v>5830531</v>
      </c>
      <c r="O17" s="129">
        <f>[4]Presupuesto!DE65</f>
        <v>0</v>
      </c>
      <c r="P17" s="101">
        <f>[4]Presupuesto!DE68</f>
        <v>0</v>
      </c>
      <c r="Q17" s="101"/>
      <c r="R17" s="129">
        <f>7318141-4318141-3000000</f>
        <v>0</v>
      </c>
      <c r="S17" s="103"/>
      <c r="T17" s="104"/>
      <c r="U17" s="167">
        <v>5082622</v>
      </c>
      <c r="V17" s="130">
        <v>0</v>
      </c>
      <c r="W17" s="130">
        <v>0</v>
      </c>
      <c r="X17" s="168">
        <v>0</v>
      </c>
      <c r="Y17" s="148"/>
      <c r="Z17" s="133">
        <f>SUM(AA17:AE17)</f>
        <v>2851021</v>
      </c>
      <c r="AA17" s="143">
        <v>2851021</v>
      </c>
      <c r="AB17" s="144">
        <f>[4]Presupuesto!DE131</f>
        <v>0</v>
      </c>
      <c r="AC17" s="144">
        <f>[4]Presupuesto!DE150</f>
        <v>0</v>
      </c>
      <c r="AD17" s="144">
        <f>[4]Presupuesto!DE141</f>
        <v>0</v>
      </c>
      <c r="AE17" s="145">
        <f>[4]Presupuesto!DE156</f>
        <v>0</v>
      </c>
      <c r="AF17" s="108">
        <f>SUM(AG17:AJ17)</f>
        <v>0</v>
      </c>
      <c r="AG17" s="146"/>
      <c r="AH17" s="147"/>
      <c r="AI17" s="148"/>
      <c r="AJ17" s="149"/>
      <c r="AK17" s="136">
        <f>SUM(AL17+AM17)</f>
        <v>0</v>
      </c>
      <c r="AL17" s="165">
        <f>[4]Presupuesto!DE202+[4]Presupuesto!DE218</f>
        <v>0</v>
      </c>
      <c r="AM17" s="138">
        <f>SUM(AP17+AO17+AN17)</f>
        <v>0</v>
      </c>
      <c r="AN17" s="165">
        <f>[4]Presupuesto!DE185</f>
        <v>0</v>
      </c>
      <c r="AO17" s="148">
        <f>[4]Presupuesto!DE193</f>
        <v>0</v>
      </c>
      <c r="AP17" s="151">
        <f>[4]Presupuesto!DE209</f>
        <v>0</v>
      </c>
      <c r="AQ17" s="66">
        <f t="shared" si="2"/>
        <v>13764174</v>
      </c>
      <c r="AR17" s="43">
        <f t="shared" si="3"/>
        <v>0</v>
      </c>
    </row>
    <row r="18" spans="1:44" s="44" customFormat="1" x14ac:dyDescent="0.25">
      <c r="A18" s="123" t="s">
        <v>58</v>
      </c>
      <c r="B18" s="124" t="s">
        <v>59</v>
      </c>
      <c r="C18" s="125">
        <f>SUM(E18+Z18+AF18+AK18)</f>
        <v>28800000</v>
      </c>
      <c r="D18" s="126">
        <f>+F18</f>
        <v>28800000</v>
      </c>
      <c r="E18" s="127">
        <f>SUM(F18:Y18)</f>
        <v>28800000</v>
      </c>
      <c r="F18" s="128">
        <f>+[5]Hoja1!$C$18</f>
        <v>28800000</v>
      </c>
      <c r="G18" s="129"/>
      <c r="H18" s="129"/>
      <c r="I18" s="129"/>
      <c r="J18" s="129"/>
      <c r="K18" s="101"/>
      <c r="L18" s="129"/>
      <c r="M18" s="129"/>
      <c r="N18" s="129"/>
      <c r="O18" s="129"/>
      <c r="P18" s="101"/>
      <c r="Q18" s="101"/>
      <c r="R18" s="101" t="s">
        <v>0</v>
      </c>
      <c r="S18" s="103" t="s">
        <v>0</v>
      </c>
      <c r="T18" s="104"/>
      <c r="U18" s="105"/>
      <c r="V18" s="101"/>
      <c r="W18" s="101"/>
      <c r="X18" s="103"/>
      <c r="Y18" s="148"/>
      <c r="Z18" s="133">
        <f>SUM(AA18:AE18)</f>
        <v>0</v>
      </c>
      <c r="AA18" s="143"/>
      <c r="AB18" s="144"/>
      <c r="AC18" s="144"/>
      <c r="AD18" s="144"/>
      <c r="AE18" s="145"/>
      <c r="AF18" s="108">
        <f>SUM(AG18:AJ18)</f>
        <v>0</v>
      </c>
      <c r="AG18" s="146"/>
      <c r="AH18" s="147"/>
      <c r="AI18" s="148"/>
      <c r="AJ18" s="149"/>
      <c r="AK18" s="136">
        <f>SUM(AL18+AM18)</f>
        <v>0</v>
      </c>
      <c r="AL18" s="165"/>
      <c r="AM18" s="136">
        <f>SUM(AN18:AP18)</f>
        <v>0</v>
      </c>
      <c r="AN18" s="165"/>
      <c r="AO18" s="148"/>
      <c r="AP18" s="151"/>
      <c r="AQ18" s="66" t="e">
        <f t="shared" si="2"/>
        <v>#VALUE!</v>
      </c>
      <c r="AR18" s="43" t="e">
        <f t="shared" si="3"/>
        <v>#VALUE!</v>
      </c>
    </row>
    <row r="19" spans="1:44" s="44" customFormat="1" x14ac:dyDescent="0.25">
      <c r="A19" s="123"/>
      <c r="B19" s="124"/>
      <c r="C19" s="125"/>
      <c r="D19" s="98"/>
      <c r="E19" s="127"/>
      <c r="F19" s="128"/>
      <c r="G19" s="129"/>
      <c r="H19" s="129"/>
      <c r="I19" s="129"/>
      <c r="J19" s="129"/>
      <c r="K19" s="101"/>
      <c r="L19" s="129"/>
      <c r="M19" s="129"/>
      <c r="N19" s="129"/>
      <c r="O19" s="129"/>
      <c r="P19" s="101"/>
      <c r="Q19" s="101"/>
      <c r="R19" s="101"/>
      <c r="S19" s="103"/>
      <c r="T19" s="104"/>
      <c r="U19" s="105"/>
      <c r="V19" s="101"/>
      <c r="W19" s="101"/>
      <c r="X19" s="103"/>
      <c r="Y19" s="148"/>
      <c r="Z19" s="133"/>
      <c r="AA19" s="143"/>
      <c r="AB19" s="144"/>
      <c r="AC19" s="144"/>
      <c r="AD19" s="144"/>
      <c r="AE19" s="145"/>
      <c r="AF19" s="108">
        <f>SUM(AG19:AI19)</f>
        <v>0</v>
      </c>
      <c r="AG19" s="146"/>
      <c r="AH19" s="147"/>
      <c r="AI19" s="148"/>
      <c r="AJ19" s="149"/>
      <c r="AK19" s="164"/>
      <c r="AL19" s="165"/>
      <c r="AM19" s="164"/>
      <c r="AN19" s="165"/>
      <c r="AO19" s="148"/>
      <c r="AP19" s="151"/>
      <c r="AQ19" s="66">
        <f t="shared" si="2"/>
        <v>0</v>
      </c>
      <c r="AR19" s="43">
        <f t="shared" si="3"/>
        <v>0</v>
      </c>
    </row>
    <row r="20" spans="1:44" s="44" customFormat="1" x14ac:dyDescent="0.25">
      <c r="A20" s="172" t="s">
        <v>60</v>
      </c>
      <c r="B20" s="113" t="s">
        <v>61</v>
      </c>
      <c r="C20" s="92">
        <f>+C21+C25+C29+C30+C32</f>
        <v>1575567487.9977875</v>
      </c>
      <c r="D20" s="92">
        <f>SUM(D21+D25+D29+D30+D32)</f>
        <v>1575567487.9977875</v>
      </c>
      <c r="E20" s="93">
        <f>SUM(E21+E25+E29+E30+E32)</f>
        <v>791919705.99778748</v>
      </c>
      <c r="F20" s="155">
        <f t="shared" ref="F20:Z20" si="7">F21+F25+F29+F30+F32</f>
        <v>0</v>
      </c>
      <c r="G20" s="156">
        <f>G21+G25+G29+G30+G32</f>
        <v>72704505</v>
      </c>
      <c r="H20" s="156">
        <f t="shared" si="7"/>
        <v>40481758.997787498</v>
      </c>
      <c r="I20" s="156">
        <f t="shared" si="7"/>
        <v>27670622</v>
      </c>
      <c r="J20" s="156">
        <f t="shared" si="7"/>
        <v>8905170</v>
      </c>
      <c r="K20" s="156">
        <f t="shared" si="7"/>
        <v>80311675</v>
      </c>
      <c r="L20" s="156">
        <f t="shared" si="7"/>
        <v>7306286</v>
      </c>
      <c r="M20" s="156">
        <f t="shared" si="7"/>
        <v>9877742</v>
      </c>
      <c r="N20" s="156">
        <f t="shared" si="7"/>
        <v>74869816</v>
      </c>
      <c r="O20" s="156">
        <f t="shared" si="7"/>
        <v>146649822</v>
      </c>
      <c r="P20" s="156">
        <f t="shared" si="7"/>
        <v>19352287</v>
      </c>
      <c r="Q20" s="156">
        <f t="shared" si="7"/>
        <v>55183559</v>
      </c>
      <c r="R20" s="156">
        <f t="shared" si="7"/>
        <v>36083357</v>
      </c>
      <c r="S20" s="158">
        <f>S21+S25+S29+S30+S32</f>
        <v>39353182</v>
      </c>
      <c r="T20" s="94">
        <f t="shared" si="7"/>
        <v>21404911</v>
      </c>
      <c r="U20" s="155">
        <f>U21+U25+U29+U30+U32</f>
        <v>50301758</v>
      </c>
      <c r="V20" s="156">
        <f>V21+V25+V29+V30+V32</f>
        <v>26571966</v>
      </c>
      <c r="W20" s="156">
        <f>W21+W25+W29+W30+W32</f>
        <v>15738313</v>
      </c>
      <c r="X20" s="158">
        <f t="shared" si="7"/>
        <v>14475819</v>
      </c>
      <c r="Y20" s="160">
        <f t="shared" si="7"/>
        <v>44677157</v>
      </c>
      <c r="Z20" s="118">
        <f t="shared" si="7"/>
        <v>314255510</v>
      </c>
      <c r="AA20" s="159">
        <f>AA21+AA25+AA29+AA30+AA32</f>
        <v>31136571.000000004</v>
      </c>
      <c r="AB20" s="160">
        <f>AB21+AB25+AB29+AB30+AB32</f>
        <v>63796883</v>
      </c>
      <c r="AC20" s="160">
        <f>AC21+AC25+AC29+AC30+AC32</f>
        <v>93278099</v>
      </c>
      <c r="AD20" s="160">
        <f>AD21+AD25+AD29+AD30+AD32</f>
        <v>78817128</v>
      </c>
      <c r="AE20" s="161">
        <f>AE21+AE25+AE29+AE30+AE32</f>
        <v>47226829</v>
      </c>
      <c r="AF20" s="108">
        <f>SUM(AF21+AF25+AF29+AF30+AF32)</f>
        <v>268226398</v>
      </c>
      <c r="AG20" s="159">
        <f t="shared" ref="AG20:AP20" si="8">AG21+AG25+AG29+AG30+AG32</f>
        <v>20591430</v>
      </c>
      <c r="AH20" s="160">
        <f t="shared" si="8"/>
        <v>136630229</v>
      </c>
      <c r="AI20" s="160">
        <f t="shared" si="8"/>
        <v>52698706</v>
      </c>
      <c r="AJ20" s="173">
        <f t="shared" si="8"/>
        <v>58306033</v>
      </c>
      <c r="AK20" s="108">
        <f t="shared" si="8"/>
        <v>201165874</v>
      </c>
      <c r="AL20" s="118">
        <f t="shared" si="8"/>
        <v>138415586</v>
      </c>
      <c r="AM20" s="108">
        <f t="shared" si="8"/>
        <v>62750288</v>
      </c>
      <c r="AN20" s="118">
        <f t="shared" si="8"/>
        <v>14895560</v>
      </c>
      <c r="AO20" s="118">
        <f t="shared" si="8"/>
        <v>19303885</v>
      </c>
      <c r="AP20" s="118">
        <f t="shared" si="8"/>
        <v>28550843</v>
      </c>
      <c r="AQ20" s="66">
        <f t="shared" si="2"/>
        <v>1575567487.9977875</v>
      </c>
      <c r="AR20" s="43">
        <f t="shared" si="3"/>
        <v>0</v>
      </c>
    </row>
    <row r="21" spans="1:44" s="44" customFormat="1" x14ac:dyDescent="0.25">
      <c r="A21" s="174" t="s">
        <v>62</v>
      </c>
      <c r="B21" s="154" t="s">
        <v>63</v>
      </c>
      <c r="C21" s="125">
        <f>+C22+C23</f>
        <v>475711115</v>
      </c>
      <c r="D21" s="98">
        <f>SUM(D22:D23)</f>
        <v>475711115</v>
      </c>
      <c r="E21" s="127">
        <f>SUM(E22:E23)</f>
        <v>244179070</v>
      </c>
      <c r="F21" s="175"/>
      <c r="G21" s="156">
        <f>SUM(G22:G23)</f>
        <v>14880298</v>
      </c>
      <c r="H21" s="156">
        <f>SUM(H22:H23)</f>
        <v>7881784</v>
      </c>
      <c r="I21" s="156">
        <f>SUM(I22:I23)</f>
        <v>5922372</v>
      </c>
      <c r="J21" s="156">
        <f>SUM(J22:J23)</f>
        <v>1684692</v>
      </c>
      <c r="K21" s="176">
        <f>+K22+K23</f>
        <v>26380244</v>
      </c>
      <c r="L21" s="156">
        <f>+L22+L23</f>
        <v>2231638</v>
      </c>
      <c r="M21" s="176">
        <f>SUM(M22:M23)</f>
        <v>2206395</v>
      </c>
      <c r="N21" s="176">
        <f>SUM(N22:N23)</f>
        <v>19870911</v>
      </c>
      <c r="O21" s="176">
        <f>SUM(O22:O23)</f>
        <v>56331118</v>
      </c>
      <c r="P21" s="129">
        <f>SUM(P22:P23)</f>
        <v>5412832</v>
      </c>
      <c r="Q21" s="176">
        <f t="shared" ref="Q21:Y21" si="9">+Q22+Q23</f>
        <v>27560387</v>
      </c>
      <c r="R21" s="176">
        <f t="shared" si="9"/>
        <v>8394271</v>
      </c>
      <c r="S21" s="177">
        <f t="shared" si="9"/>
        <v>9565987</v>
      </c>
      <c r="T21" s="178">
        <f t="shared" si="9"/>
        <v>12258350</v>
      </c>
      <c r="U21" s="175">
        <f t="shared" si="9"/>
        <v>15803840</v>
      </c>
      <c r="V21" s="176">
        <f t="shared" si="9"/>
        <v>9257908</v>
      </c>
      <c r="W21" s="176">
        <f t="shared" si="9"/>
        <v>6061975</v>
      </c>
      <c r="X21" s="177">
        <f t="shared" si="9"/>
        <v>4244504</v>
      </c>
      <c r="Y21" s="129">
        <f t="shared" si="9"/>
        <v>8229564</v>
      </c>
      <c r="Z21" s="179">
        <f>SUM(Z22:Z23)</f>
        <v>93996027</v>
      </c>
      <c r="AA21" s="128">
        <f t="shared" ref="AA21:AH21" si="10">SUM(AA22:AA23)</f>
        <v>6060094</v>
      </c>
      <c r="AB21" s="129">
        <f t="shared" si="10"/>
        <v>33437839</v>
      </c>
      <c r="AC21" s="129">
        <f t="shared" si="10"/>
        <v>31557896</v>
      </c>
      <c r="AD21" s="129">
        <f t="shared" si="10"/>
        <v>12104494</v>
      </c>
      <c r="AE21" s="180">
        <f t="shared" si="10"/>
        <v>10835704</v>
      </c>
      <c r="AF21" s="134">
        <f>SUM(AF22:AF23)</f>
        <v>73513152</v>
      </c>
      <c r="AG21" s="129">
        <f t="shared" si="10"/>
        <v>5381156</v>
      </c>
      <c r="AH21" s="129">
        <f t="shared" si="10"/>
        <v>38479038</v>
      </c>
      <c r="AI21" s="129">
        <v>15849057</v>
      </c>
      <c r="AJ21" s="141">
        <v>13803901</v>
      </c>
      <c r="AK21" s="136">
        <f t="shared" ref="AK21:AP21" si="11">SUM(AK22:AK23)</f>
        <v>64022866</v>
      </c>
      <c r="AL21" s="181">
        <f t="shared" si="11"/>
        <v>43565144</v>
      </c>
      <c r="AM21" s="138">
        <f t="shared" si="11"/>
        <v>20457722</v>
      </c>
      <c r="AN21" s="182">
        <f t="shared" si="11"/>
        <v>5049941</v>
      </c>
      <c r="AO21" s="182">
        <f t="shared" si="11"/>
        <v>9858590</v>
      </c>
      <c r="AP21" s="182">
        <f t="shared" si="11"/>
        <v>5549191</v>
      </c>
      <c r="AQ21" s="66">
        <f t="shared" si="2"/>
        <v>475711115</v>
      </c>
      <c r="AR21" s="43">
        <f t="shared" si="3"/>
        <v>0</v>
      </c>
    </row>
    <row r="22" spans="1:44" s="44" customFormat="1" x14ac:dyDescent="0.25">
      <c r="A22" s="123" t="s">
        <v>64</v>
      </c>
      <c r="B22" s="124" t="s">
        <v>65</v>
      </c>
      <c r="C22" s="125">
        <f>+E22+Z22+AF22+AK22</f>
        <v>399644699</v>
      </c>
      <c r="D22" s="126">
        <f>SUM(F22+G22+H22+I22+J22+K22+L22+M22+N22+O22+P22+Q22+R22+S22+T22+U22+V22+W22+X22+Y22+AA22+AB22+AC22+AD22+AE22+AG22+AH22+AI22+AJ22+AL22+AN22+AO22+AP22)</f>
        <v>399644699</v>
      </c>
      <c r="E22" s="127">
        <f>SUM(F22:Y22)</f>
        <v>211640686</v>
      </c>
      <c r="F22" s="128"/>
      <c r="G22" s="129">
        <v>14880298</v>
      </c>
      <c r="H22" s="129">
        <v>7881784</v>
      </c>
      <c r="I22" s="129">
        <v>5922372</v>
      </c>
      <c r="J22" s="129">
        <v>1684692</v>
      </c>
      <c r="K22" s="131">
        <v>19773284</v>
      </c>
      <c r="L22" s="129">
        <v>2231638</v>
      </c>
      <c r="M22" s="129">
        <v>2206395</v>
      </c>
      <c r="N22" s="129">
        <v>19870911</v>
      </c>
      <c r="O22" s="129">
        <v>37774006</v>
      </c>
      <c r="P22" s="129">
        <v>5412832</v>
      </c>
      <c r="Q22" s="132">
        <v>27560387</v>
      </c>
      <c r="R22" s="132">
        <v>8394271</v>
      </c>
      <c r="S22" s="132">
        <v>9565987</v>
      </c>
      <c r="T22" s="132">
        <v>4884038</v>
      </c>
      <c r="U22" s="132">
        <v>15803840</v>
      </c>
      <c r="V22" s="132">
        <v>9257908</v>
      </c>
      <c r="W22" s="132">
        <v>6061975</v>
      </c>
      <c r="X22" s="132">
        <v>4244504</v>
      </c>
      <c r="Y22" s="129">
        <v>8229564</v>
      </c>
      <c r="Z22" s="133">
        <f>SUM(AA22:AE22)</f>
        <v>72124707</v>
      </c>
      <c r="AA22" s="132">
        <v>6060094</v>
      </c>
      <c r="AB22" s="132">
        <v>19345399</v>
      </c>
      <c r="AC22" s="132">
        <v>23779016</v>
      </c>
      <c r="AD22" s="132">
        <v>12104494</v>
      </c>
      <c r="AE22" s="132">
        <v>10835704</v>
      </c>
      <c r="AF22" s="134">
        <f>SUM(AG22:AJ22)</f>
        <v>59492184</v>
      </c>
      <c r="AG22" s="132">
        <v>5381156</v>
      </c>
      <c r="AH22" s="132">
        <v>24458070</v>
      </c>
      <c r="AI22" s="132">
        <v>15849057</v>
      </c>
      <c r="AJ22" s="135">
        <v>13803901</v>
      </c>
      <c r="AK22" s="136">
        <f>SUM(AL22+AM22)</f>
        <v>56387122</v>
      </c>
      <c r="AL22" s="137">
        <v>35929400</v>
      </c>
      <c r="AM22" s="138">
        <f>SUM(AP22+AO22+AN22)</f>
        <v>20457722</v>
      </c>
      <c r="AN22" s="139">
        <v>5049941</v>
      </c>
      <c r="AO22" s="132">
        <v>9858590</v>
      </c>
      <c r="AP22" s="140">
        <v>5549191</v>
      </c>
      <c r="AQ22" s="66">
        <f t="shared" si="2"/>
        <v>399644699</v>
      </c>
      <c r="AR22" s="43">
        <f t="shared" si="3"/>
        <v>0</v>
      </c>
    </row>
    <row r="23" spans="1:44" s="44" customFormat="1" x14ac:dyDescent="0.25">
      <c r="A23" s="123" t="s">
        <v>66</v>
      </c>
      <c r="B23" s="124" t="s">
        <v>67</v>
      </c>
      <c r="C23" s="125">
        <f>+E23+Z23+AF23+AK23</f>
        <v>76066416</v>
      </c>
      <c r="D23" s="126">
        <f>SUM(F23+G23+H23+I23+J23+K23+L23+M23+N23+O23+P23+Q23+R23+S23+T23+U23+V23+W23+X23+Y23+AA23+AB23+AC23+AD23+AE23+AG23+AH23+AI23+AJ23+AL23+AN23+AO23+AP23)</f>
        <v>76066416</v>
      </c>
      <c r="E23" s="127">
        <f>SUM(F23:Y23)</f>
        <v>32538384</v>
      </c>
      <c r="F23" s="128"/>
      <c r="G23" s="129"/>
      <c r="H23" s="129"/>
      <c r="I23" s="129"/>
      <c r="J23" s="129"/>
      <c r="K23" s="131">
        <v>6606960</v>
      </c>
      <c r="L23" s="129"/>
      <c r="M23" s="129"/>
      <c r="N23" s="129"/>
      <c r="O23" s="129">
        <v>18557112</v>
      </c>
      <c r="P23" s="129"/>
      <c r="Q23" s="132">
        <v>0</v>
      </c>
      <c r="R23" s="132">
        <v>0</v>
      </c>
      <c r="S23" s="132">
        <v>0</v>
      </c>
      <c r="T23" s="132">
        <v>7374312</v>
      </c>
      <c r="U23" s="129">
        <v>0</v>
      </c>
      <c r="V23" s="129">
        <v>0</v>
      </c>
      <c r="W23" s="129">
        <f>[4]Presupuesto!BL113</f>
        <v>0</v>
      </c>
      <c r="X23" s="141">
        <f>[4]Presupuesto!BL116</f>
        <v>0</v>
      </c>
      <c r="Y23" s="129">
        <f>[4]Presupuesto!AV189</f>
        <v>0</v>
      </c>
      <c r="Z23" s="133">
        <f>SUM(AA23:AE23)</f>
        <v>21871320</v>
      </c>
      <c r="AA23" s="132">
        <v>0</v>
      </c>
      <c r="AB23" s="132">
        <v>14092440</v>
      </c>
      <c r="AC23" s="132">
        <v>7778880</v>
      </c>
      <c r="AD23" s="132">
        <v>0</v>
      </c>
      <c r="AE23" s="132">
        <v>0</v>
      </c>
      <c r="AF23" s="134">
        <f>SUM(AG23:AJ23)</f>
        <v>14020968</v>
      </c>
      <c r="AG23" s="132">
        <v>0</v>
      </c>
      <c r="AH23" s="132">
        <v>14020968</v>
      </c>
      <c r="AI23" s="132">
        <v>0</v>
      </c>
      <c r="AJ23" s="135">
        <v>0</v>
      </c>
      <c r="AK23" s="136">
        <f>SUM(AL23+AM23)</f>
        <v>7635744</v>
      </c>
      <c r="AL23" s="137">
        <v>7635744</v>
      </c>
      <c r="AM23" s="138">
        <f>SUM(AP23+AO23+AN23)</f>
        <v>0</v>
      </c>
      <c r="AN23" s="181"/>
      <c r="AO23" s="129"/>
      <c r="AP23" s="183"/>
      <c r="AQ23" s="66">
        <f t="shared" si="2"/>
        <v>76066416</v>
      </c>
      <c r="AR23" s="43">
        <f t="shared" si="3"/>
        <v>0</v>
      </c>
    </row>
    <row r="24" spans="1:44" s="44" customFormat="1" x14ac:dyDescent="0.25">
      <c r="A24" s="123"/>
      <c r="B24" s="124"/>
      <c r="C24" s="125"/>
      <c r="D24" s="98"/>
      <c r="E24" s="127"/>
      <c r="F24" s="128"/>
      <c r="G24" s="129"/>
      <c r="H24" s="129"/>
      <c r="I24" s="129"/>
      <c r="J24" s="129"/>
      <c r="K24" s="101"/>
      <c r="L24" s="129"/>
      <c r="M24" s="129"/>
      <c r="N24" s="129"/>
      <c r="O24" s="129"/>
      <c r="P24" s="101"/>
      <c r="Q24" s="101"/>
      <c r="R24" s="101"/>
      <c r="S24" s="103"/>
      <c r="T24" s="104"/>
      <c r="U24" s="105"/>
      <c r="V24" s="101"/>
      <c r="W24" s="101"/>
      <c r="X24" s="103"/>
      <c r="Y24" s="148"/>
      <c r="Z24" s="133"/>
      <c r="AA24" s="128"/>
      <c r="AB24" s="144"/>
      <c r="AC24" s="144"/>
      <c r="AD24" s="144"/>
      <c r="AE24" s="145"/>
      <c r="AF24" s="108">
        <f>SUM(AG24:AI24)</f>
        <v>0</v>
      </c>
      <c r="AG24" s="146"/>
      <c r="AH24" s="147"/>
      <c r="AI24" s="148"/>
      <c r="AJ24" s="149"/>
      <c r="AK24" s="164"/>
      <c r="AL24" s="165"/>
      <c r="AM24" s="164"/>
      <c r="AN24" s="165"/>
      <c r="AO24" s="148"/>
      <c r="AP24" s="151"/>
      <c r="AQ24" s="66">
        <f t="shared" si="2"/>
        <v>0</v>
      </c>
      <c r="AR24" s="43">
        <f t="shared" si="3"/>
        <v>0</v>
      </c>
    </row>
    <row r="25" spans="1:44" s="44" customFormat="1" x14ac:dyDescent="0.25">
      <c r="A25" s="174" t="s">
        <v>68</v>
      </c>
      <c r="B25" s="154" t="s">
        <v>69</v>
      </c>
      <c r="C25" s="92">
        <f>SUM(C26:C27)</f>
        <v>542975040</v>
      </c>
      <c r="D25" s="70">
        <f>SUM(D26:D27)</f>
        <v>542975040</v>
      </c>
      <c r="E25" s="93">
        <f t="shared" ref="E25:X25" si="12">SUM(E26:E27)</f>
        <v>259528714</v>
      </c>
      <c r="F25" s="184">
        <f t="shared" si="12"/>
        <v>0</v>
      </c>
      <c r="G25" s="185">
        <f t="shared" si="12"/>
        <v>32849310</v>
      </c>
      <c r="H25" s="185">
        <f t="shared" si="12"/>
        <v>13698300</v>
      </c>
      <c r="I25" s="185">
        <f t="shared" si="12"/>
        <v>8904390</v>
      </c>
      <c r="J25" s="185">
        <f t="shared" si="12"/>
        <v>3577530</v>
      </c>
      <c r="K25" s="185">
        <f t="shared" si="12"/>
        <v>26762129</v>
      </c>
      <c r="L25" s="185">
        <f t="shared" si="12"/>
        <v>0</v>
      </c>
      <c r="M25" s="185">
        <f t="shared" si="12"/>
        <v>4722300</v>
      </c>
      <c r="N25" s="185">
        <f t="shared" si="12"/>
        <v>27660270</v>
      </c>
      <c r="O25" s="185">
        <f t="shared" si="12"/>
        <v>43743480</v>
      </c>
      <c r="P25" s="185">
        <f t="shared" si="12"/>
        <v>7682610</v>
      </c>
      <c r="Q25" s="185">
        <f t="shared" si="12"/>
        <v>5619570.0000000009</v>
      </c>
      <c r="R25" s="185">
        <f t="shared" si="12"/>
        <v>14870130.000000002</v>
      </c>
      <c r="S25" s="185">
        <f>SUM(S26:S27)</f>
        <v>16495020.000000002</v>
      </c>
      <c r="T25" s="185">
        <f t="shared" si="12"/>
        <v>3579444</v>
      </c>
      <c r="U25" s="185">
        <f>SUM(U26:U27)</f>
        <v>13421100.000000002</v>
      </c>
      <c r="V25" s="185">
        <f>SUM(V26:V27)</f>
        <v>7860204.0000000019</v>
      </c>
      <c r="W25" s="185">
        <f>SUM(W26:W27)</f>
        <v>3175187</v>
      </c>
      <c r="X25" s="186">
        <f t="shared" si="12"/>
        <v>5121270.0000000009</v>
      </c>
      <c r="Y25" s="162">
        <f>SUM(Y26:Y27)</f>
        <v>19786470</v>
      </c>
      <c r="Z25" s="187">
        <f>SUM(Z26)</f>
        <v>116561610</v>
      </c>
      <c r="AA25" s="184">
        <f t="shared" ref="AA25:AP25" si="13">SUM(AA26:AA27)</f>
        <v>13832940.000000004</v>
      </c>
      <c r="AB25" s="185">
        <f t="shared" si="13"/>
        <v>13055790</v>
      </c>
      <c r="AC25" s="185">
        <f t="shared" si="13"/>
        <v>32010000.000000004</v>
      </c>
      <c r="AD25" s="185">
        <f t="shared" si="13"/>
        <v>37530240</v>
      </c>
      <c r="AE25" s="188">
        <f t="shared" si="13"/>
        <v>20132640.000000004</v>
      </c>
      <c r="AF25" s="189">
        <f t="shared" si="13"/>
        <v>100400850.00000001</v>
      </c>
      <c r="AG25" s="185">
        <f t="shared" si="13"/>
        <v>7934520</v>
      </c>
      <c r="AH25" s="185">
        <f t="shared" si="13"/>
        <v>50860260.000000007</v>
      </c>
      <c r="AI25" s="185">
        <f t="shared" si="13"/>
        <v>18641700.000000004</v>
      </c>
      <c r="AJ25" s="186">
        <f t="shared" si="13"/>
        <v>22964370.000000004</v>
      </c>
      <c r="AK25" s="190">
        <f t="shared" si="13"/>
        <v>66483866</v>
      </c>
      <c r="AL25" s="191">
        <f t="shared" si="13"/>
        <v>46755189</v>
      </c>
      <c r="AM25" s="164">
        <f t="shared" si="13"/>
        <v>19728677</v>
      </c>
      <c r="AN25" s="192">
        <f>SUM(AN26:AN27)</f>
        <v>4760712.0000000009</v>
      </c>
      <c r="AO25" s="192">
        <f>SUM(AO26:AO27)</f>
        <v>2389497.0000000005</v>
      </c>
      <c r="AP25" s="166">
        <f t="shared" si="13"/>
        <v>12578468</v>
      </c>
      <c r="AQ25" s="66">
        <f t="shared" si="2"/>
        <v>542975040</v>
      </c>
      <c r="AR25" s="43">
        <f t="shared" si="3"/>
        <v>0</v>
      </c>
    </row>
    <row r="26" spans="1:44" s="44" customFormat="1" x14ac:dyDescent="0.25">
      <c r="A26" s="123"/>
      <c r="B26" s="124" t="s">
        <v>70</v>
      </c>
      <c r="C26" s="125">
        <f>+E26+Z26+AF26+AK26</f>
        <v>495392700</v>
      </c>
      <c r="D26" s="126">
        <f>SUM(F26+G26+H26+I26+J26+K26+L26+M26+N26+O26+P26+Q26+R26+S26+T26+U26+V26+W26+X26+Y26+AA26+AB26+AC26+AD26+AE26+AG26+AH26+AI26+AJ26+AL26+AN26+AO26+AP26)</f>
        <v>495392700</v>
      </c>
      <c r="E26" s="127">
        <f>SUM(F26:Y26)</f>
        <v>211946374</v>
      </c>
      <c r="F26" s="128"/>
      <c r="G26" s="129"/>
      <c r="H26" s="129">
        <v>13698300</v>
      </c>
      <c r="I26" s="129">
        <v>8904390</v>
      </c>
      <c r="J26" s="129">
        <v>3577530</v>
      </c>
      <c r="K26" s="131">
        <v>26762129</v>
      </c>
      <c r="L26" s="129">
        <v>0</v>
      </c>
      <c r="M26" s="129">
        <v>4722300</v>
      </c>
      <c r="N26" s="129">
        <v>27660270</v>
      </c>
      <c r="O26" s="129">
        <v>43743480</v>
      </c>
      <c r="P26" s="129"/>
      <c r="Q26" s="132">
        <v>5619570.0000000009</v>
      </c>
      <c r="R26" s="132">
        <v>14870130.000000002</v>
      </c>
      <c r="S26" s="132">
        <v>9444600.0000000019</v>
      </c>
      <c r="T26" s="132">
        <v>3579444</v>
      </c>
      <c r="U26" s="132">
        <v>13421100.000000002</v>
      </c>
      <c r="V26" s="132">
        <v>7860204.0000000019</v>
      </c>
      <c r="W26" s="132">
        <v>3175187</v>
      </c>
      <c r="X26" s="132">
        <v>5121270.0000000009</v>
      </c>
      <c r="Y26" s="148">
        <v>19786470</v>
      </c>
      <c r="Z26" s="133">
        <f>SUM(AA26:AE26)</f>
        <v>116561610</v>
      </c>
      <c r="AA26" s="132">
        <v>13832940.000000004</v>
      </c>
      <c r="AB26" s="132">
        <v>13055790</v>
      </c>
      <c r="AC26" s="132">
        <v>32010000.000000004</v>
      </c>
      <c r="AD26" s="132">
        <v>37530240</v>
      </c>
      <c r="AE26" s="132">
        <v>20132640.000000004</v>
      </c>
      <c r="AF26" s="193">
        <f>SUM(AG26:AJ26)</f>
        <v>100400850.00000001</v>
      </c>
      <c r="AG26" s="132">
        <v>7934520</v>
      </c>
      <c r="AH26" s="132">
        <v>50860260.000000007</v>
      </c>
      <c r="AI26" s="132">
        <v>18641700.000000004</v>
      </c>
      <c r="AJ26" s="135">
        <v>22964370.000000004</v>
      </c>
      <c r="AK26" s="136">
        <f>SUM(AL26+AM26)</f>
        <v>66483866</v>
      </c>
      <c r="AL26" s="137">
        <v>46755189</v>
      </c>
      <c r="AM26" s="138">
        <f>SUM(AP26+AO26+AN26)</f>
        <v>19728677</v>
      </c>
      <c r="AN26" s="194">
        <v>4760712.0000000009</v>
      </c>
      <c r="AO26" s="170">
        <v>2389497.0000000005</v>
      </c>
      <c r="AP26" s="171">
        <v>12578468</v>
      </c>
      <c r="AQ26" s="66">
        <f t="shared" si="2"/>
        <v>495392700</v>
      </c>
      <c r="AR26" s="43">
        <f t="shared" si="3"/>
        <v>0</v>
      </c>
    </row>
    <row r="27" spans="1:44" s="44" customFormat="1" x14ac:dyDescent="0.25">
      <c r="A27" s="123" t="s">
        <v>71</v>
      </c>
      <c r="B27" s="124" t="s">
        <v>72</v>
      </c>
      <c r="C27" s="125">
        <f>+E27+Z27+AF27+AK27</f>
        <v>47582340</v>
      </c>
      <c r="D27" s="126">
        <f>SUM(F27+G27+H27+I27+J27+K27+L27+M27+N27+O27+P27+Q27+R27+S27+T27+U27+V27+W27+X27+Y27+AA27+AB27+AC27+AD27+AE27+AG27+AH27+AI27+AJ27+AL27+AN27+AO27+AP27)</f>
        <v>47582340</v>
      </c>
      <c r="E27" s="127">
        <f>SUM(F27:Y27)</f>
        <v>47582340</v>
      </c>
      <c r="F27" s="175"/>
      <c r="G27" s="176">
        <v>32849310</v>
      </c>
      <c r="H27" s="176"/>
      <c r="I27" s="176"/>
      <c r="J27" s="176"/>
      <c r="K27" s="129"/>
      <c r="L27" s="176"/>
      <c r="M27" s="176"/>
      <c r="N27" s="176"/>
      <c r="O27" s="176"/>
      <c r="P27" s="129">
        <v>7682610</v>
      </c>
      <c r="Q27" s="131">
        <v>0</v>
      </c>
      <c r="R27" s="131">
        <v>0</v>
      </c>
      <c r="S27" s="131">
        <v>7050420</v>
      </c>
      <c r="T27" s="131">
        <v>0</v>
      </c>
      <c r="U27" s="129"/>
      <c r="V27" s="129"/>
      <c r="W27" s="129"/>
      <c r="X27" s="141"/>
      <c r="Y27" s="148"/>
      <c r="Z27" s="133">
        <f>SUM(AA27:AE27)</f>
        <v>0</v>
      </c>
      <c r="AA27" s="128">
        <f>[4]Presupuesto!BO127</f>
        <v>0</v>
      </c>
      <c r="AB27" s="129">
        <f>[4]Presupuesto!BO131</f>
        <v>0</v>
      </c>
      <c r="AC27" s="129">
        <f>[4]Presupuesto!BO150</f>
        <v>0</v>
      </c>
      <c r="AD27" s="129">
        <f>[4]Presupuesto!BO141</f>
        <v>0</v>
      </c>
      <c r="AE27" s="180">
        <f>[4]Presupuesto!BO156</f>
        <v>0</v>
      </c>
      <c r="AF27" s="193">
        <f>SUM(AG27:AJ27)</f>
        <v>0</v>
      </c>
      <c r="AG27" s="131">
        <v>0</v>
      </c>
      <c r="AH27" s="131">
        <v>0</v>
      </c>
      <c r="AI27" s="131">
        <v>0</v>
      </c>
      <c r="AJ27" s="195">
        <v>0</v>
      </c>
      <c r="AK27" s="136">
        <f>SUM(AL27+AM27)</f>
        <v>0</v>
      </c>
      <c r="AL27" s="181">
        <f>[4]Presupuesto!BO202+[4]Presupuesto!BO218</f>
        <v>0</v>
      </c>
      <c r="AM27" s="138">
        <f>SUM(AP27+AO27+AN27)</f>
        <v>0</v>
      </c>
      <c r="AN27" s="165">
        <f>[4]Presupuesto!BO185</f>
        <v>0</v>
      </c>
      <c r="AO27" s="148">
        <f>[4]Presupuesto!BO193</f>
        <v>0</v>
      </c>
      <c r="AP27" s="151">
        <f>[4]Presupuesto!BO209</f>
        <v>0</v>
      </c>
      <c r="AQ27" s="66">
        <f t="shared" si="2"/>
        <v>47582340</v>
      </c>
      <c r="AR27" s="43">
        <f t="shared" si="3"/>
        <v>0</v>
      </c>
    </row>
    <row r="28" spans="1:44" s="44" customFormat="1" x14ac:dyDescent="0.25">
      <c r="A28" s="123"/>
      <c r="B28" s="124"/>
      <c r="C28" s="125"/>
      <c r="D28" s="126"/>
      <c r="E28" s="127"/>
      <c r="F28" s="175"/>
      <c r="G28" s="176"/>
      <c r="H28" s="176"/>
      <c r="I28" s="176"/>
      <c r="J28" s="176"/>
      <c r="K28" s="101"/>
      <c r="L28" s="176"/>
      <c r="M28" s="176"/>
      <c r="N28" s="176"/>
      <c r="O28" s="176"/>
      <c r="P28" s="101"/>
      <c r="Q28" s="101"/>
      <c r="R28" s="101"/>
      <c r="S28" s="103"/>
      <c r="T28" s="104"/>
      <c r="U28" s="105"/>
      <c r="V28" s="101"/>
      <c r="W28" s="101"/>
      <c r="X28" s="103"/>
      <c r="Y28" s="148"/>
      <c r="Z28" s="133"/>
      <c r="AA28" s="143"/>
      <c r="AB28" s="144"/>
      <c r="AC28" s="144"/>
      <c r="AD28" s="144"/>
      <c r="AE28" s="145"/>
      <c r="AF28" s="108">
        <f>SUM(AG28:AI28)</f>
        <v>0</v>
      </c>
      <c r="AG28" s="146"/>
      <c r="AH28" s="147"/>
      <c r="AI28" s="148"/>
      <c r="AJ28" s="149"/>
      <c r="AK28" s="164"/>
      <c r="AL28" s="165"/>
      <c r="AM28" s="164"/>
      <c r="AN28" s="165"/>
      <c r="AO28" s="148"/>
      <c r="AP28" s="151"/>
      <c r="AQ28" s="66">
        <f t="shared" si="2"/>
        <v>0</v>
      </c>
      <c r="AR28" s="43">
        <f t="shared" si="3"/>
        <v>0</v>
      </c>
    </row>
    <row r="29" spans="1:44" s="44" customFormat="1" x14ac:dyDescent="0.25">
      <c r="A29" s="123" t="s">
        <v>73</v>
      </c>
      <c r="B29" s="124" t="s">
        <v>74</v>
      </c>
      <c r="C29" s="125">
        <f>+E29+Z29+AF29+AK29</f>
        <v>229331888.99778751</v>
      </c>
      <c r="D29" s="126">
        <f>SUM(F29+G29+H29+I29+J29+K29+L29+M29+N29+O29+P29+Q29+R29+S29+T29+U29+V29+W29+X29+Y29+AA29+AB29+AC29+AD29+AE29+AG29+AH29+AI29+AJ29+AL29+AN29+AO29+AP29)</f>
        <v>229331888.99778751</v>
      </c>
      <c r="E29" s="127">
        <f>SUM(F29:Y29)</f>
        <v>119724916.99778751</v>
      </c>
      <c r="F29" s="128"/>
      <c r="G29" s="132">
        <v>9811577</v>
      </c>
      <c r="H29" s="132">
        <v>8759567.9977874998</v>
      </c>
      <c r="I29" s="132">
        <v>5786271</v>
      </c>
      <c r="J29" s="131">
        <v>1185367</v>
      </c>
      <c r="K29" s="130">
        <v>10873712</v>
      </c>
      <c r="L29" s="132">
        <v>2639285</v>
      </c>
      <c r="M29" s="132">
        <v>1420288</v>
      </c>
      <c r="N29" s="131">
        <v>10076288</v>
      </c>
      <c r="O29" s="132">
        <v>18449694</v>
      </c>
      <c r="P29" s="130">
        <v>2729253</v>
      </c>
      <c r="Q29" s="130">
        <v>10060763</v>
      </c>
      <c r="R29" s="130">
        <v>5631458</v>
      </c>
      <c r="S29" s="168">
        <v>5182460</v>
      </c>
      <c r="T29" s="196">
        <v>2563461</v>
      </c>
      <c r="U29" s="167">
        <v>9217006</v>
      </c>
      <c r="V29" s="130">
        <v>3831928</v>
      </c>
      <c r="W29" s="130">
        <v>3112940</v>
      </c>
      <c r="X29" s="168">
        <v>2189555</v>
      </c>
      <c r="Y29" s="170">
        <v>6204043</v>
      </c>
      <c r="Z29" s="133">
        <f>SUM(AA29:AE29)</f>
        <v>42370835</v>
      </c>
      <c r="AA29" s="197">
        <v>5173839</v>
      </c>
      <c r="AB29" s="198">
        <v>7424637</v>
      </c>
      <c r="AC29" s="198">
        <v>12011931</v>
      </c>
      <c r="AD29" s="198">
        <v>11311841</v>
      </c>
      <c r="AE29" s="199">
        <v>6448587</v>
      </c>
      <c r="AF29" s="108">
        <f>SUM(AG29:AJ29)</f>
        <v>36886615</v>
      </c>
      <c r="AG29" s="167">
        <v>3025110</v>
      </c>
      <c r="AH29" s="130">
        <v>18339602</v>
      </c>
      <c r="AI29" s="170">
        <v>6660977</v>
      </c>
      <c r="AJ29" s="200">
        <v>8860926</v>
      </c>
      <c r="AK29" s="136">
        <f>SUM(AL29+AM29)</f>
        <v>30349522</v>
      </c>
      <c r="AL29" s="169">
        <v>20618706</v>
      </c>
      <c r="AM29" s="138">
        <f>SUM(AP29+AO29+AN29)</f>
        <v>9730816</v>
      </c>
      <c r="AN29" s="194">
        <v>2010505</v>
      </c>
      <c r="AO29" s="170">
        <v>3433326</v>
      </c>
      <c r="AP29" s="171">
        <v>4286985</v>
      </c>
      <c r="AQ29" s="66">
        <f t="shared" si="2"/>
        <v>229331888.99778751</v>
      </c>
      <c r="AR29" s="43">
        <f t="shared" si="3"/>
        <v>0</v>
      </c>
    </row>
    <row r="30" spans="1:44" s="44" customFormat="1" x14ac:dyDescent="0.25">
      <c r="A30" s="123" t="s">
        <v>75</v>
      </c>
      <c r="B30" s="124" t="s">
        <v>76</v>
      </c>
      <c r="C30" s="125">
        <f>+E30+Z30+AF30+AK30</f>
        <v>211612808</v>
      </c>
      <c r="D30" s="126">
        <f>SUM(F30+G30+H30+I30+J30+K30+L30+M30+N30+O30+P30+Q30+R30+S30+T30+U30+V30+W30+X30+Y30+AA30+AB30+AC30+AD30+AE30+AG30+AH30+AI30+AJ30+AL30+AN30+AO30+AP30)</f>
        <v>211612808</v>
      </c>
      <c r="E30" s="127">
        <f>SUM(F30:Y30)</f>
        <v>110474500</v>
      </c>
      <c r="F30" s="128"/>
      <c r="G30" s="132">
        <v>9053496</v>
      </c>
      <c r="H30" s="132">
        <v>8082769</v>
      </c>
      <c r="I30" s="132">
        <v>5339201</v>
      </c>
      <c r="J30" s="131">
        <v>1093781</v>
      </c>
      <c r="K30" s="130">
        <v>10033566</v>
      </c>
      <c r="L30" s="132">
        <v>2435363</v>
      </c>
      <c r="M30" s="132">
        <v>1310551</v>
      </c>
      <c r="N30" s="131">
        <v>9297755</v>
      </c>
      <c r="O30" s="132">
        <v>17024198</v>
      </c>
      <c r="P30" s="130">
        <v>2518380</v>
      </c>
      <c r="Q30" s="130">
        <v>9283429</v>
      </c>
      <c r="R30" s="130">
        <v>5196350</v>
      </c>
      <c r="S30" s="168">
        <v>4782043</v>
      </c>
      <c r="T30" s="196">
        <v>2365398</v>
      </c>
      <c r="U30" s="167">
        <v>8504864</v>
      </c>
      <c r="V30" s="130">
        <v>3535858</v>
      </c>
      <c r="W30" s="130">
        <v>2872422</v>
      </c>
      <c r="X30" s="168">
        <v>2020382</v>
      </c>
      <c r="Y30" s="170">
        <v>5724694</v>
      </c>
      <c r="Z30" s="133">
        <f>SUM(AA30:AE30)</f>
        <v>39097098</v>
      </c>
      <c r="AA30" s="197">
        <v>4774088</v>
      </c>
      <c r="AB30" s="198">
        <v>6850981</v>
      </c>
      <c r="AC30" s="198">
        <v>11083842</v>
      </c>
      <c r="AD30" s="198">
        <v>10437843</v>
      </c>
      <c r="AE30" s="199">
        <v>5950344</v>
      </c>
      <c r="AF30" s="134">
        <f>SUM(AG30:AJ30)</f>
        <v>34036611</v>
      </c>
      <c r="AG30" s="167">
        <v>2791378</v>
      </c>
      <c r="AH30" s="130">
        <v>16922613</v>
      </c>
      <c r="AI30" s="170">
        <v>6146324</v>
      </c>
      <c r="AJ30" s="200">
        <v>8176296</v>
      </c>
      <c r="AK30" s="136">
        <f>SUM(AL30+AM30)</f>
        <v>28004599</v>
      </c>
      <c r="AL30" s="169">
        <v>19025624</v>
      </c>
      <c r="AM30" s="138">
        <f>SUM(AP30+AO30+AN30)</f>
        <v>8978975</v>
      </c>
      <c r="AN30" s="194">
        <v>1855165</v>
      </c>
      <c r="AO30" s="170">
        <v>3168054</v>
      </c>
      <c r="AP30" s="171">
        <v>3955756</v>
      </c>
      <c r="AQ30" s="66">
        <f t="shared" si="2"/>
        <v>211612808</v>
      </c>
      <c r="AR30" s="43">
        <f t="shared" si="3"/>
        <v>0</v>
      </c>
    </row>
    <row r="31" spans="1:44" s="44" customFormat="1" x14ac:dyDescent="0.25">
      <c r="A31" s="123"/>
      <c r="B31" s="124"/>
      <c r="C31" s="125"/>
      <c r="D31" s="98"/>
      <c r="E31" s="127"/>
      <c r="F31" s="128"/>
      <c r="G31" s="129"/>
      <c r="H31" s="129"/>
      <c r="I31" s="129"/>
      <c r="J31" s="129"/>
      <c r="K31" s="101"/>
      <c r="L31" s="129"/>
      <c r="M31" s="129"/>
      <c r="N31" s="129"/>
      <c r="O31" s="129"/>
      <c r="P31" s="101"/>
      <c r="Q31" s="101"/>
      <c r="R31" s="101"/>
      <c r="S31" s="103"/>
      <c r="T31" s="104"/>
      <c r="U31" s="105"/>
      <c r="V31" s="101"/>
      <c r="W31" s="101"/>
      <c r="X31" s="103"/>
      <c r="Y31" s="148"/>
      <c r="Z31" s="133"/>
      <c r="AA31" s="143"/>
      <c r="AB31" s="144"/>
      <c r="AC31" s="144"/>
      <c r="AD31" s="144"/>
      <c r="AE31" s="145"/>
      <c r="AF31" s="108">
        <f>SUM(AG31:AI31)</f>
        <v>0</v>
      </c>
      <c r="AG31" s="146"/>
      <c r="AH31" s="147"/>
      <c r="AI31" s="148"/>
      <c r="AJ31" s="149"/>
      <c r="AK31" s="164"/>
      <c r="AL31" s="165"/>
      <c r="AM31" s="164"/>
      <c r="AN31" s="165"/>
      <c r="AO31" s="148"/>
      <c r="AP31" s="151"/>
      <c r="AQ31" s="66">
        <f t="shared" si="2"/>
        <v>0</v>
      </c>
      <c r="AR31" s="43">
        <f t="shared" si="3"/>
        <v>0</v>
      </c>
    </row>
    <row r="32" spans="1:44" s="44" customFormat="1" x14ac:dyDescent="0.25">
      <c r="A32" s="174" t="s">
        <v>77</v>
      </c>
      <c r="B32" s="154" t="s">
        <v>78</v>
      </c>
      <c r="C32" s="201">
        <f>SUM(C33:C38)</f>
        <v>115936636</v>
      </c>
      <c r="D32" s="70">
        <f>SUM(D33)</f>
        <v>115936636</v>
      </c>
      <c r="E32" s="202">
        <f t="shared" ref="E32:AP32" si="14">SUM(E33:E39)</f>
        <v>58012505</v>
      </c>
      <c r="F32" s="203">
        <f t="shared" si="14"/>
        <v>0</v>
      </c>
      <c r="G32" s="204">
        <f t="shared" si="14"/>
        <v>6109824</v>
      </c>
      <c r="H32" s="204">
        <f t="shared" si="14"/>
        <v>2059338</v>
      </c>
      <c r="I32" s="204">
        <f t="shared" si="14"/>
        <v>1718388</v>
      </c>
      <c r="J32" s="204">
        <f t="shared" si="14"/>
        <v>1363800</v>
      </c>
      <c r="K32" s="204">
        <f t="shared" si="14"/>
        <v>6262024</v>
      </c>
      <c r="L32" s="204">
        <f t="shared" si="14"/>
        <v>0</v>
      </c>
      <c r="M32" s="204">
        <f t="shared" si="14"/>
        <v>218208</v>
      </c>
      <c r="N32" s="204">
        <f t="shared" si="14"/>
        <v>7964592</v>
      </c>
      <c r="O32" s="204">
        <f t="shared" si="14"/>
        <v>11101332</v>
      </c>
      <c r="P32" s="204">
        <f t="shared" si="14"/>
        <v>1009212</v>
      </c>
      <c r="Q32" s="204">
        <f t="shared" si="14"/>
        <v>2659410.0000000005</v>
      </c>
      <c r="R32" s="204">
        <f t="shared" si="14"/>
        <v>1991148</v>
      </c>
      <c r="S32" s="205">
        <f t="shared" si="14"/>
        <v>3327672</v>
      </c>
      <c r="T32" s="206">
        <f t="shared" si="14"/>
        <v>638258</v>
      </c>
      <c r="U32" s="203">
        <f t="shared" si="14"/>
        <v>3354948</v>
      </c>
      <c r="V32" s="204">
        <f t="shared" si="14"/>
        <v>2086068</v>
      </c>
      <c r="W32" s="204">
        <f t="shared" si="14"/>
        <v>515789</v>
      </c>
      <c r="X32" s="205">
        <f t="shared" si="14"/>
        <v>900108</v>
      </c>
      <c r="Y32" s="162">
        <f>SUM(Y33:Y39)</f>
        <v>4732386</v>
      </c>
      <c r="Z32" s="207">
        <f>SUM(Z33)</f>
        <v>22229940</v>
      </c>
      <c r="AA32" s="208">
        <f t="shared" si="14"/>
        <v>1295610</v>
      </c>
      <c r="AB32" s="209">
        <f t="shared" si="14"/>
        <v>3027636</v>
      </c>
      <c r="AC32" s="209">
        <f t="shared" si="14"/>
        <v>6614430</v>
      </c>
      <c r="AD32" s="209">
        <f t="shared" si="14"/>
        <v>7432710</v>
      </c>
      <c r="AE32" s="161">
        <f t="shared" si="14"/>
        <v>3859554</v>
      </c>
      <c r="AF32" s="108">
        <f t="shared" si="14"/>
        <v>23389170</v>
      </c>
      <c r="AG32" s="208">
        <f t="shared" si="14"/>
        <v>1459266</v>
      </c>
      <c r="AH32" s="209">
        <f t="shared" si="14"/>
        <v>12028716</v>
      </c>
      <c r="AI32" s="162">
        <f t="shared" si="14"/>
        <v>5400648</v>
      </c>
      <c r="AJ32" s="163">
        <f t="shared" si="14"/>
        <v>4500540</v>
      </c>
      <c r="AK32" s="164">
        <f t="shared" si="14"/>
        <v>12305021</v>
      </c>
      <c r="AL32" s="192">
        <f t="shared" si="14"/>
        <v>8450923</v>
      </c>
      <c r="AM32" s="164">
        <f t="shared" si="14"/>
        <v>3854098</v>
      </c>
      <c r="AN32" s="192">
        <f t="shared" si="14"/>
        <v>1219237</v>
      </c>
      <c r="AO32" s="162">
        <f t="shared" si="14"/>
        <v>454418</v>
      </c>
      <c r="AP32" s="166">
        <f t="shared" si="14"/>
        <v>2180443</v>
      </c>
      <c r="AQ32" s="66">
        <f t="shared" si="2"/>
        <v>115936636</v>
      </c>
      <c r="AR32" s="43">
        <f t="shared" si="3"/>
        <v>0</v>
      </c>
    </row>
    <row r="33" spans="1:49" x14ac:dyDescent="0.25">
      <c r="A33" s="123" t="s">
        <v>79</v>
      </c>
      <c r="B33" s="124" t="s">
        <v>80</v>
      </c>
      <c r="C33" s="125">
        <f t="shared" ref="C33:C39" si="15">+E33+Z33+AF33+AK33</f>
        <v>115936636</v>
      </c>
      <c r="D33" s="126">
        <f>SUM(F33+G33+H33+I33+J33+K33+L33+M33+N33+O33+P33+Q33+R33+S33+T33+U33+V33+W33+X33+Y33+AA33+AB33+AC33+AD33+AE33+AG33+AH33+AI33+AJ33+AL33+AN33+AO33+AP33)</f>
        <v>115936636</v>
      </c>
      <c r="E33" s="127">
        <f>SUM(F33:Y33)</f>
        <v>58012505</v>
      </c>
      <c r="F33" s="210"/>
      <c r="G33" s="131">
        <v>6109824</v>
      </c>
      <c r="H33" s="131">
        <v>2059338</v>
      </c>
      <c r="I33" s="131">
        <v>1718388</v>
      </c>
      <c r="J33" s="131">
        <v>1363800</v>
      </c>
      <c r="K33" s="131">
        <v>6262024</v>
      </c>
      <c r="L33" s="131">
        <v>0</v>
      </c>
      <c r="M33" s="131">
        <v>218208</v>
      </c>
      <c r="N33" s="131">
        <v>7964592</v>
      </c>
      <c r="O33" s="131">
        <v>11101332</v>
      </c>
      <c r="P33" s="130">
        <v>1009212</v>
      </c>
      <c r="Q33" s="130">
        <v>2659410.0000000005</v>
      </c>
      <c r="R33" s="130">
        <v>1991148</v>
      </c>
      <c r="S33" s="168">
        <v>3327672</v>
      </c>
      <c r="T33" s="196">
        <v>638258</v>
      </c>
      <c r="U33" s="167">
        <v>3354948</v>
      </c>
      <c r="V33" s="130">
        <v>2086068</v>
      </c>
      <c r="W33" s="130">
        <v>515789</v>
      </c>
      <c r="X33" s="168">
        <v>900108</v>
      </c>
      <c r="Y33" s="170">
        <v>4732386</v>
      </c>
      <c r="Z33" s="133">
        <f t="shared" ref="Z33:Z39" si="16">SUM(AA33:AE33)</f>
        <v>22229940</v>
      </c>
      <c r="AA33" s="197">
        <v>1295610</v>
      </c>
      <c r="AB33" s="198">
        <v>3027636</v>
      </c>
      <c r="AC33" s="198">
        <v>6614430</v>
      </c>
      <c r="AD33" s="198">
        <v>7432710</v>
      </c>
      <c r="AE33" s="199">
        <v>3859554</v>
      </c>
      <c r="AF33" s="134">
        <f t="shared" ref="AF33:AF39" si="17">SUM(AG33:AJ33)</f>
        <v>23389170</v>
      </c>
      <c r="AG33" s="167">
        <v>1459266</v>
      </c>
      <c r="AH33" s="130">
        <v>12028716</v>
      </c>
      <c r="AI33" s="170">
        <v>5400648</v>
      </c>
      <c r="AJ33" s="200">
        <v>4500540</v>
      </c>
      <c r="AK33" s="136">
        <f>SUM(AL33+AM33)</f>
        <v>12305021</v>
      </c>
      <c r="AL33" s="169">
        <v>8450923</v>
      </c>
      <c r="AM33" s="138">
        <f>SUM(AP33+AO33+AN33)</f>
        <v>3854098</v>
      </c>
      <c r="AN33" s="194">
        <v>1219237</v>
      </c>
      <c r="AO33" s="170">
        <v>454418</v>
      </c>
      <c r="AP33" s="171">
        <v>2180443</v>
      </c>
      <c r="AQ33" s="66">
        <f t="shared" si="2"/>
        <v>115936636</v>
      </c>
      <c r="AR33" s="43">
        <f t="shared" si="3"/>
        <v>0</v>
      </c>
      <c r="AS33" s="44"/>
      <c r="AT33" s="44"/>
    </row>
    <row r="34" spans="1:49" hidden="1" x14ac:dyDescent="0.25">
      <c r="A34" s="123" t="s">
        <v>81</v>
      </c>
      <c r="B34" s="124" t="s">
        <v>82</v>
      </c>
      <c r="C34" s="125">
        <f t="shared" si="15"/>
        <v>0</v>
      </c>
      <c r="D34" s="98">
        <f>SUM(E34+Z34+AF34+AK34)</f>
        <v>0</v>
      </c>
      <c r="E34" s="127">
        <f t="shared" ref="E34:E39" si="18">SUM(F34:X34)</f>
        <v>0</v>
      </c>
      <c r="F34" s="211"/>
      <c r="G34" s="212"/>
      <c r="H34" s="212"/>
      <c r="I34" s="212"/>
      <c r="J34" s="212"/>
      <c r="K34" s="101"/>
      <c r="L34" s="212"/>
      <c r="M34" s="212"/>
      <c r="N34" s="212"/>
      <c r="O34" s="212"/>
      <c r="P34" s="101"/>
      <c r="Q34" s="101"/>
      <c r="R34" s="101"/>
      <c r="S34" s="103"/>
      <c r="T34" s="104"/>
      <c r="U34" s="105"/>
      <c r="V34" s="101"/>
      <c r="W34" s="101"/>
      <c r="X34" s="103"/>
      <c r="Y34" s="148"/>
      <c r="Z34" s="133">
        <f t="shared" si="16"/>
        <v>0</v>
      </c>
      <c r="AA34" s="143"/>
      <c r="AB34" s="144"/>
      <c r="AC34" s="144"/>
      <c r="AD34" s="144"/>
      <c r="AE34" s="145"/>
      <c r="AF34" s="108">
        <f t="shared" si="17"/>
        <v>0</v>
      </c>
      <c r="AG34" s="146"/>
      <c r="AH34" s="147"/>
      <c r="AI34" s="148"/>
      <c r="AJ34" s="149"/>
      <c r="AK34" s="136">
        <f t="shared" ref="AK34:AK39" si="19">SUM(AL34+AM34)</f>
        <v>0</v>
      </c>
      <c r="AL34" s="165"/>
      <c r="AM34" s="136">
        <f t="shared" ref="AM34:AM39" si="20">SUM(AN34:AP34)</f>
        <v>0</v>
      </c>
      <c r="AN34" s="165"/>
      <c r="AO34" s="148"/>
      <c r="AP34" s="151"/>
      <c r="AQ34" s="66">
        <f t="shared" si="2"/>
        <v>0</v>
      </c>
      <c r="AR34" s="43">
        <f t="shared" si="3"/>
        <v>0</v>
      </c>
      <c r="AS34" s="44"/>
      <c r="AT34" s="44"/>
    </row>
    <row r="35" spans="1:49" hidden="1" x14ac:dyDescent="0.25">
      <c r="A35" s="123" t="s">
        <v>83</v>
      </c>
      <c r="B35" s="124" t="s">
        <v>84</v>
      </c>
      <c r="C35" s="125">
        <f t="shared" si="15"/>
        <v>0</v>
      </c>
      <c r="D35" s="98">
        <f>SUM(E35+Z35+AF35+AK35)</f>
        <v>0</v>
      </c>
      <c r="E35" s="127">
        <f t="shared" si="18"/>
        <v>0</v>
      </c>
      <c r="F35" s="211"/>
      <c r="G35" s="212"/>
      <c r="H35" s="212"/>
      <c r="I35" s="212"/>
      <c r="J35" s="212"/>
      <c r="K35" s="101"/>
      <c r="L35" s="212"/>
      <c r="M35" s="212"/>
      <c r="N35" s="212"/>
      <c r="O35" s="212"/>
      <c r="P35" s="101"/>
      <c r="Q35" s="101"/>
      <c r="R35" s="101"/>
      <c r="S35" s="103"/>
      <c r="T35" s="104"/>
      <c r="U35" s="105"/>
      <c r="V35" s="101"/>
      <c r="W35" s="101"/>
      <c r="X35" s="103"/>
      <c r="Y35" s="148"/>
      <c r="Z35" s="133">
        <f t="shared" si="16"/>
        <v>0</v>
      </c>
      <c r="AA35" s="143"/>
      <c r="AB35" s="144"/>
      <c r="AC35" s="144"/>
      <c r="AD35" s="144"/>
      <c r="AE35" s="145"/>
      <c r="AF35" s="108">
        <f t="shared" si="17"/>
        <v>0</v>
      </c>
      <c r="AG35" s="146"/>
      <c r="AH35" s="147">
        <v>0</v>
      </c>
      <c r="AI35" s="148"/>
      <c r="AJ35" s="149"/>
      <c r="AK35" s="136">
        <f t="shared" si="19"/>
        <v>0</v>
      </c>
      <c r="AL35" s="165"/>
      <c r="AM35" s="136">
        <f t="shared" si="20"/>
        <v>0</v>
      </c>
      <c r="AN35" s="165"/>
      <c r="AO35" s="148"/>
      <c r="AP35" s="151"/>
      <c r="AQ35" s="66">
        <f t="shared" si="2"/>
        <v>0</v>
      </c>
      <c r="AR35" s="43">
        <f t="shared" si="3"/>
        <v>0</v>
      </c>
      <c r="AS35" s="44"/>
      <c r="AT35" s="44"/>
    </row>
    <row r="36" spans="1:49" hidden="1" x14ac:dyDescent="0.25">
      <c r="A36" s="123" t="s">
        <v>85</v>
      </c>
      <c r="B36" s="124" t="s">
        <v>86</v>
      </c>
      <c r="C36" s="125">
        <f t="shared" si="15"/>
        <v>0</v>
      </c>
      <c r="D36" s="98">
        <f>SUM(E36+Z36+AF36+AK36)</f>
        <v>0</v>
      </c>
      <c r="E36" s="127">
        <f t="shared" si="18"/>
        <v>0</v>
      </c>
      <c r="F36" s="211"/>
      <c r="G36" s="212"/>
      <c r="H36" s="212"/>
      <c r="I36" s="212"/>
      <c r="J36" s="212"/>
      <c r="K36" s="101"/>
      <c r="L36" s="212"/>
      <c r="M36" s="212"/>
      <c r="N36" s="212"/>
      <c r="O36" s="212"/>
      <c r="P36" s="101"/>
      <c r="Q36" s="101"/>
      <c r="R36" s="101"/>
      <c r="S36" s="103"/>
      <c r="T36" s="104"/>
      <c r="U36" s="105"/>
      <c r="V36" s="101"/>
      <c r="W36" s="101"/>
      <c r="X36" s="103"/>
      <c r="Y36" s="148"/>
      <c r="Z36" s="133">
        <f t="shared" si="16"/>
        <v>0</v>
      </c>
      <c r="AA36" s="143"/>
      <c r="AB36" s="144"/>
      <c r="AC36" s="144"/>
      <c r="AD36" s="144"/>
      <c r="AE36" s="145"/>
      <c r="AF36" s="108">
        <f t="shared" si="17"/>
        <v>0</v>
      </c>
      <c r="AG36" s="146"/>
      <c r="AH36" s="147">
        <v>0</v>
      </c>
      <c r="AI36" s="148"/>
      <c r="AJ36" s="149"/>
      <c r="AK36" s="136">
        <f t="shared" si="19"/>
        <v>0</v>
      </c>
      <c r="AL36" s="165"/>
      <c r="AM36" s="136">
        <f t="shared" si="20"/>
        <v>0</v>
      </c>
      <c r="AN36" s="165"/>
      <c r="AO36" s="148"/>
      <c r="AP36" s="151"/>
      <c r="AQ36" s="66">
        <f t="shared" si="2"/>
        <v>0</v>
      </c>
      <c r="AR36" s="43">
        <f t="shared" si="3"/>
        <v>0</v>
      </c>
      <c r="AS36" s="44"/>
      <c r="AT36" s="44"/>
    </row>
    <row r="37" spans="1:49" hidden="1" x14ac:dyDescent="0.25">
      <c r="A37" s="123" t="s">
        <v>87</v>
      </c>
      <c r="B37" s="124" t="s">
        <v>88</v>
      </c>
      <c r="C37" s="125">
        <f t="shared" si="15"/>
        <v>0</v>
      </c>
      <c r="D37" s="98">
        <f>SUM(E37+Z37+AF37+AK37)</f>
        <v>0</v>
      </c>
      <c r="E37" s="127">
        <f t="shared" si="18"/>
        <v>0</v>
      </c>
      <c r="F37" s="211"/>
      <c r="G37" s="212"/>
      <c r="H37" s="212"/>
      <c r="I37" s="212"/>
      <c r="J37" s="212"/>
      <c r="K37" s="101"/>
      <c r="L37" s="212"/>
      <c r="M37" s="212"/>
      <c r="N37" s="212"/>
      <c r="O37" s="212"/>
      <c r="P37" s="101"/>
      <c r="Q37" s="101"/>
      <c r="R37" s="101"/>
      <c r="S37" s="103"/>
      <c r="T37" s="104"/>
      <c r="U37" s="105"/>
      <c r="V37" s="101"/>
      <c r="W37" s="101"/>
      <c r="X37" s="103"/>
      <c r="Y37" s="148"/>
      <c r="Z37" s="133">
        <f t="shared" si="16"/>
        <v>0</v>
      </c>
      <c r="AA37" s="143"/>
      <c r="AB37" s="144"/>
      <c r="AC37" s="144"/>
      <c r="AD37" s="144"/>
      <c r="AE37" s="145"/>
      <c r="AF37" s="108">
        <f t="shared" si="17"/>
        <v>0</v>
      </c>
      <c r="AG37" s="146"/>
      <c r="AH37" s="147">
        <v>0</v>
      </c>
      <c r="AI37" s="148"/>
      <c r="AJ37" s="149"/>
      <c r="AK37" s="136">
        <f t="shared" si="19"/>
        <v>0</v>
      </c>
      <c r="AL37" s="165"/>
      <c r="AM37" s="136">
        <f t="shared" si="20"/>
        <v>0</v>
      </c>
      <c r="AN37" s="165"/>
      <c r="AO37" s="148"/>
      <c r="AP37" s="151"/>
      <c r="AQ37" s="66">
        <f t="shared" si="2"/>
        <v>0</v>
      </c>
      <c r="AR37" s="43">
        <f t="shared" si="3"/>
        <v>0</v>
      </c>
      <c r="AS37" s="44"/>
      <c r="AT37" s="44"/>
    </row>
    <row r="38" spans="1:49" hidden="1" x14ac:dyDescent="0.25">
      <c r="A38" s="123" t="s">
        <v>89</v>
      </c>
      <c r="B38" s="124" t="s">
        <v>90</v>
      </c>
      <c r="C38" s="125">
        <f t="shared" si="15"/>
        <v>0</v>
      </c>
      <c r="D38" s="98">
        <f>SUM(E38+Z38+AF38+AK38)</f>
        <v>0</v>
      </c>
      <c r="E38" s="127">
        <f t="shared" si="18"/>
        <v>0</v>
      </c>
      <c r="F38" s="211"/>
      <c r="G38" s="212"/>
      <c r="H38" s="212"/>
      <c r="I38" s="212"/>
      <c r="J38" s="212"/>
      <c r="K38" s="101"/>
      <c r="L38" s="212"/>
      <c r="M38" s="212"/>
      <c r="N38" s="212"/>
      <c r="O38" s="212"/>
      <c r="P38" s="101"/>
      <c r="Q38" s="101"/>
      <c r="R38" s="101"/>
      <c r="S38" s="103"/>
      <c r="T38" s="104"/>
      <c r="U38" s="105"/>
      <c r="V38" s="101"/>
      <c r="W38" s="101"/>
      <c r="X38" s="103"/>
      <c r="Y38" s="148"/>
      <c r="Z38" s="133">
        <f t="shared" si="16"/>
        <v>0</v>
      </c>
      <c r="AA38" s="143"/>
      <c r="AB38" s="144"/>
      <c r="AC38" s="144"/>
      <c r="AD38" s="144"/>
      <c r="AE38" s="145"/>
      <c r="AF38" s="108">
        <f t="shared" si="17"/>
        <v>0</v>
      </c>
      <c r="AG38" s="146"/>
      <c r="AH38" s="147">
        <v>0</v>
      </c>
      <c r="AI38" s="148"/>
      <c r="AJ38" s="149"/>
      <c r="AK38" s="136">
        <f t="shared" si="19"/>
        <v>0</v>
      </c>
      <c r="AL38" s="165"/>
      <c r="AM38" s="136">
        <f t="shared" si="20"/>
        <v>0</v>
      </c>
      <c r="AN38" s="165"/>
      <c r="AO38" s="148"/>
      <c r="AP38" s="151"/>
      <c r="AQ38" s="66">
        <f t="shared" si="2"/>
        <v>0</v>
      </c>
      <c r="AR38" s="43">
        <f t="shared" si="3"/>
        <v>0</v>
      </c>
      <c r="AS38" s="44"/>
      <c r="AT38" s="44"/>
    </row>
    <row r="39" spans="1:49" hidden="1" x14ac:dyDescent="0.25">
      <c r="A39" s="123" t="s">
        <v>91</v>
      </c>
      <c r="B39" s="124" t="s">
        <v>92</v>
      </c>
      <c r="C39" s="125">
        <f t="shared" si="15"/>
        <v>0</v>
      </c>
      <c r="D39" s="98"/>
      <c r="E39" s="127">
        <f t="shared" si="18"/>
        <v>0</v>
      </c>
      <c r="F39" s="128">
        <v>0</v>
      </c>
      <c r="G39" s="129">
        <v>0</v>
      </c>
      <c r="H39" s="129">
        <v>0</v>
      </c>
      <c r="I39" s="129">
        <v>0</v>
      </c>
      <c r="J39" s="129">
        <v>0</v>
      </c>
      <c r="K39" s="101"/>
      <c r="L39" s="129"/>
      <c r="M39" s="129"/>
      <c r="N39" s="129"/>
      <c r="O39" s="129"/>
      <c r="P39" s="101"/>
      <c r="Q39" s="101"/>
      <c r="R39" s="101"/>
      <c r="S39" s="103"/>
      <c r="T39" s="104"/>
      <c r="U39" s="105"/>
      <c r="V39" s="101"/>
      <c r="W39" s="101"/>
      <c r="X39" s="103"/>
      <c r="Y39" s="148"/>
      <c r="Z39" s="133">
        <f t="shared" si="16"/>
        <v>0</v>
      </c>
      <c r="AA39" s="143"/>
      <c r="AB39" s="144"/>
      <c r="AC39" s="144"/>
      <c r="AD39" s="144"/>
      <c r="AE39" s="145"/>
      <c r="AF39" s="108">
        <f t="shared" si="17"/>
        <v>0</v>
      </c>
      <c r="AG39" s="105"/>
      <c r="AH39" s="101"/>
      <c r="AI39" s="148"/>
      <c r="AJ39" s="149"/>
      <c r="AK39" s="136">
        <f t="shared" si="19"/>
        <v>0</v>
      </c>
      <c r="AL39" s="165"/>
      <c r="AM39" s="136">
        <f t="shared" si="20"/>
        <v>0</v>
      </c>
      <c r="AN39" s="165"/>
      <c r="AO39" s="148"/>
      <c r="AP39" s="151"/>
      <c r="AQ39" s="66">
        <f t="shared" si="2"/>
        <v>0</v>
      </c>
      <c r="AR39" s="43">
        <f t="shared" si="3"/>
        <v>0</v>
      </c>
      <c r="AS39" s="44"/>
      <c r="AT39" s="44"/>
    </row>
    <row r="40" spans="1:49" hidden="1" x14ac:dyDescent="0.25">
      <c r="A40" s="123"/>
      <c r="B40" s="124"/>
      <c r="C40" s="125"/>
      <c r="D40" s="98"/>
      <c r="E40" s="127"/>
      <c r="F40" s="210"/>
      <c r="G40" s="213"/>
      <c r="H40" s="213"/>
      <c r="I40" s="213"/>
      <c r="J40" s="213"/>
      <c r="K40" s="101"/>
      <c r="L40" s="213"/>
      <c r="M40" s="213"/>
      <c r="N40" s="213"/>
      <c r="O40" s="213"/>
      <c r="P40" s="101"/>
      <c r="Q40" s="101"/>
      <c r="R40" s="101"/>
      <c r="S40" s="103"/>
      <c r="T40" s="104"/>
      <c r="U40" s="105"/>
      <c r="V40" s="101"/>
      <c r="W40" s="101"/>
      <c r="X40" s="103"/>
      <c r="Y40" s="148"/>
      <c r="Z40" s="133"/>
      <c r="AA40" s="143"/>
      <c r="AB40" s="144"/>
      <c r="AC40" s="144"/>
      <c r="AD40" s="144"/>
      <c r="AE40" s="145"/>
      <c r="AF40" s="108">
        <f>SUM(AG40:AI40)</f>
        <v>0</v>
      </c>
      <c r="AG40" s="146"/>
      <c r="AH40" s="147"/>
      <c r="AI40" s="148"/>
      <c r="AJ40" s="149"/>
      <c r="AK40" s="164"/>
      <c r="AL40" s="165"/>
      <c r="AM40" s="164"/>
      <c r="AN40" s="165"/>
      <c r="AO40" s="148"/>
      <c r="AP40" s="151"/>
      <c r="AQ40" s="66">
        <f t="shared" si="2"/>
        <v>0</v>
      </c>
      <c r="AR40" s="43">
        <f t="shared" si="3"/>
        <v>0</v>
      </c>
      <c r="AS40" s="44"/>
      <c r="AT40" s="44"/>
    </row>
    <row r="41" spans="1:49" x14ac:dyDescent="0.25">
      <c r="A41" s="214" t="s">
        <v>93</v>
      </c>
      <c r="B41" s="154" t="s">
        <v>94</v>
      </c>
      <c r="C41" s="215">
        <f>SUM(C42:C46)</f>
        <v>460957095</v>
      </c>
      <c r="D41" s="216">
        <f>SUM(D42:D46)</f>
        <v>460957095</v>
      </c>
      <c r="E41" s="190">
        <f t="shared" ref="E41:AP41" si="21">SUM(E42:E46)</f>
        <v>240647085</v>
      </c>
      <c r="F41" s="184">
        <f t="shared" si="21"/>
        <v>0</v>
      </c>
      <c r="G41" s="185">
        <f t="shared" si="21"/>
        <v>19721271</v>
      </c>
      <c r="H41" s="185">
        <f t="shared" si="21"/>
        <v>17606731</v>
      </c>
      <c r="I41" s="185">
        <f t="shared" si="21"/>
        <v>11630405</v>
      </c>
      <c r="J41" s="185">
        <f t="shared" si="21"/>
        <v>2382587</v>
      </c>
      <c r="K41" s="185">
        <f t="shared" si="21"/>
        <v>21856161</v>
      </c>
      <c r="L41" s="185">
        <f t="shared" si="21"/>
        <v>5304962</v>
      </c>
      <c r="M41" s="185">
        <f t="shared" si="21"/>
        <v>2854778</v>
      </c>
      <c r="N41" s="185">
        <f t="shared" si="21"/>
        <v>20253339</v>
      </c>
      <c r="O41" s="185">
        <f t="shared" si="21"/>
        <v>37083885</v>
      </c>
      <c r="P41" s="185">
        <f t="shared" si="21"/>
        <v>5485799</v>
      </c>
      <c r="Q41" s="185">
        <f t="shared" si="21"/>
        <v>20222134</v>
      </c>
      <c r="R41" s="185">
        <f t="shared" si="21"/>
        <v>11319231</v>
      </c>
      <c r="S41" s="186">
        <f>SUM(S42:S46)</f>
        <v>10416746</v>
      </c>
      <c r="T41" s="217">
        <f t="shared" si="21"/>
        <v>5152557</v>
      </c>
      <c r="U41" s="184">
        <f>SUM(U42:U46)</f>
        <v>18526182</v>
      </c>
      <c r="V41" s="185">
        <f>SUM(V42:V46)</f>
        <v>7702176</v>
      </c>
      <c r="W41" s="185">
        <f>SUM(W42:W46)</f>
        <v>6257008</v>
      </c>
      <c r="X41" s="186">
        <f t="shared" si="21"/>
        <v>4401005</v>
      </c>
      <c r="Y41" s="162">
        <f>SUM(Y42:Y46)</f>
        <v>12470128</v>
      </c>
      <c r="Z41" s="187">
        <f t="shared" si="21"/>
        <v>85165373</v>
      </c>
      <c r="AA41" s="218">
        <f t="shared" si="21"/>
        <v>10399415</v>
      </c>
      <c r="AB41" s="219">
        <f t="shared" si="21"/>
        <v>14923520</v>
      </c>
      <c r="AC41" s="219">
        <f t="shared" si="21"/>
        <v>24143981</v>
      </c>
      <c r="AD41" s="219">
        <f t="shared" si="21"/>
        <v>22736798</v>
      </c>
      <c r="AE41" s="220">
        <f t="shared" si="21"/>
        <v>12961659</v>
      </c>
      <c r="AF41" s="108">
        <f t="shared" si="21"/>
        <v>74142097</v>
      </c>
      <c r="AG41" s="218">
        <f t="shared" si="21"/>
        <v>6080472</v>
      </c>
      <c r="AH41" s="219">
        <f t="shared" si="21"/>
        <v>36862599</v>
      </c>
      <c r="AI41" s="162">
        <f t="shared" si="21"/>
        <v>13388565</v>
      </c>
      <c r="AJ41" s="163">
        <f t="shared" si="21"/>
        <v>17810461</v>
      </c>
      <c r="AK41" s="164">
        <f t="shared" si="21"/>
        <v>61002540</v>
      </c>
      <c r="AL41" s="192">
        <f t="shared" si="21"/>
        <v>41443599</v>
      </c>
      <c r="AM41" s="164">
        <f>SUM(AM42:AM46)</f>
        <v>19558941</v>
      </c>
      <c r="AN41" s="192">
        <f>SUM(AN42:AN46)</f>
        <v>4041114</v>
      </c>
      <c r="AO41" s="162">
        <f t="shared" si="21"/>
        <v>6900987</v>
      </c>
      <c r="AP41" s="166">
        <f t="shared" si="21"/>
        <v>8616840</v>
      </c>
      <c r="AQ41" s="66">
        <f t="shared" si="2"/>
        <v>460957095</v>
      </c>
      <c r="AR41" s="43">
        <f t="shared" si="3"/>
        <v>0</v>
      </c>
      <c r="AS41" s="44"/>
      <c r="AT41" s="44"/>
    </row>
    <row r="42" spans="1:49" x14ac:dyDescent="0.25">
      <c r="A42" s="221" t="s">
        <v>95</v>
      </c>
      <c r="B42" s="124" t="s">
        <v>96</v>
      </c>
      <c r="C42" s="125">
        <f>+E42+Z42+AF42+AK42</f>
        <v>254558395</v>
      </c>
      <c r="D42" s="126">
        <f>SUM(F42+G42+H42+I42+J42+K42+L42+M42+N42+O42+P42+Q42+R42+S42+T42+U42+V42+W42+X42+Y42+AA42+AB42+AC42+AD42+AE42+AG42+AH42+AI42+AJ42+AL42+AN42+AO42+AP42)</f>
        <v>254558395</v>
      </c>
      <c r="E42" s="127">
        <f>SUM(F42:Y42)</f>
        <v>132894658</v>
      </c>
      <c r="F42" s="128"/>
      <c r="G42" s="131">
        <v>10890851</v>
      </c>
      <c r="H42" s="131">
        <v>9723120</v>
      </c>
      <c r="I42" s="131">
        <v>6422761</v>
      </c>
      <c r="J42" s="131">
        <v>1315757</v>
      </c>
      <c r="K42" s="131">
        <v>12069820</v>
      </c>
      <c r="L42" s="131">
        <v>2929606</v>
      </c>
      <c r="M42" s="131">
        <v>1576519</v>
      </c>
      <c r="N42" s="131">
        <v>11184680</v>
      </c>
      <c r="O42" s="131">
        <v>20479160</v>
      </c>
      <c r="P42" s="131">
        <v>3029471</v>
      </c>
      <c r="Q42" s="131">
        <v>11167447</v>
      </c>
      <c r="R42" s="131">
        <v>6250919</v>
      </c>
      <c r="S42" s="131">
        <v>5752531</v>
      </c>
      <c r="T42" s="131">
        <v>2845442</v>
      </c>
      <c r="U42" s="131">
        <v>10230877</v>
      </c>
      <c r="V42" s="131">
        <v>4253440</v>
      </c>
      <c r="W42" s="131">
        <v>3455363</v>
      </c>
      <c r="X42" s="131">
        <v>2430406</v>
      </c>
      <c r="Y42" s="131">
        <v>6886488</v>
      </c>
      <c r="Z42" s="133">
        <f>SUM(AA42:AE42)</f>
        <v>47031625</v>
      </c>
      <c r="AA42" s="131">
        <v>5742961</v>
      </c>
      <c r="AB42" s="131">
        <v>8241347</v>
      </c>
      <c r="AC42" s="131">
        <v>13333243</v>
      </c>
      <c r="AD42" s="131">
        <v>12556143</v>
      </c>
      <c r="AE42" s="131">
        <v>7157931</v>
      </c>
      <c r="AF42" s="134">
        <f>SUM(AG42:AJ42)</f>
        <v>40944142</v>
      </c>
      <c r="AG42" s="131">
        <v>3357872</v>
      </c>
      <c r="AH42" s="131">
        <v>20356958</v>
      </c>
      <c r="AI42" s="131">
        <v>7393685</v>
      </c>
      <c r="AJ42" s="131">
        <v>9835627</v>
      </c>
      <c r="AK42" s="136">
        <f>SUM(AL42+AM42)</f>
        <v>33687970</v>
      </c>
      <c r="AL42" s="131">
        <v>22886764</v>
      </c>
      <c r="AM42" s="138">
        <f>SUM(AP42+AO42+AN42)</f>
        <v>10801206</v>
      </c>
      <c r="AN42" s="131">
        <v>2231660</v>
      </c>
      <c r="AO42" s="131">
        <v>3810992</v>
      </c>
      <c r="AP42" s="131">
        <v>4758554</v>
      </c>
      <c r="AQ42" s="66">
        <f t="shared" si="2"/>
        <v>254558395</v>
      </c>
      <c r="AR42" s="43">
        <f t="shared" si="3"/>
        <v>0</v>
      </c>
      <c r="AS42" s="44"/>
      <c r="AT42" s="44"/>
    </row>
    <row r="43" spans="1:49" x14ac:dyDescent="0.25">
      <c r="A43" s="222" t="s">
        <v>97</v>
      </c>
      <c r="B43" s="124" t="s">
        <v>98</v>
      </c>
      <c r="C43" s="125">
        <f>+E43+Z43+AF43+AK43</f>
        <v>13759914</v>
      </c>
      <c r="D43" s="126">
        <f>SUM(F43+G43+H43+I43+J43+K43+L43+M43+N43+O43+P43+Q43+R43+S43+T43+U43+V43+W43+X43+Y43+AA43+AB43+AC43+AD43+AE43+AG43+AH43+AI43+AJ43+AL43+AN43+AO43+AP43)</f>
        <v>13759914</v>
      </c>
      <c r="E43" s="127">
        <f>SUM(F43:Y43)</f>
        <v>7183496</v>
      </c>
      <c r="F43" s="128"/>
      <c r="G43" s="131">
        <v>588695</v>
      </c>
      <c r="H43" s="131">
        <v>525574</v>
      </c>
      <c r="I43" s="131">
        <v>347176</v>
      </c>
      <c r="J43" s="131">
        <v>71122</v>
      </c>
      <c r="K43" s="131">
        <v>652423</v>
      </c>
      <c r="L43" s="131">
        <v>158357</v>
      </c>
      <c r="M43" s="131">
        <v>85217</v>
      </c>
      <c r="N43" s="131">
        <v>604577</v>
      </c>
      <c r="O43" s="131">
        <v>1106982</v>
      </c>
      <c r="P43" s="131">
        <v>163755</v>
      </c>
      <c r="Q43" s="131">
        <v>603646</v>
      </c>
      <c r="R43" s="131">
        <v>337888</v>
      </c>
      <c r="S43" s="131">
        <v>310948</v>
      </c>
      <c r="T43" s="131">
        <v>153808</v>
      </c>
      <c r="U43" s="131">
        <v>553020</v>
      </c>
      <c r="V43" s="131">
        <v>229916</v>
      </c>
      <c r="W43" s="131">
        <v>186776</v>
      </c>
      <c r="X43" s="131">
        <v>131373</v>
      </c>
      <c r="Y43" s="131">
        <v>372243</v>
      </c>
      <c r="Z43" s="133">
        <f>SUM(AA43:AE43)</f>
        <v>2542249</v>
      </c>
      <c r="AA43" s="131">
        <v>310430</v>
      </c>
      <c r="AB43" s="131">
        <v>445478</v>
      </c>
      <c r="AC43" s="131">
        <v>720716</v>
      </c>
      <c r="AD43" s="131">
        <v>678710</v>
      </c>
      <c r="AE43" s="131">
        <v>386915</v>
      </c>
      <c r="AF43" s="134">
        <f>SUM(AG43:AJ43)</f>
        <v>2213198</v>
      </c>
      <c r="AG43" s="131">
        <v>181507</v>
      </c>
      <c r="AH43" s="131">
        <v>1100376</v>
      </c>
      <c r="AI43" s="131">
        <v>399659</v>
      </c>
      <c r="AJ43" s="131">
        <v>531656</v>
      </c>
      <c r="AK43" s="136">
        <f>SUM(AL43+AM43)</f>
        <v>1820971</v>
      </c>
      <c r="AL43" s="131">
        <v>1237122</v>
      </c>
      <c r="AM43" s="138">
        <f>SUM(AP43+AO43+AN43)</f>
        <v>583849</v>
      </c>
      <c r="AN43" s="131">
        <v>120630</v>
      </c>
      <c r="AO43" s="131">
        <v>206000</v>
      </c>
      <c r="AP43" s="131">
        <v>257219</v>
      </c>
      <c r="AQ43" s="66">
        <f t="shared" si="2"/>
        <v>13759914</v>
      </c>
      <c r="AR43" s="43">
        <f t="shared" si="3"/>
        <v>0</v>
      </c>
      <c r="AS43" s="44"/>
      <c r="AT43" s="44"/>
    </row>
    <row r="44" spans="1:49" x14ac:dyDescent="0.25">
      <c r="A44" s="221" t="s">
        <v>99</v>
      </c>
      <c r="B44" s="124" t="s">
        <v>100</v>
      </c>
      <c r="C44" s="125">
        <f>+E44+Z44+AF44+AK44</f>
        <v>41279741</v>
      </c>
      <c r="D44" s="126">
        <f>SUM(F44+G44+H44+I44+J44+K44+L44+M44+N44+O44+P44+Q44+R44+S44+T44+U44+V44+W44+X44+Y44+AA44+AB44+AC44+AD44+AE44+AG44+AH44+AI44+AJ44+AL44+AN44+AO44+AP44)</f>
        <v>41279741</v>
      </c>
      <c r="E44" s="127">
        <f>SUM(F44:Y44)</f>
        <v>21550485</v>
      </c>
      <c r="F44" s="128"/>
      <c r="G44" s="131">
        <v>1766084</v>
      </c>
      <c r="H44" s="131">
        <v>1576722</v>
      </c>
      <c r="I44" s="131">
        <v>1041529</v>
      </c>
      <c r="J44" s="131">
        <v>213366</v>
      </c>
      <c r="K44" s="131">
        <v>1957268</v>
      </c>
      <c r="L44" s="131">
        <v>475071</v>
      </c>
      <c r="M44" s="131">
        <v>255652</v>
      </c>
      <c r="N44" s="131">
        <v>1813732</v>
      </c>
      <c r="O44" s="131">
        <v>3320945</v>
      </c>
      <c r="P44" s="131">
        <v>491266</v>
      </c>
      <c r="Q44" s="131">
        <v>1810937</v>
      </c>
      <c r="R44" s="131">
        <v>1013662</v>
      </c>
      <c r="S44" s="131">
        <v>932843</v>
      </c>
      <c r="T44" s="131">
        <v>461423</v>
      </c>
      <c r="U44" s="131">
        <v>1659061</v>
      </c>
      <c r="V44" s="131">
        <v>689747</v>
      </c>
      <c r="W44" s="131">
        <v>560329</v>
      </c>
      <c r="X44" s="131">
        <v>394120</v>
      </c>
      <c r="Y44" s="131">
        <v>1116728</v>
      </c>
      <c r="Z44" s="133">
        <f>SUM(AA44:AE44)</f>
        <v>7626751</v>
      </c>
      <c r="AA44" s="131">
        <v>931291</v>
      </c>
      <c r="AB44" s="131">
        <v>1336435</v>
      </c>
      <c r="AC44" s="131">
        <v>2162148</v>
      </c>
      <c r="AD44" s="131">
        <v>2036131</v>
      </c>
      <c r="AE44" s="131">
        <v>1160746</v>
      </c>
      <c r="AF44" s="134">
        <f>SUM(AG44:AJ44)</f>
        <v>6639591</v>
      </c>
      <c r="AG44" s="131">
        <v>544520</v>
      </c>
      <c r="AH44" s="131">
        <v>3301128</v>
      </c>
      <c r="AI44" s="131">
        <v>1198976</v>
      </c>
      <c r="AJ44" s="131">
        <v>1594967</v>
      </c>
      <c r="AK44" s="136">
        <f>SUM(AL44+AM44)</f>
        <v>5462914</v>
      </c>
      <c r="AL44" s="131">
        <v>3711367</v>
      </c>
      <c r="AM44" s="138">
        <f>SUM(AP44+AO44+AN44)</f>
        <v>1751547</v>
      </c>
      <c r="AN44" s="131">
        <v>361891</v>
      </c>
      <c r="AO44" s="131">
        <v>617999</v>
      </c>
      <c r="AP44" s="131">
        <v>771657</v>
      </c>
      <c r="AQ44" s="66">
        <f t="shared" si="2"/>
        <v>41279741</v>
      </c>
      <c r="AR44" s="43">
        <f t="shared" si="3"/>
        <v>0</v>
      </c>
      <c r="AS44" s="44"/>
      <c r="AT44" s="44"/>
      <c r="AW44" s="44">
        <f>(205999+1)</f>
        <v>206000</v>
      </c>
    </row>
    <row r="45" spans="1:49" x14ac:dyDescent="0.25">
      <c r="A45" s="221" t="s">
        <v>101</v>
      </c>
      <c r="B45" s="124" t="s">
        <v>102</v>
      </c>
      <c r="C45" s="125">
        <f>+E45+Z45+AF45+AK45</f>
        <v>137599132</v>
      </c>
      <c r="D45" s="126">
        <f>SUM(F45+G45+H45+I45+J45+K45+L45+M45+N45+O45+P45+Q45+R45+S45+T45+U45+V45+W45+X45+Y45+AA45+AB45+AC45+AD45+AE45+AG45+AH45+AI45+AJ45+AL45+AN45+AO45+AP45)</f>
        <v>137599132</v>
      </c>
      <c r="E45" s="127">
        <f>SUM(F45:Y45)</f>
        <v>71834951</v>
      </c>
      <c r="F45" s="128"/>
      <c r="G45" s="131">
        <v>5886946</v>
      </c>
      <c r="H45" s="131">
        <v>5255741</v>
      </c>
      <c r="I45" s="131">
        <v>3471763</v>
      </c>
      <c r="J45" s="131">
        <v>711220</v>
      </c>
      <c r="K45" s="131">
        <v>6524227</v>
      </c>
      <c r="L45" s="131">
        <v>1583571</v>
      </c>
      <c r="M45" s="131">
        <v>852173</v>
      </c>
      <c r="N45" s="131">
        <v>6045773</v>
      </c>
      <c r="O45" s="131">
        <v>11069816</v>
      </c>
      <c r="P45" s="131">
        <v>1637552</v>
      </c>
      <c r="Q45" s="131">
        <v>6036458</v>
      </c>
      <c r="R45" s="131">
        <v>3378875</v>
      </c>
      <c r="S45" s="131">
        <v>3109476</v>
      </c>
      <c r="T45" s="131">
        <v>1538076</v>
      </c>
      <c r="U45" s="131">
        <v>5530204</v>
      </c>
      <c r="V45" s="131">
        <v>2299157</v>
      </c>
      <c r="W45" s="131">
        <v>1867764</v>
      </c>
      <c r="X45" s="131">
        <v>1313733</v>
      </c>
      <c r="Y45" s="131">
        <v>3722426</v>
      </c>
      <c r="Z45" s="133">
        <f>SUM(AA45:AE45)</f>
        <v>25422499</v>
      </c>
      <c r="AA45" s="131">
        <v>3104303</v>
      </c>
      <c r="AB45" s="131">
        <v>4454782</v>
      </c>
      <c r="AC45" s="131">
        <v>7207158</v>
      </c>
      <c r="AD45" s="131">
        <v>6787104</v>
      </c>
      <c r="AE45" s="131">
        <v>3869152</v>
      </c>
      <c r="AF45" s="134">
        <f>SUM(AG45:AJ45)</f>
        <v>22131968</v>
      </c>
      <c r="AG45" s="131">
        <v>1815066</v>
      </c>
      <c r="AH45" s="131">
        <v>11003761</v>
      </c>
      <c r="AI45" s="131">
        <v>3996586</v>
      </c>
      <c r="AJ45" s="131">
        <v>5316555</v>
      </c>
      <c r="AK45" s="136">
        <f>SUM(AL45+AM45)</f>
        <v>18209714</v>
      </c>
      <c r="AL45" s="131">
        <v>12371224</v>
      </c>
      <c r="AM45" s="138">
        <f>SUM(AP45+AO45+AN45)</f>
        <v>5838490</v>
      </c>
      <c r="AN45" s="131">
        <v>1206303</v>
      </c>
      <c r="AO45" s="131">
        <v>2059996</v>
      </c>
      <c r="AP45" s="131">
        <v>2572191</v>
      </c>
      <c r="AQ45" s="66">
        <f t="shared" si="2"/>
        <v>137599132</v>
      </c>
      <c r="AR45" s="43">
        <f t="shared" si="3"/>
        <v>0</v>
      </c>
      <c r="AS45" s="44"/>
      <c r="AT45" s="44"/>
    </row>
    <row r="46" spans="1:49" x14ac:dyDescent="0.25">
      <c r="A46" s="221" t="s">
        <v>103</v>
      </c>
      <c r="B46" s="124" t="s">
        <v>104</v>
      </c>
      <c r="C46" s="125">
        <f>+E46+Z46+AF46+AK46</f>
        <v>13759913</v>
      </c>
      <c r="D46" s="126">
        <f>SUM(F46+G46+H46+I46+J46+K46+L46+M46+N46+O46+P46+Q46+R46+S46+T46+U46+V46+W46+X46+Y46+AA46+AB46+AC46+AD46+AE46+AG46+AH46+AI46+AJ46+AL46+AN46+AO46+AP46)</f>
        <v>13759913</v>
      </c>
      <c r="E46" s="127">
        <f>SUM(F46:Y46)</f>
        <v>7183495</v>
      </c>
      <c r="F46" s="128"/>
      <c r="G46" s="131">
        <v>588695</v>
      </c>
      <c r="H46" s="131">
        <v>525574</v>
      </c>
      <c r="I46" s="131">
        <v>347176</v>
      </c>
      <c r="J46" s="131">
        <v>71122</v>
      </c>
      <c r="K46" s="131">
        <v>652423</v>
      </c>
      <c r="L46" s="131">
        <v>158357</v>
      </c>
      <c r="M46" s="131">
        <v>85217</v>
      </c>
      <c r="N46" s="131">
        <v>604577</v>
      </c>
      <c r="O46" s="131">
        <v>1106982</v>
      </c>
      <c r="P46" s="131">
        <v>163755</v>
      </c>
      <c r="Q46" s="131">
        <v>603646</v>
      </c>
      <c r="R46" s="131">
        <v>337887</v>
      </c>
      <c r="S46" s="131">
        <v>310948</v>
      </c>
      <c r="T46" s="131">
        <v>153808</v>
      </c>
      <c r="U46" s="131">
        <v>553020</v>
      </c>
      <c r="V46" s="131">
        <v>229916</v>
      </c>
      <c r="W46" s="131">
        <v>186776</v>
      </c>
      <c r="X46" s="131">
        <v>131373</v>
      </c>
      <c r="Y46" s="131">
        <v>372243</v>
      </c>
      <c r="Z46" s="133">
        <f>SUM(AA46:AE46)</f>
        <v>2542249</v>
      </c>
      <c r="AA46" s="131">
        <v>310430</v>
      </c>
      <c r="AB46" s="131">
        <v>445478</v>
      </c>
      <c r="AC46" s="131">
        <v>720716</v>
      </c>
      <c r="AD46" s="131">
        <v>678710</v>
      </c>
      <c r="AE46" s="131">
        <v>386915</v>
      </c>
      <c r="AF46" s="134">
        <f>SUM(AG46:AJ46)</f>
        <v>2213198</v>
      </c>
      <c r="AG46" s="131">
        <v>181507</v>
      </c>
      <c r="AH46" s="131">
        <v>1100376</v>
      </c>
      <c r="AI46" s="131">
        <v>399659</v>
      </c>
      <c r="AJ46" s="131">
        <v>531656</v>
      </c>
      <c r="AK46" s="136">
        <f>SUM(AL46+AM46)</f>
        <v>1820971</v>
      </c>
      <c r="AL46" s="131">
        <v>1237122</v>
      </c>
      <c r="AM46" s="138">
        <f>SUM(AP46+AO46+AN46)</f>
        <v>583849</v>
      </c>
      <c r="AN46" s="131">
        <v>120630</v>
      </c>
      <c r="AO46" s="131">
        <v>206000</v>
      </c>
      <c r="AP46" s="131">
        <v>257219</v>
      </c>
      <c r="AQ46" s="66">
        <f t="shared" si="2"/>
        <v>13759913</v>
      </c>
      <c r="AR46" s="43">
        <f t="shared" si="3"/>
        <v>0</v>
      </c>
      <c r="AS46" s="44"/>
      <c r="AT46" s="44"/>
    </row>
    <row r="47" spans="1:49" x14ac:dyDescent="0.25">
      <c r="A47" s="221"/>
      <c r="B47" s="124"/>
      <c r="C47" s="125"/>
      <c r="D47" s="98"/>
      <c r="E47" s="127"/>
      <c r="F47" s="128"/>
      <c r="G47" s="129"/>
      <c r="H47" s="129"/>
      <c r="I47" s="129"/>
      <c r="J47" s="129"/>
      <c r="K47" s="101"/>
      <c r="L47" s="129"/>
      <c r="M47" s="129"/>
      <c r="N47" s="129"/>
      <c r="O47" s="129"/>
      <c r="P47" s="101"/>
      <c r="Q47" s="101"/>
      <c r="R47" s="101"/>
      <c r="S47" s="103"/>
      <c r="T47" s="104"/>
      <c r="U47" s="105"/>
      <c r="V47" s="101"/>
      <c r="W47" s="101"/>
      <c r="X47" s="103"/>
      <c r="Y47" s="148"/>
      <c r="Z47" s="133"/>
      <c r="AA47" s="143"/>
      <c r="AB47" s="144"/>
      <c r="AC47" s="144"/>
      <c r="AD47" s="144"/>
      <c r="AE47" s="145"/>
      <c r="AF47" s="108">
        <f>SUM(AG47:AI47)</f>
        <v>0</v>
      </c>
      <c r="AG47" s="146"/>
      <c r="AH47" s="147"/>
      <c r="AI47" s="148"/>
      <c r="AJ47" s="149"/>
      <c r="AK47" s="164"/>
      <c r="AL47" s="165"/>
      <c r="AM47" s="164"/>
      <c r="AN47" s="165"/>
      <c r="AO47" s="148"/>
      <c r="AP47" s="151"/>
      <c r="AQ47" s="66">
        <f t="shared" si="2"/>
        <v>0</v>
      </c>
      <c r="AR47" s="43">
        <f t="shared" si="3"/>
        <v>0</v>
      </c>
      <c r="AS47" s="44"/>
      <c r="AT47" s="44"/>
    </row>
    <row r="48" spans="1:49" x14ac:dyDescent="0.25">
      <c r="A48" s="223" t="s">
        <v>105</v>
      </c>
      <c r="B48" s="154" t="s">
        <v>106</v>
      </c>
      <c r="C48" s="92">
        <f>SUM(C49:C52)</f>
        <v>377332427</v>
      </c>
      <c r="D48" s="216">
        <f>SUM(D49:D52)</f>
        <v>377332427</v>
      </c>
      <c r="E48" s="93">
        <f t="shared" ref="E48:X48" si="22">SUM(E49:E52)</f>
        <v>196579099</v>
      </c>
      <c r="F48" s="155">
        <f t="shared" si="22"/>
        <v>0</v>
      </c>
      <c r="G48" s="156">
        <f t="shared" si="22"/>
        <v>16189103</v>
      </c>
      <c r="H48" s="156">
        <f t="shared" si="22"/>
        <v>14453287</v>
      </c>
      <c r="I48" s="156">
        <f t="shared" si="22"/>
        <v>9547348</v>
      </c>
      <c r="J48" s="156">
        <f t="shared" si="22"/>
        <v>1955855</v>
      </c>
      <c r="K48" s="156">
        <f t="shared" si="22"/>
        <v>17941624</v>
      </c>
      <c r="L48" s="156">
        <f t="shared" si="22"/>
        <v>4354820</v>
      </c>
      <c r="M48" s="156">
        <f t="shared" si="22"/>
        <v>2343475</v>
      </c>
      <c r="N48" s="156">
        <f t="shared" si="22"/>
        <v>16625876</v>
      </c>
      <c r="O48" s="156">
        <f t="shared" si="22"/>
        <v>30441995</v>
      </c>
      <c r="P48" s="156">
        <f t="shared" si="22"/>
        <v>4503267</v>
      </c>
      <c r="Q48" s="156">
        <f t="shared" si="22"/>
        <v>16347405</v>
      </c>
      <c r="R48" s="156">
        <f t="shared" si="22"/>
        <v>9291906</v>
      </c>
      <c r="S48" s="158">
        <f>SUM(S49:S52)</f>
        <v>8551060</v>
      </c>
      <c r="T48" s="94">
        <f t="shared" si="22"/>
        <v>4229710</v>
      </c>
      <c r="U48" s="155">
        <f>SUM(U49:U52)</f>
        <v>14747649</v>
      </c>
      <c r="V48" s="156">
        <f>SUM(V49:V52)</f>
        <v>6322682</v>
      </c>
      <c r="W48" s="156">
        <f>SUM(W49:W52)</f>
        <v>4882599</v>
      </c>
      <c r="X48" s="158">
        <f t="shared" si="22"/>
        <v>3612767</v>
      </c>
      <c r="Y48" s="162">
        <f>SUM(Y49:Y52)</f>
        <v>10236671</v>
      </c>
      <c r="Z48" s="118">
        <f>SUM(Z49:Z52)</f>
        <v>69911877</v>
      </c>
      <c r="AA48" s="159">
        <f t="shared" ref="AA48:AP48" si="23">SUM(AA49:AA52)</f>
        <v>8536834</v>
      </c>
      <c r="AB48" s="159">
        <f t="shared" si="23"/>
        <v>12250651</v>
      </c>
      <c r="AC48" s="159">
        <f t="shared" si="23"/>
        <v>19819686</v>
      </c>
      <c r="AD48" s="159">
        <f t="shared" si="23"/>
        <v>18664537</v>
      </c>
      <c r="AE48" s="208">
        <f t="shared" si="23"/>
        <v>10640169</v>
      </c>
      <c r="AF48" s="108">
        <f t="shared" si="23"/>
        <v>60862915</v>
      </c>
      <c r="AG48" s="159">
        <f t="shared" si="23"/>
        <v>4991432</v>
      </c>
      <c r="AH48" s="159">
        <f t="shared" si="23"/>
        <v>30260343</v>
      </c>
      <c r="AI48" s="159">
        <f t="shared" si="23"/>
        <v>10990613</v>
      </c>
      <c r="AJ48" s="224">
        <f t="shared" si="23"/>
        <v>14620527</v>
      </c>
      <c r="AK48" s="164">
        <f t="shared" si="23"/>
        <v>49978536</v>
      </c>
      <c r="AL48" s="192">
        <f t="shared" si="23"/>
        <v>33976936</v>
      </c>
      <c r="AM48" s="164">
        <f t="shared" si="23"/>
        <v>16001600</v>
      </c>
      <c r="AN48" s="192">
        <f>SUM(AN49:AN52)</f>
        <v>3317333</v>
      </c>
      <c r="AO48" s="162">
        <f t="shared" si="23"/>
        <v>5646574</v>
      </c>
      <c r="AP48" s="166">
        <f t="shared" si="23"/>
        <v>7037693</v>
      </c>
      <c r="AQ48" s="66">
        <f t="shared" si="2"/>
        <v>377332427</v>
      </c>
      <c r="AR48" s="43">
        <f t="shared" si="3"/>
        <v>0</v>
      </c>
      <c r="AS48" s="44"/>
      <c r="AT48" s="44"/>
    </row>
    <row r="49" spans="1:47" x14ac:dyDescent="0.25">
      <c r="A49" s="222" t="s">
        <v>107</v>
      </c>
      <c r="B49" s="124" t="s">
        <v>108</v>
      </c>
      <c r="C49" s="125">
        <f>+E49+Z49+AF49+AK49</f>
        <v>144479089</v>
      </c>
      <c r="D49" s="126">
        <f>SUM(F49+G49+H49+I49+J49+K49+L49+M49+N49+O49+P49+Q49+R49+S49+T49+U49+V49+W49+X49+Y49+AA49+AB49+AC49+AD49+AE49+AG49+AH49+AI49+AJ49+AL49+AN49+AO49+AP49)</f>
        <v>144479089</v>
      </c>
      <c r="E49" s="127">
        <f>SUM(F49:Y49)</f>
        <v>75426698</v>
      </c>
      <c r="F49" s="128"/>
      <c r="G49" s="132">
        <v>6181294</v>
      </c>
      <c r="H49" s="132">
        <v>5518528</v>
      </c>
      <c r="I49" s="132">
        <v>3645351</v>
      </c>
      <c r="J49" s="132">
        <v>746781</v>
      </c>
      <c r="K49" s="132">
        <v>6850438</v>
      </c>
      <c r="L49" s="132">
        <v>1662749</v>
      </c>
      <c r="M49" s="132">
        <v>894781</v>
      </c>
      <c r="N49" s="132">
        <v>6348062</v>
      </c>
      <c r="O49" s="132">
        <v>11623307</v>
      </c>
      <c r="P49" s="132">
        <v>1719429</v>
      </c>
      <c r="Q49" s="132">
        <v>6338281</v>
      </c>
      <c r="R49" s="132">
        <v>3547819</v>
      </c>
      <c r="S49" s="132">
        <v>3264950</v>
      </c>
      <c r="T49" s="132">
        <v>1614980</v>
      </c>
      <c r="U49" s="132">
        <v>5806714</v>
      </c>
      <c r="V49" s="132">
        <v>2414115</v>
      </c>
      <c r="W49" s="132">
        <v>1961152</v>
      </c>
      <c r="X49" s="132">
        <v>1379420</v>
      </c>
      <c r="Y49" s="132">
        <v>3908547</v>
      </c>
      <c r="Z49" s="133">
        <f>SUM(AA49:AE49)</f>
        <v>26693625</v>
      </c>
      <c r="AA49" s="132">
        <v>3259518</v>
      </c>
      <c r="AB49" s="132">
        <v>4677521</v>
      </c>
      <c r="AC49" s="132">
        <v>7567516</v>
      </c>
      <c r="AD49" s="132">
        <v>7126460</v>
      </c>
      <c r="AE49" s="132">
        <v>4062610</v>
      </c>
      <c r="AF49" s="134">
        <f>SUM(AG49:AJ49)</f>
        <v>23238567</v>
      </c>
      <c r="AG49" s="132">
        <v>1905819</v>
      </c>
      <c r="AH49" s="132">
        <v>11553949</v>
      </c>
      <c r="AI49" s="132">
        <v>4196416</v>
      </c>
      <c r="AJ49" s="132">
        <v>5582383</v>
      </c>
      <c r="AK49" s="136">
        <f>SUM(AL49+AM49)</f>
        <v>19120199</v>
      </c>
      <c r="AL49" s="132">
        <v>12989785</v>
      </c>
      <c r="AM49" s="138">
        <f>SUM(AP49+AO49+AN49)</f>
        <v>6130414</v>
      </c>
      <c r="AN49" s="132">
        <v>1266618</v>
      </c>
      <c r="AO49" s="132">
        <v>2162995</v>
      </c>
      <c r="AP49" s="132">
        <v>2700801</v>
      </c>
      <c r="AQ49" s="66">
        <f t="shared" si="2"/>
        <v>144479089</v>
      </c>
      <c r="AR49" s="43">
        <f t="shared" si="3"/>
        <v>0</v>
      </c>
    </row>
    <row r="50" spans="1:47" x14ac:dyDescent="0.25">
      <c r="A50" s="222" t="s">
        <v>109</v>
      </c>
      <c r="B50" s="124" t="s">
        <v>110</v>
      </c>
      <c r="C50" s="125">
        <f>+E50+Z50+AF50+AK50</f>
        <v>41279741</v>
      </c>
      <c r="D50" s="126">
        <f>SUM(F50+G50+H50+I50+J50+K50+L50+M50+N50+O50+P50+Q50+R50+S50+T50+U50+V50+W50+X50+Y50+AA50+AB50+AC50+AD50+AE50+AG50+AH50+AI50+AJ50+AL50+AN50+AO50+AP50)</f>
        <v>41279741</v>
      </c>
      <c r="E50" s="127">
        <f>SUM(F50:Y50)</f>
        <v>21550485</v>
      </c>
      <c r="F50" s="128"/>
      <c r="G50" s="132">
        <v>1766084</v>
      </c>
      <c r="H50" s="132">
        <v>1576722</v>
      </c>
      <c r="I50" s="132">
        <v>1041529</v>
      </c>
      <c r="J50" s="132">
        <v>213366</v>
      </c>
      <c r="K50" s="132">
        <v>1957268</v>
      </c>
      <c r="L50" s="132">
        <v>475071</v>
      </c>
      <c r="M50" s="132">
        <v>255652</v>
      </c>
      <c r="N50" s="132">
        <v>1813732</v>
      </c>
      <c r="O50" s="132">
        <v>3320945</v>
      </c>
      <c r="P50" s="132">
        <v>491266</v>
      </c>
      <c r="Q50" s="132">
        <v>1810937</v>
      </c>
      <c r="R50" s="132">
        <v>1013662</v>
      </c>
      <c r="S50" s="132">
        <v>932843</v>
      </c>
      <c r="T50" s="132">
        <v>461423</v>
      </c>
      <c r="U50" s="132">
        <v>1659061</v>
      </c>
      <c r="V50" s="132">
        <v>689747</v>
      </c>
      <c r="W50" s="132">
        <v>560329</v>
      </c>
      <c r="X50" s="132">
        <v>394120</v>
      </c>
      <c r="Y50" s="132">
        <v>1116728</v>
      </c>
      <c r="Z50" s="133">
        <f>SUM(AA50:AE50)</f>
        <v>7626751</v>
      </c>
      <c r="AA50" s="132">
        <v>931291</v>
      </c>
      <c r="AB50" s="132">
        <v>1336435</v>
      </c>
      <c r="AC50" s="132">
        <v>2162148</v>
      </c>
      <c r="AD50" s="132">
        <v>2036131</v>
      </c>
      <c r="AE50" s="132">
        <v>1160746</v>
      </c>
      <c r="AF50" s="134">
        <f>SUM(AG50:AJ50)</f>
        <v>6639591</v>
      </c>
      <c r="AG50" s="132">
        <v>544520</v>
      </c>
      <c r="AH50" s="132">
        <v>3301128</v>
      </c>
      <c r="AI50" s="132">
        <v>1198976</v>
      </c>
      <c r="AJ50" s="132">
        <v>1594967</v>
      </c>
      <c r="AK50" s="136">
        <f>SUM(AL50+AM50)</f>
        <v>5462914</v>
      </c>
      <c r="AL50" s="132">
        <v>3711367</v>
      </c>
      <c r="AM50" s="138">
        <f>SUM(AP50+AO50+AN50)</f>
        <v>1751547</v>
      </c>
      <c r="AN50" s="132">
        <v>361891</v>
      </c>
      <c r="AO50" s="132">
        <v>617999</v>
      </c>
      <c r="AP50" s="132">
        <v>771657</v>
      </c>
      <c r="AQ50" s="66">
        <f t="shared" si="2"/>
        <v>41279741</v>
      </c>
      <c r="AR50" s="43">
        <f t="shared" si="3"/>
        <v>0</v>
      </c>
    </row>
    <row r="51" spans="1:47" x14ac:dyDescent="0.25">
      <c r="A51" s="222" t="s">
        <v>111</v>
      </c>
      <c r="B51" s="124" t="s">
        <v>112</v>
      </c>
      <c r="C51" s="125">
        <f>+E51+Z51+AF51+AK51</f>
        <v>82559481</v>
      </c>
      <c r="D51" s="126">
        <f>SUM(F51+G51+H51+I51+J51+K51+L51+M51+N51+O51+P51+Q51+R51+S51+T51+U51+V51+W51+X51+Y51+AA51+AB51+AC51+AD51+AE51+AG51+AH51+AI51+AJ51+AL51+AN51+AO51+AP51)</f>
        <v>82559481</v>
      </c>
      <c r="E51" s="127">
        <f>SUM(F51:Y51)</f>
        <v>43100971</v>
      </c>
      <c r="F51" s="128"/>
      <c r="G51" s="132">
        <v>3532168</v>
      </c>
      <c r="H51" s="132">
        <v>3153444</v>
      </c>
      <c r="I51" s="132">
        <v>2083058</v>
      </c>
      <c r="J51" s="132">
        <v>426732</v>
      </c>
      <c r="K51" s="132">
        <v>3914536</v>
      </c>
      <c r="L51" s="132">
        <v>950143</v>
      </c>
      <c r="M51" s="132">
        <v>511304</v>
      </c>
      <c r="N51" s="132">
        <v>3627464</v>
      </c>
      <c r="O51" s="132">
        <v>6641890</v>
      </c>
      <c r="P51" s="132">
        <v>982531</v>
      </c>
      <c r="Q51" s="132">
        <v>3621875</v>
      </c>
      <c r="R51" s="132">
        <v>2027325</v>
      </c>
      <c r="S51" s="132">
        <v>1865686</v>
      </c>
      <c r="T51" s="132">
        <v>922846</v>
      </c>
      <c r="U51" s="132">
        <v>3318122</v>
      </c>
      <c r="V51" s="132">
        <v>1379494</v>
      </c>
      <c r="W51" s="132">
        <v>1120658</v>
      </c>
      <c r="X51" s="132">
        <v>788240</v>
      </c>
      <c r="Y51" s="132">
        <v>2233455</v>
      </c>
      <c r="Z51" s="133">
        <f>SUM(AA51:AE51)</f>
        <v>15253500</v>
      </c>
      <c r="AA51" s="132">
        <v>1862582</v>
      </c>
      <c r="AB51" s="132">
        <v>2672869</v>
      </c>
      <c r="AC51" s="132">
        <v>4324295</v>
      </c>
      <c r="AD51" s="132">
        <v>4072263</v>
      </c>
      <c r="AE51" s="132">
        <v>2321491</v>
      </c>
      <c r="AF51" s="134">
        <f>SUM(AG51:AJ51)</f>
        <v>13279182</v>
      </c>
      <c r="AG51" s="132">
        <v>1089040</v>
      </c>
      <c r="AH51" s="132">
        <v>6602257</v>
      </c>
      <c r="AI51" s="132">
        <v>2397952</v>
      </c>
      <c r="AJ51" s="132">
        <v>3189933</v>
      </c>
      <c r="AK51" s="136">
        <f>SUM(AL51+AM51)</f>
        <v>10925828</v>
      </c>
      <c r="AL51" s="132">
        <v>7422734</v>
      </c>
      <c r="AM51" s="138">
        <f>SUM(AP51+AO51+AN51)</f>
        <v>3503094</v>
      </c>
      <c r="AN51" s="132">
        <v>723782</v>
      </c>
      <c r="AO51" s="132">
        <v>1235997</v>
      </c>
      <c r="AP51" s="132">
        <v>1543315</v>
      </c>
      <c r="AQ51" s="66">
        <f t="shared" si="2"/>
        <v>82559481</v>
      </c>
      <c r="AR51" s="43">
        <f t="shared" si="3"/>
        <v>0</v>
      </c>
    </row>
    <row r="52" spans="1:47" s="47" customFormat="1" x14ac:dyDescent="0.25">
      <c r="A52" s="222" t="s">
        <v>113</v>
      </c>
      <c r="B52" s="124" t="s">
        <v>114</v>
      </c>
      <c r="C52" s="125">
        <f>+E52+Z52+AF52+AK52</f>
        <v>109014116</v>
      </c>
      <c r="D52" s="126">
        <f>SUM(F52+G52+H52+I52+J52+K52+L52+M52+N52+O52+P52+Q52+R52+S52+T52+U52+V52+W52+X52+Y52+AA52+AB52+AC52+AD52+AE52+AG52+AH52+AI52+AJ52+AL52+AN52+AO52+AP52)</f>
        <v>109014116</v>
      </c>
      <c r="E52" s="127">
        <f>SUM(F52:Y52)</f>
        <v>56500945</v>
      </c>
      <c r="F52" s="128"/>
      <c r="G52" s="131">
        <v>4709557</v>
      </c>
      <c r="H52" s="131">
        <v>4204593</v>
      </c>
      <c r="I52" s="131">
        <v>2777410</v>
      </c>
      <c r="J52" s="131">
        <v>568976</v>
      </c>
      <c r="K52" s="131">
        <v>5219382</v>
      </c>
      <c r="L52" s="131">
        <v>1266857</v>
      </c>
      <c r="M52" s="131">
        <v>681738</v>
      </c>
      <c r="N52" s="131">
        <v>4836618</v>
      </c>
      <c r="O52" s="131">
        <v>8855853</v>
      </c>
      <c r="P52" s="131">
        <v>1310041</v>
      </c>
      <c r="Q52" s="131">
        <v>4576312</v>
      </c>
      <c r="R52" s="131">
        <v>2703100</v>
      </c>
      <c r="S52" s="131">
        <v>2487581</v>
      </c>
      <c r="T52" s="131">
        <v>1230461</v>
      </c>
      <c r="U52" s="131">
        <v>3963752</v>
      </c>
      <c r="V52" s="131">
        <v>1839326</v>
      </c>
      <c r="W52" s="131">
        <v>1240460</v>
      </c>
      <c r="X52" s="131">
        <v>1050987</v>
      </c>
      <c r="Y52" s="131">
        <v>2977941</v>
      </c>
      <c r="Z52" s="133">
        <f>SUM(AA52:AE52)</f>
        <v>20338001</v>
      </c>
      <c r="AA52" s="131">
        <v>2483443</v>
      </c>
      <c r="AB52" s="131">
        <v>3563826</v>
      </c>
      <c r="AC52" s="131">
        <v>5765727</v>
      </c>
      <c r="AD52" s="131">
        <v>5429683</v>
      </c>
      <c r="AE52" s="131">
        <v>3095322</v>
      </c>
      <c r="AF52" s="134">
        <f>SUM(AG52:AJ52)</f>
        <v>17705575</v>
      </c>
      <c r="AG52" s="131">
        <v>1452053</v>
      </c>
      <c r="AH52" s="131">
        <v>8803009</v>
      </c>
      <c r="AI52" s="131">
        <v>3197269</v>
      </c>
      <c r="AJ52" s="131">
        <v>4253244</v>
      </c>
      <c r="AK52" s="136">
        <f>SUM(AL52+AM52)</f>
        <v>14469595</v>
      </c>
      <c r="AL52" s="131">
        <v>9853050</v>
      </c>
      <c r="AM52" s="138">
        <f>SUM(AP52+AO52+AN52)</f>
        <v>4616545</v>
      </c>
      <c r="AN52" s="131">
        <v>965042</v>
      </c>
      <c r="AO52" s="131">
        <v>1629583</v>
      </c>
      <c r="AP52" s="131">
        <v>2021920</v>
      </c>
      <c r="AQ52" s="66">
        <f t="shared" si="2"/>
        <v>109014116</v>
      </c>
      <c r="AR52" s="43">
        <f t="shared" si="3"/>
        <v>0</v>
      </c>
      <c r="AS52" s="46"/>
      <c r="AT52" s="46"/>
    </row>
    <row r="53" spans="1:47" s="47" customFormat="1" x14ac:dyDescent="0.25">
      <c r="A53" s="222"/>
      <c r="B53" s="124"/>
      <c r="C53" s="125"/>
      <c r="D53" s="98"/>
      <c r="E53" s="127"/>
      <c r="F53" s="128"/>
      <c r="G53" s="129"/>
      <c r="H53" s="129"/>
      <c r="I53" s="129"/>
      <c r="J53" s="129"/>
      <c r="K53" s="101"/>
      <c r="L53" s="129"/>
      <c r="M53" s="129"/>
      <c r="N53" s="129"/>
      <c r="O53" s="129"/>
      <c r="P53" s="101"/>
      <c r="Q53" s="101"/>
      <c r="R53" s="101"/>
      <c r="S53" s="103"/>
      <c r="T53" s="104"/>
      <c r="U53" s="105"/>
      <c r="V53" s="101"/>
      <c r="W53" s="101"/>
      <c r="X53" s="103"/>
      <c r="Y53" s="148"/>
      <c r="Z53" s="133"/>
      <c r="AA53" s="143"/>
      <c r="AB53" s="144"/>
      <c r="AC53" s="144"/>
      <c r="AD53" s="144"/>
      <c r="AE53" s="145"/>
      <c r="AF53" s="108"/>
      <c r="AG53" s="146"/>
      <c r="AH53" s="147"/>
      <c r="AI53" s="148"/>
      <c r="AJ53" s="149"/>
      <c r="AK53" s="136"/>
      <c r="AL53" s="165"/>
      <c r="AM53" s="136"/>
      <c r="AN53" s="165"/>
      <c r="AO53" s="148"/>
      <c r="AP53" s="151"/>
      <c r="AQ53" s="66">
        <f t="shared" si="2"/>
        <v>0</v>
      </c>
      <c r="AR53" s="43">
        <f t="shared" si="3"/>
        <v>0</v>
      </c>
      <c r="AS53" s="46"/>
      <c r="AT53" s="46"/>
    </row>
    <row r="54" spans="1:47" x14ac:dyDescent="0.25">
      <c r="A54" s="90">
        <v>1</v>
      </c>
      <c r="B54" s="91" t="s">
        <v>115</v>
      </c>
      <c r="C54" s="92">
        <f>SUM(C56+C63+C70+C80+C114+C118+C123+C128+C138+C142)</f>
        <v>4588878509.3999996</v>
      </c>
      <c r="D54" s="92">
        <f>SUM(D56+D63+D70+D80+D114+D118+D123+D128+D138+D142)</f>
        <v>4588878509.3999996</v>
      </c>
      <c r="E54" s="93">
        <f t="shared" ref="E54:P54" si="24">E56+E63+E70+E80+E114+E118+E123+E128+E138+E142</f>
        <v>874975632</v>
      </c>
      <c r="F54" s="155">
        <f t="shared" si="24"/>
        <v>20000</v>
      </c>
      <c r="G54" s="156">
        <f t="shared" si="24"/>
        <v>75000</v>
      </c>
      <c r="H54" s="156">
        <f t="shared" si="24"/>
        <v>6139211</v>
      </c>
      <c r="I54" s="156">
        <f t="shared" si="24"/>
        <v>2650000</v>
      </c>
      <c r="J54" s="156">
        <f t="shared" si="24"/>
        <v>4840000</v>
      </c>
      <c r="K54" s="156">
        <f t="shared" si="24"/>
        <v>45888539.5</v>
      </c>
      <c r="L54" s="156">
        <f t="shared" si="24"/>
        <v>5050000</v>
      </c>
      <c r="M54" s="156">
        <f t="shared" si="24"/>
        <v>0</v>
      </c>
      <c r="N54" s="156">
        <f t="shared" si="24"/>
        <v>7000000</v>
      </c>
      <c r="O54" s="156">
        <f t="shared" si="24"/>
        <v>110000</v>
      </c>
      <c r="P54" s="156">
        <f t="shared" si="24"/>
        <v>21636831</v>
      </c>
      <c r="Q54" s="156">
        <f>SUM(Q56+Q63+Q70+Q80+Q114+Q118+Q123+Q128+Q138+Q142)</f>
        <v>443818395.5</v>
      </c>
      <c r="R54" s="156">
        <f t="shared" ref="R54:Y54" si="25">R56+R63+R70+R80+R114+R118+R123+R128+R138+R142</f>
        <v>21000000</v>
      </c>
      <c r="S54" s="156">
        <f t="shared" si="25"/>
        <v>9255000</v>
      </c>
      <c r="T54" s="156">
        <f t="shared" si="25"/>
        <v>0</v>
      </c>
      <c r="U54" s="156">
        <f t="shared" si="25"/>
        <v>590000</v>
      </c>
      <c r="V54" s="156">
        <f t="shared" si="25"/>
        <v>247302655</v>
      </c>
      <c r="W54" s="156">
        <f t="shared" si="25"/>
        <v>11100000</v>
      </c>
      <c r="X54" s="156">
        <f t="shared" si="25"/>
        <v>6600000</v>
      </c>
      <c r="Y54" s="156">
        <f t="shared" si="25"/>
        <v>41900000</v>
      </c>
      <c r="Z54" s="94">
        <f>SUM(Z56+Z70+Z63+Z80+Z114+Z118+Z123+Z128+Z138+Z142)</f>
        <v>192112629</v>
      </c>
      <c r="AA54" s="156">
        <f>AA56+AA63+AA70+AA80+AA114+AA118+AA123+AA128+AA138+AA142</f>
        <v>720000</v>
      </c>
      <c r="AB54" s="156">
        <f>AB56+AB63+AB70+AB80+AB114+AB118+AB123+AB128+AB138+AB142</f>
        <v>850000</v>
      </c>
      <c r="AC54" s="156">
        <f>AC56+AC63+AC70+AC80+AC114+AC118+AC123+AC128+AC138+AC142</f>
        <v>1300000</v>
      </c>
      <c r="AD54" s="156">
        <f>AD56+AD63+AD70+AD80+AD114+AD118+AD123+AD128+AD138+AD142</f>
        <v>186722629</v>
      </c>
      <c r="AE54" s="204">
        <f>AE56+AE63+AE70+AE80+AE114+AE118+AE123+AE128+AE138+AE142</f>
        <v>2520000</v>
      </c>
      <c r="AF54" s="225">
        <f>SUM(AF56+AF63+AF70+AF80+AF114+AF118+AF123+AF128+AF138+AF142)</f>
        <v>235853615.40000001</v>
      </c>
      <c r="AG54" s="156">
        <f>AG56+AG63+AG70+AG80+AG114+AG118+AG123+AG128+AG138+AG142</f>
        <v>500000</v>
      </c>
      <c r="AH54" s="156">
        <f>AH56+AH63+AH70+AH80+AH114+AH118+AH123+AH128+AH138+AH142</f>
        <v>110764000</v>
      </c>
      <c r="AI54" s="156">
        <f>AI56+AI63+AI70+AI80+AI114+AI118+AI123+AI128+AI138+AI142</f>
        <v>7075000</v>
      </c>
      <c r="AJ54" s="158">
        <f>AJ56+AJ63+AJ70+AJ80+AJ114+AJ118+AJ123+AJ128+AJ138+AJ142</f>
        <v>117514615.40000001</v>
      </c>
      <c r="AK54" s="164">
        <f>AK56+AK63+AK70+AK80+AK114+AK118+AK123+AK128+AK138+AK142</f>
        <v>3285936633</v>
      </c>
      <c r="AL54" s="226">
        <f>SUM(AL56+AL63+AL70+AL80+AL114+AL118+AL123+AL128+AL138)</f>
        <v>3285461633</v>
      </c>
      <c r="AM54" s="108">
        <f>+AM56+AM63+AM70+AM80+AM114+AM118+AM123+AM128+AM138+AM142</f>
        <v>475000</v>
      </c>
      <c r="AN54" s="155">
        <f>AN56+AN63+AN70+AN80+AN114+AN118+AN123+AN128+AN138+AN142</f>
        <v>75000</v>
      </c>
      <c r="AO54" s="156">
        <f>AO56+AO63+AO70+AO80+AO114+AO118+AO123+AO128+AO138+AO142</f>
        <v>300000</v>
      </c>
      <c r="AP54" s="227">
        <f>SUM(AP63+AP70+AP56+AP80+AP114+AP118+AP123+AP128+AP138+AP142)</f>
        <v>100000</v>
      </c>
      <c r="AQ54" s="66">
        <f t="shared" si="2"/>
        <v>4588878509.3999996</v>
      </c>
      <c r="AR54" s="43">
        <f t="shared" si="3"/>
        <v>0</v>
      </c>
    </row>
    <row r="55" spans="1:47" x14ac:dyDescent="0.25">
      <c r="A55" s="90"/>
      <c r="B55" s="91"/>
      <c r="C55" s="228"/>
      <c r="D55" s="229"/>
      <c r="E55" s="93"/>
      <c r="F55" s="114"/>
      <c r="G55" s="115"/>
      <c r="H55" s="115"/>
      <c r="I55" s="115"/>
      <c r="J55" s="115"/>
      <c r="K55" s="230"/>
      <c r="L55" s="115"/>
      <c r="M55" s="115"/>
      <c r="N55" s="115"/>
      <c r="O55" s="115"/>
      <c r="P55" s="156"/>
      <c r="Q55" s="231"/>
      <c r="R55" s="231"/>
      <c r="S55" s="231"/>
      <c r="T55" s="231"/>
      <c r="U55" s="231"/>
      <c r="V55" s="231"/>
      <c r="W55" s="231"/>
      <c r="X55" s="231"/>
      <c r="Y55" s="231"/>
      <c r="Z55" s="232"/>
      <c r="AA55" s="231"/>
      <c r="AB55" s="231"/>
      <c r="AC55" s="231"/>
      <c r="AD55" s="231"/>
      <c r="AE55" s="230"/>
      <c r="AF55" s="225">
        <f>SUM(AG55:AI55)</f>
        <v>0</v>
      </c>
      <c r="AG55" s="231"/>
      <c r="AH55" s="231"/>
      <c r="AI55" s="231"/>
      <c r="AJ55" s="233"/>
      <c r="AK55" s="164"/>
      <c r="AL55" s="234"/>
      <c r="AM55" s="235"/>
      <c r="AN55" s="236"/>
      <c r="AO55" s="231"/>
      <c r="AP55" s="237"/>
      <c r="AQ55" s="66">
        <f t="shared" si="2"/>
        <v>0</v>
      </c>
      <c r="AR55" s="43">
        <f t="shared" si="3"/>
        <v>0</v>
      </c>
    </row>
    <row r="56" spans="1:47" x14ac:dyDescent="0.25">
      <c r="A56" s="238" t="s">
        <v>116</v>
      </c>
      <c r="B56" s="154" t="s">
        <v>117</v>
      </c>
      <c r="C56" s="239">
        <f>SUM(C57:C61)</f>
        <v>12850000</v>
      </c>
      <c r="D56" s="240">
        <f>SUM(D57:D61)</f>
        <v>12850000</v>
      </c>
      <c r="E56" s="93">
        <f t="shared" ref="E56:AN56" si="26">SUM(E57:E61)</f>
        <v>9077279</v>
      </c>
      <c r="F56" s="155">
        <f t="shared" si="26"/>
        <v>0</v>
      </c>
      <c r="G56" s="156">
        <f t="shared" si="26"/>
        <v>0</v>
      </c>
      <c r="H56" s="156">
        <f t="shared" si="26"/>
        <v>0</v>
      </c>
      <c r="I56" s="156">
        <f t="shared" si="26"/>
        <v>0</v>
      </c>
      <c r="J56" s="156">
        <f t="shared" si="26"/>
        <v>0</v>
      </c>
      <c r="K56" s="241">
        <f t="shared" si="26"/>
        <v>0</v>
      </c>
      <c r="L56" s="156">
        <f t="shared" si="26"/>
        <v>0</v>
      </c>
      <c r="M56" s="156">
        <f t="shared" si="26"/>
        <v>0</v>
      </c>
      <c r="N56" s="156">
        <f t="shared" si="26"/>
        <v>0</v>
      </c>
      <c r="O56" s="156">
        <f t="shared" si="26"/>
        <v>0</v>
      </c>
      <c r="P56" s="156">
        <f t="shared" si="26"/>
        <v>0</v>
      </c>
      <c r="Q56" s="156">
        <f t="shared" si="26"/>
        <v>8977279</v>
      </c>
      <c r="R56" s="156">
        <f t="shared" si="26"/>
        <v>0</v>
      </c>
      <c r="S56" s="156">
        <f>SUM(S57:S61)</f>
        <v>0</v>
      </c>
      <c r="T56" s="156">
        <f t="shared" si="26"/>
        <v>0</v>
      </c>
      <c r="U56" s="156">
        <f t="shared" si="26"/>
        <v>0</v>
      </c>
      <c r="V56" s="156">
        <f t="shared" si="26"/>
        <v>0</v>
      </c>
      <c r="W56" s="156">
        <f t="shared" si="26"/>
        <v>100000</v>
      </c>
      <c r="X56" s="156">
        <f t="shared" si="26"/>
        <v>0</v>
      </c>
      <c r="Y56" s="156">
        <f t="shared" si="26"/>
        <v>0</v>
      </c>
      <c r="Z56" s="179">
        <f t="shared" si="26"/>
        <v>0</v>
      </c>
      <c r="AA56" s="156">
        <f t="shared" si="26"/>
        <v>0</v>
      </c>
      <c r="AB56" s="156">
        <f t="shared" si="26"/>
        <v>0</v>
      </c>
      <c r="AC56" s="156">
        <f t="shared" si="26"/>
        <v>0</v>
      </c>
      <c r="AD56" s="156">
        <f t="shared" si="26"/>
        <v>0</v>
      </c>
      <c r="AE56" s="204">
        <f t="shared" si="26"/>
        <v>0</v>
      </c>
      <c r="AF56" s="225">
        <f t="shared" si="26"/>
        <v>0</v>
      </c>
      <c r="AG56" s="156">
        <f t="shared" si="26"/>
        <v>0</v>
      </c>
      <c r="AH56" s="156">
        <f t="shared" si="26"/>
        <v>0</v>
      </c>
      <c r="AI56" s="156">
        <f t="shared" si="26"/>
        <v>0</v>
      </c>
      <c r="AJ56" s="158">
        <f t="shared" si="26"/>
        <v>0</v>
      </c>
      <c r="AK56" s="164">
        <f>SUM(AK57:AK61)</f>
        <v>3772721</v>
      </c>
      <c r="AL56" s="226">
        <f t="shared" si="26"/>
        <v>3772721</v>
      </c>
      <c r="AM56" s="164">
        <f>SUM(AM57:AM61)</f>
        <v>0</v>
      </c>
      <c r="AN56" s="155">
        <f t="shared" si="26"/>
        <v>0</v>
      </c>
      <c r="AO56" s="156">
        <f>SUM(AO57:AO61)</f>
        <v>0</v>
      </c>
      <c r="AP56" s="227">
        <f>SUM(AP57:AP61)</f>
        <v>0</v>
      </c>
      <c r="AQ56" s="66">
        <f t="shared" si="2"/>
        <v>12850000</v>
      </c>
      <c r="AR56" s="43">
        <f t="shared" si="3"/>
        <v>0</v>
      </c>
    </row>
    <row r="57" spans="1:47" x14ac:dyDescent="0.25">
      <c r="A57" s="242" t="s">
        <v>118</v>
      </c>
      <c r="B57" s="124" t="s">
        <v>119</v>
      </c>
      <c r="C57" s="228">
        <f>+E57+Z57+AF57+AK57</f>
        <v>4000000</v>
      </c>
      <c r="D57" s="126">
        <f>SUM(F57+G57+H57+I57+J57+K57+L57+M57+N57+O57+P57+Q57+R57+S57+T57+U57+V57+W57+X57+Y57+AA57+AB57+AC57+AD57+AE57+AG57+AH57+AI57+AJ57+AL57+AN57+AO57+AP57)</f>
        <v>4000000</v>
      </c>
      <c r="E57" s="127">
        <f>SUM(F57:Y57)</f>
        <v>4000000</v>
      </c>
      <c r="F57" s="175"/>
      <c r="G57" s="176"/>
      <c r="H57" s="176"/>
      <c r="I57" s="176">
        <v>0</v>
      </c>
      <c r="J57" s="176"/>
      <c r="K57" s="101"/>
      <c r="L57" s="176"/>
      <c r="M57" s="176"/>
      <c r="N57" s="176"/>
      <c r="O57" s="176"/>
      <c r="P57" s="101"/>
      <c r="Q57" s="243">
        <v>4000000</v>
      </c>
      <c r="R57" s="101"/>
      <c r="S57" s="101"/>
      <c r="T57" s="101"/>
      <c r="U57" s="101"/>
      <c r="V57" s="101"/>
      <c r="W57" s="101"/>
      <c r="X57" s="101"/>
      <c r="Y57" s="101"/>
      <c r="Z57" s="133">
        <f>SUM(AA57:AE57)</f>
        <v>0</v>
      </c>
      <c r="AA57" s="101"/>
      <c r="AB57" s="101"/>
      <c r="AC57" s="101"/>
      <c r="AD57" s="101"/>
      <c r="AE57" s="244"/>
      <c r="AF57" s="225">
        <f>SUM(AG57:AJ57)</f>
        <v>0</v>
      </c>
      <c r="AG57" s="101"/>
      <c r="AH57" s="101"/>
      <c r="AI57" s="101"/>
      <c r="AJ57" s="103"/>
      <c r="AK57" s="136">
        <f>SUM(AL57+AM57)</f>
        <v>0</v>
      </c>
      <c r="AL57" s="110"/>
      <c r="AM57" s="138">
        <f>SUM(AN57:AP57)</f>
        <v>0</v>
      </c>
      <c r="AN57" s="105"/>
      <c r="AO57" s="101"/>
      <c r="AP57" s="111"/>
      <c r="AQ57" s="66">
        <f t="shared" si="2"/>
        <v>4000000</v>
      </c>
      <c r="AR57" s="43">
        <f t="shared" si="3"/>
        <v>0</v>
      </c>
    </row>
    <row r="58" spans="1:47" x14ac:dyDescent="0.25">
      <c r="A58" s="242" t="s">
        <v>120</v>
      </c>
      <c r="B58" s="124" t="s">
        <v>121</v>
      </c>
      <c r="C58" s="228">
        <f>+E58+Z58+AF58+AK58</f>
        <v>6300000</v>
      </c>
      <c r="D58" s="126">
        <f>SUM(F58+G58+H58+I58+J58+K58+L58+M58+N58+O58+P58+Q58+R58+S58+T58+U58+V58+W58+X58+Y58+AA58+AB58+AC58+AD58+AE58+AG58+AH58+AI58+AJ58+AL58+AN58+AO58+AP58)</f>
        <v>6300000</v>
      </c>
      <c r="E58" s="127">
        <f>SUM(F58:Y58)</f>
        <v>3618003</v>
      </c>
      <c r="F58" s="175"/>
      <c r="G58" s="176"/>
      <c r="H58" s="176"/>
      <c r="I58" s="176"/>
      <c r="J58" s="176"/>
      <c r="K58" s="101"/>
      <c r="L58" s="176"/>
      <c r="M58" s="176"/>
      <c r="N58" s="176"/>
      <c r="O58" s="176"/>
      <c r="P58" s="101"/>
      <c r="Q58" s="243">
        <f>4000000-'[2]Costeo SAP'!I4</f>
        <v>3618003</v>
      </c>
      <c r="R58" s="101"/>
      <c r="S58" s="101"/>
      <c r="T58" s="101"/>
      <c r="U58" s="101"/>
      <c r="V58" s="101"/>
      <c r="W58" s="101"/>
      <c r="X58" s="101"/>
      <c r="Y58" s="101"/>
      <c r="Z58" s="133">
        <f>SUM(AA58:AE58)</f>
        <v>0</v>
      </c>
      <c r="AA58" s="245">
        <f>800000-800000</f>
        <v>0</v>
      </c>
      <c r="AB58" s="245">
        <f>500000-500000</f>
        <v>0</v>
      </c>
      <c r="AC58" s="101"/>
      <c r="AD58" s="101"/>
      <c r="AE58" s="244"/>
      <c r="AF58" s="225">
        <f>SUM(AG58:AJ58)</f>
        <v>0</v>
      </c>
      <c r="AG58" s="101"/>
      <c r="AH58" s="101"/>
      <c r="AI58" s="101"/>
      <c r="AJ58" s="103"/>
      <c r="AK58" s="136">
        <f>SUM(AL58+AM58)</f>
        <v>2681997</v>
      </c>
      <c r="AL58" s="176">
        <f>2300000+'[2]Costeo SAP'!I4</f>
        <v>2681997</v>
      </c>
      <c r="AM58" s="138">
        <f>SUM(AN58:AP58)</f>
        <v>0</v>
      </c>
      <c r="AN58" s="105"/>
      <c r="AO58" s="101"/>
      <c r="AP58" s="111"/>
      <c r="AQ58" s="66">
        <f t="shared" si="2"/>
        <v>6300000</v>
      </c>
      <c r="AR58" s="43">
        <f t="shared" si="3"/>
        <v>0</v>
      </c>
      <c r="AU58" s="44">
        <f>+AL56+AL63+AL70-AL72-AL77+AL76+AL71+AL73+AL78+AL102+AL110+AL111+AL112+AL114+AL123+AL128+AL147</f>
        <v>1318021843</v>
      </c>
    </row>
    <row r="59" spans="1:47" x14ac:dyDescent="0.25">
      <c r="A59" s="242" t="s">
        <v>122</v>
      </c>
      <c r="B59" s="124" t="s">
        <v>123</v>
      </c>
      <c r="C59" s="228">
        <f>+E59+Z59+AF59+AK59</f>
        <v>700000</v>
      </c>
      <c r="D59" s="126">
        <f>SUM(F59+G59+H59+I59+J59+K59+L59+M59+N59+O59+P59+Q59+R59+S59+T59+U59+V59+W59+X59+Y59+AA59+AB59+AC59+AD59+AE59+AG59+AH59+AI59+AJ59+AL59+AN59+AO59+AP59)</f>
        <v>700000</v>
      </c>
      <c r="E59" s="127">
        <f>SUM(F59:Y59)</f>
        <v>633151</v>
      </c>
      <c r="F59" s="175"/>
      <c r="G59" s="176"/>
      <c r="H59" s="176"/>
      <c r="I59" s="176">
        <v>0</v>
      </c>
      <c r="J59" s="176">
        <v>0</v>
      </c>
      <c r="K59" s="246"/>
      <c r="L59" s="176"/>
      <c r="M59" s="176"/>
      <c r="N59" s="176"/>
      <c r="O59" s="176"/>
      <c r="P59" s="101"/>
      <c r="Q59" s="243">
        <f>700000-'[2]Costeo SAP'!I5</f>
        <v>633151</v>
      </c>
      <c r="R59" s="101"/>
      <c r="S59" s="101"/>
      <c r="T59" s="101"/>
      <c r="U59" s="101"/>
      <c r="V59" s="101"/>
      <c r="W59" s="101"/>
      <c r="X59" s="101"/>
      <c r="Y59" s="101"/>
      <c r="Z59" s="133">
        <f>SUM(AA59:AE59)</f>
        <v>0</v>
      </c>
      <c r="AA59" s="101"/>
      <c r="AB59" s="101"/>
      <c r="AC59" s="101"/>
      <c r="AD59" s="101"/>
      <c r="AE59" s="244"/>
      <c r="AF59" s="225">
        <f>SUM(AG59:AJ59)</f>
        <v>0</v>
      </c>
      <c r="AG59" s="101"/>
      <c r="AH59" s="101"/>
      <c r="AI59" s="101"/>
      <c r="AJ59" s="103"/>
      <c r="AK59" s="136">
        <f>SUM(AL59+AM59)</f>
        <v>66849</v>
      </c>
      <c r="AL59" s="110">
        <f>+'[2]Costeo SAP'!I5</f>
        <v>66849</v>
      </c>
      <c r="AM59" s="138">
        <f>SUM(AN59:AP59)</f>
        <v>0</v>
      </c>
      <c r="AN59" s="105"/>
      <c r="AO59" s="101"/>
      <c r="AP59" s="111"/>
      <c r="AQ59" s="66">
        <f t="shared" si="2"/>
        <v>700000</v>
      </c>
      <c r="AR59" s="43">
        <f t="shared" si="3"/>
        <v>0</v>
      </c>
      <c r="AU59" s="44">
        <f>+AL9</f>
        <v>343463714</v>
      </c>
    </row>
    <row r="60" spans="1:47" x14ac:dyDescent="0.25">
      <c r="A60" s="242" t="s">
        <v>124</v>
      </c>
      <c r="B60" s="124" t="s">
        <v>125</v>
      </c>
      <c r="C60" s="228">
        <f>+E60+Z60+AF60+AK60</f>
        <v>500000</v>
      </c>
      <c r="D60" s="126">
        <f>SUM(F60+G60+H60+I60+J60+K60+L60+M60+N60+O60+P60+Q60+R60+S60+T60+U60+V60+W60+X60+Y60+AA60+AB60+AC60+AD60+AE60+AG60+AH60+AI60+AJ60+AL60+AN60+AO60+AP60)</f>
        <v>500000</v>
      </c>
      <c r="E60" s="127">
        <f>SUM(F60:Y60)</f>
        <v>500000</v>
      </c>
      <c r="F60" s="175"/>
      <c r="G60" s="176"/>
      <c r="H60" s="176"/>
      <c r="I60" s="176"/>
      <c r="J60" s="176"/>
      <c r="K60" s="101"/>
      <c r="L60" s="176"/>
      <c r="M60" s="176"/>
      <c r="N60" s="176"/>
      <c r="O60" s="176"/>
      <c r="P60" s="101"/>
      <c r="Q60" s="243">
        <v>500000</v>
      </c>
      <c r="R60" s="101"/>
      <c r="S60" s="101"/>
      <c r="T60" s="101"/>
      <c r="U60" s="101"/>
      <c r="V60" s="101"/>
      <c r="W60" s="101"/>
      <c r="X60" s="101"/>
      <c r="Y60" s="101"/>
      <c r="Z60" s="133">
        <f>SUM(AA60:AE60)</f>
        <v>0</v>
      </c>
      <c r="AA60" s="101"/>
      <c r="AB60" s="101"/>
      <c r="AC60" s="101"/>
      <c r="AD60" s="101"/>
      <c r="AE60" s="244"/>
      <c r="AF60" s="225">
        <f>SUM(AG60:AJ60)</f>
        <v>0</v>
      </c>
      <c r="AG60" s="101"/>
      <c r="AH60" s="101"/>
      <c r="AI60" s="101"/>
      <c r="AJ60" s="103"/>
      <c r="AK60" s="136">
        <f>SUM(AL60+AM60)</f>
        <v>0</v>
      </c>
      <c r="AL60" s="110"/>
      <c r="AM60" s="138">
        <f>SUM(AN60:AP60)</f>
        <v>0</v>
      </c>
      <c r="AN60" s="105"/>
      <c r="AO60" s="101"/>
      <c r="AP60" s="111"/>
      <c r="AQ60" s="66">
        <f t="shared" si="2"/>
        <v>500000</v>
      </c>
      <c r="AR60" s="43">
        <f t="shared" si="3"/>
        <v>0</v>
      </c>
    </row>
    <row r="61" spans="1:47" ht="13.8" thickBot="1" x14ac:dyDescent="0.3">
      <c r="A61" s="242" t="s">
        <v>126</v>
      </c>
      <c r="B61" s="124" t="s">
        <v>127</v>
      </c>
      <c r="C61" s="228">
        <f>+E61+Z61+AF61+AK61</f>
        <v>1350000</v>
      </c>
      <c r="D61" s="126">
        <f>SUM(F61+G61+H61+I61+J61+K61+L61+M61+N61+O61+P61+Q61+R61+S61+T61+U61+V61+W61+X61+Y61+AA61+AB61+AC61+AD61+AE61+AG61+AH61+AI61+AJ61+AL61+AN61+AO61+AP61)</f>
        <v>1350000</v>
      </c>
      <c r="E61" s="127">
        <f>SUM(F61:Y61)</f>
        <v>326125</v>
      </c>
      <c r="F61" s="175"/>
      <c r="G61" s="176">
        <v>0</v>
      </c>
      <c r="H61" s="176">
        <v>0</v>
      </c>
      <c r="I61" s="176"/>
      <c r="J61" s="176"/>
      <c r="K61" s="101"/>
      <c r="L61" s="176"/>
      <c r="M61" s="176"/>
      <c r="N61" s="176"/>
      <c r="O61" s="176"/>
      <c r="P61" s="101"/>
      <c r="Q61" s="247">
        <f>250000-'[2]Costeo SAP'!I6</f>
        <v>226125</v>
      </c>
      <c r="R61" s="101"/>
      <c r="S61" s="101"/>
      <c r="T61" s="101"/>
      <c r="U61" s="101"/>
      <c r="V61" s="101"/>
      <c r="W61" s="101">
        <v>100000</v>
      </c>
      <c r="X61" s="101"/>
      <c r="Y61" s="101"/>
      <c r="Z61" s="133">
        <f>SUM(AA61:AE61)</f>
        <v>0</v>
      </c>
      <c r="AA61" s="101"/>
      <c r="AB61" s="101"/>
      <c r="AC61" s="101"/>
      <c r="AD61" s="101"/>
      <c r="AE61" s="244"/>
      <c r="AF61" s="248">
        <f>SUM(AG61:AJ61)</f>
        <v>0</v>
      </c>
      <c r="AG61" s="101"/>
      <c r="AH61" s="101"/>
      <c r="AI61" s="101"/>
      <c r="AJ61" s="103"/>
      <c r="AK61" s="136">
        <f>SUM(AL61+AM61)</f>
        <v>1023875</v>
      </c>
      <c r="AL61" s="176">
        <f>1000000+'[2]Costeo SAP'!I6</f>
        <v>1023875</v>
      </c>
      <c r="AM61" s="138">
        <f>SUM(AN61:AP61)</f>
        <v>0</v>
      </c>
      <c r="AN61" s="105"/>
      <c r="AO61" s="101"/>
      <c r="AP61" s="111"/>
      <c r="AQ61" s="66">
        <f t="shared" si="2"/>
        <v>1350000</v>
      </c>
      <c r="AR61" s="43">
        <f t="shared" si="3"/>
        <v>0</v>
      </c>
    </row>
    <row r="62" spans="1:47" x14ac:dyDescent="0.25">
      <c r="A62" s="242"/>
      <c r="B62" s="124"/>
      <c r="C62" s="228"/>
      <c r="D62" s="229"/>
      <c r="E62" s="93"/>
      <c r="F62" s="175"/>
      <c r="G62" s="176"/>
      <c r="H62" s="176"/>
      <c r="I62" s="176"/>
      <c r="J62" s="176"/>
      <c r="K62" s="101"/>
      <c r="L62" s="176"/>
      <c r="M62" s="176"/>
      <c r="N62" s="176"/>
      <c r="O62" s="176"/>
      <c r="P62" s="101"/>
      <c r="Q62" s="101"/>
      <c r="R62" s="101"/>
      <c r="S62" s="101"/>
      <c r="T62" s="101"/>
      <c r="U62" s="101"/>
      <c r="V62" s="101"/>
      <c r="W62" s="101"/>
      <c r="X62" s="101"/>
      <c r="Y62" s="101"/>
      <c r="Z62" s="187"/>
      <c r="AA62" s="101"/>
      <c r="AB62" s="101"/>
      <c r="AC62" s="101"/>
      <c r="AD62" s="101"/>
      <c r="AE62" s="244"/>
      <c r="AF62" s="225">
        <f>SUM(AG62:AI62)</f>
        <v>0</v>
      </c>
      <c r="AG62" s="101"/>
      <c r="AH62" s="101"/>
      <c r="AI62" s="101"/>
      <c r="AJ62" s="103"/>
      <c r="AK62" s="164"/>
      <c r="AL62" s="110"/>
      <c r="AM62" s="249"/>
      <c r="AN62" s="105"/>
      <c r="AO62" s="101"/>
      <c r="AP62" s="111"/>
      <c r="AQ62" s="66">
        <f t="shared" si="2"/>
        <v>0</v>
      </c>
      <c r="AR62" s="43">
        <f t="shared" si="3"/>
        <v>0</v>
      </c>
    </row>
    <row r="63" spans="1:47" x14ac:dyDescent="0.25">
      <c r="A63" s="250" t="s">
        <v>128</v>
      </c>
      <c r="B63" s="154" t="s">
        <v>129</v>
      </c>
      <c r="C63" s="239">
        <f>SUM(C64:C68)</f>
        <v>165058000</v>
      </c>
      <c r="D63" s="240">
        <f>SUM(D64:D68)</f>
        <v>165058000</v>
      </c>
      <c r="E63" s="93">
        <f>SUM(F63:X63)</f>
        <v>126637349</v>
      </c>
      <c r="F63" s="184">
        <f t="shared" ref="F63:AM63" si="27">SUM(F64:F68)</f>
        <v>0</v>
      </c>
      <c r="G63" s="185">
        <f t="shared" si="27"/>
        <v>0</v>
      </c>
      <c r="H63" s="185">
        <f t="shared" si="27"/>
        <v>0</v>
      </c>
      <c r="I63" s="185">
        <f t="shared" si="27"/>
        <v>0</v>
      </c>
      <c r="J63" s="185">
        <f t="shared" si="27"/>
        <v>0</v>
      </c>
      <c r="K63" s="185">
        <f t="shared" si="27"/>
        <v>0</v>
      </c>
      <c r="L63" s="185">
        <f t="shared" si="27"/>
        <v>0</v>
      </c>
      <c r="M63" s="185">
        <f t="shared" si="27"/>
        <v>0</v>
      </c>
      <c r="N63" s="185">
        <f t="shared" si="27"/>
        <v>0</v>
      </c>
      <c r="O63" s="185">
        <f t="shared" si="27"/>
        <v>0</v>
      </c>
      <c r="P63" s="185">
        <f t="shared" si="27"/>
        <v>0</v>
      </c>
      <c r="Q63" s="185">
        <f t="shared" si="27"/>
        <v>126637349</v>
      </c>
      <c r="R63" s="185">
        <f t="shared" si="27"/>
        <v>0</v>
      </c>
      <c r="S63" s="185">
        <f>SUM(S64:S68)</f>
        <v>0</v>
      </c>
      <c r="T63" s="185">
        <f t="shared" si="27"/>
        <v>0</v>
      </c>
      <c r="U63" s="185">
        <f t="shared" si="27"/>
        <v>0</v>
      </c>
      <c r="V63" s="185">
        <f t="shared" si="27"/>
        <v>0</v>
      </c>
      <c r="W63" s="185">
        <f t="shared" si="27"/>
        <v>0</v>
      </c>
      <c r="X63" s="185">
        <f t="shared" si="27"/>
        <v>0</v>
      </c>
      <c r="Y63" s="185">
        <f t="shared" si="27"/>
        <v>0</v>
      </c>
      <c r="Z63" s="251">
        <f t="shared" si="27"/>
        <v>0</v>
      </c>
      <c r="AA63" s="185">
        <f t="shared" si="27"/>
        <v>0</v>
      </c>
      <c r="AB63" s="185">
        <f t="shared" si="27"/>
        <v>0</v>
      </c>
      <c r="AC63" s="185">
        <f t="shared" si="27"/>
        <v>0</v>
      </c>
      <c r="AD63" s="185">
        <f t="shared" si="27"/>
        <v>0</v>
      </c>
      <c r="AE63" s="188">
        <f t="shared" si="27"/>
        <v>0</v>
      </c>
      <c r="AF63" s="225">
        <f t="shared" si="27"/>
        <v>0</v>
      </c>
      <c r="AG63" s="185">
        <f>SUM(AG64:AG68)</f>
        <v>0</v>
      </c>
      <c r="AH63" s="185">
        <f>SUM(AH64:AH68)</f>
        <v>0</v>
      </c>
      <c r="AI63" s="185">
        <f>SUM(AI64:AI68)</f>
        <v>0</v>
      </c>
      <c r="AJ63" s="186">
        <f>SUM(AJ64:AJ68)</f>
        <v>0</v>
      </c>
      <c r="AK63" s="164">
        <f t="shared" si="27"/>
        <v>38420651</v>
      </c>
      <c r="AL63" s="191">
        <f>SUM(AL64:AL68)</f>
        <v>38420651</v>
      </c>
      <c r="AM63" s="164">
        <f t="shared" si="27"/>
        <v>0</v>
      </c>
      <c r="AN63" s="184">
        <f>SUM(AN64:AN68)</f>
        <v>0</v>
      </c>
      <c r="AO63" s="185">
        <f>SUM(AO64:AO68)</f>
        <v>0</v>
      </c>
      <c r="AP63" s="252">
        <f>SUM(AP64:AP68)</f>
        <v>0</v>
      </c>
      <c r="AQ63" s="66">
        <f t="shared" si="2"/>
        <v>165058000</v>
      </c>
      <c r="AR63" s="43">
        <f t="shared" si="3"/>
        <v>0</v>
      </c>
    </row>
    <row r="64" spans="1:47" x14ac:dyDescent="0.25">
      <c r="A64" s="222" t="s">
        <v>130</v>
      </c>
      <c r="B64" s="124" t="s">
        <v>131</v>
      </c>
      <c r="C64" s="228">
        <f>+E64+Z64+AF64+AK64</f>
        <v>11400000</v>
      </c>
      <c r="D64" s="126">
        <f>SUM(F64+G64+H64+I64+J64+K64+L64+M64+N64+O64+P64+Q64+R64+S64+T64+U64+V64+W64+X64+Y64+AA64+AB64+AC64+AD64+AE64+AG64+AH64+AI64+AJ64+AL64+AN64+AO64+AP64)</f>
        <v>11400000</v>
      </c>
      <c r="E64" s="127">
        <f>SUM(F64:Y64)</f>
        <v>10311309</v>
      </c>
      <c r="F64" s="128"/>
      <c r="G64" s="129"/>
      <c r="H64" s="129"/>
      <c r="I64" s="129"/>
      <c r="J64" s="129"/>
      <c r="K64" s="101"/>
      <c r="L64" s="129"/>
      <c r="M64" s="129"/>
      <c r="N64" s="129"/>
      <c r="O64" s="129"/>
      <c r="P64" s="101"/>
      <c r="Q64" s="243">
        <f>11400000-'[2]Costeo SAP'!I7</f>
        <v>10311309</v>
      </c>
      <c r="R64" s="101"/>
      <c r="S64" s="101"/>
      <c r="T64" s="101"/>
      <c r="U64" s="101"/>
      <c r="V64" s="101"/>
      <c r="W64" s="101"/>
      <c r="X64" s="101"/>
      <c r="Y64" s="101"/>
      <c r="Z64" s="133">
        <f>SUM(AA64:AE64)</f>
        <v>0</v>
      </c>
      <c r="AA64" s="101"/>
      <c r="AB64" s="101"/>
      <c r="AC64" s="101"/>
      <c r="AD64" s="101"/>
      <c r="AE64" s="244"/>
      <c r="AF64" s="248">
        <f>SUM(AG64:AJ64)</f>
        <v>0</v>
      </c>
      <c r="AG64" s="101"/>
      <c r="AH64" s="101"/>
      <c r="AI64" s="101"/>
      <c r="AJ64" s="103"/>
      <c r="AK64" s="136">
        <f>SUM(AL64+AM64)</f>
        <v>1088691</v>
      </c>
      <c r="AL64" s="110">
        <f>+'[2]Costeo SAP'!I7</f>
        <v>1088691</v>
      </c>
      <c r="AM64" s="138">
        <f>SUM(AN64:AP64)</f>
        <v>0</v>
      </c>
      <c r="AN64" s="105"/>
      <c r="AO64" s="101"/>
      <c r="AP64" s="111"/>
      <c r="AQ64" s="66">
        <f t="shared" si="2"/>
        <v>11400000</v>
      </c>
      <c r="AR64" s="43">
        <f t="shared" si="3"/>
        <v>0</v>
      </c>
    </row>
    <row r="65" spans="1:48" x14ac:dyDescent="0.25">
      <c r="A65" s="222" t="s">
        <v>132</v>
      </c>
      <c r="B65" s="124" t="s">
        <v>133</v>
      </c>
      <c r="C65" s="228">
        <f>+E65+Z65+AF65+AK65</f>
        <v>54000000</v>
      </c>
      <c r="D65" s="126">
        <f>SUM(F65+G65+H65+I65+J65+K65+L65+M65+N65+O65+P65+Q65+R65+S65+T65+U65+V65+W65+X65+Y65+AA65+AB65+AC65+AD65+AE65+AG65+AH65+AI65+AJ65+AL65+AN65+AO65+AP65)</f>
        <v>54000000</v>
      </c>
      <c r="E65" s="127">
        <f>SUM(F65:Y65)</f>
        <v>48843044</v>
      </c>
      <c r="F65" s="128"/>
      <c r="G65" s="129"/>
      <c r="H65" s="129"/>
      <c r="I65" s="129"/>
      <c r="J65" s="129"/>
      <c r="K65" s="101"/>
      <c r="L65" s="129"/>
      <c r="M65" s="129"/>
      <c r="N65" s="129"/>
      <c r="O65" s="129"/>
      <c r="P65" s="101"/>
      <c r="Q65" s="243">
        <f>54000000-'[2]Costeo SAP'!I8</f>
        <v>48843044</v>
      </c>
      <c r="R65" s="101"/>
      <c r="S65" s="101"/>
      <c r="T65" s="101"/>
      <c r="U65" s="101"/>
      <c r="V65" s="101"/>
      <c r="W65" s="101"/>
      <c r="X65" s="101"/>
      <c r="Y65" s="101"/>
      <c r="Z65" s="133">
        <f>SUM(AA65:AE65)</f>
        <v>0</v>
      </c>
      <c r="AA65" s="101"/>
      <c r="AB65" s="101"/>
      <c r="AC65" s="101"/>
      <c r="AD65" s="101"/>
      <c r="AE65" s="244"/>
      <c r="AF65" s="248">
        <f>SUM(AG65:AJ65)</f>
        <v>0</v>
      </c>
      <c r="AG65" s="101"/>
      <c r="AH65" s="101"/>
      <c r="AI65" s="101"/>
      <c r="AJ65" s="103"/>
      <c r="AK65" s="136">
        <f>SUM(AL65+AM65)</f>
        <v>5156956</v>
      </c>
      <c r="AL65" s="110">
        <f>+'[2]Costeo SAP'!I8</f>
        <v>5156956</v>
      </c>
      <c r="AM65" s="138">
        <f>SUM(AN65:AP65)</f>
        <v>0</v>
      </c>
      <c r="AN65" s="105"/>
      <c r="AO65" s="101"/>
      <c r="AP65" s="111"/>
      <c r="AQ65" s="66">
        <f t="shared" si="2"/>
        <v>54000000</v>
      </c>
      <c r="AR65" s="43">
        <f t="shared" si="3"/>
        <v>0</v>
      </c>
      <c r="AS65" s="44"/>
      <c r="AT65" s="44"/>
    </row>
    <row r="66" spans="1:48" x14ac:dyDescent="0.25">
      <c r="A66" s="222" t="s">
        <v>134</v>
      </c>
      <c r="B66" s="124" t="s">
        <v>135</v>
      </c>
      <c r="C66" s="228">
        <f>+E66+Z66+AF66+AK66</f>
        <v>250000</v>
      </c>
      <c r="D66" s="126">
        <f>SUM(F66+G66+H66+I66+J66+K66+L66+M66+N66+O66+P66+Q66+R66+S66+T66+U66+V66+W66+X66+Y66+AA66+AB66+AC66+AD66+AE66+AG66+AH66+AI66+AJ66+AL66+AN66+AO66+AP66)</f>
        <v>250000</v>
      </c>
      <c r="E66" s="127">
        <f>SUM(F66:Y66)</f>
        <v>180900</v>
      </c>
      <c r="F66" s="128"/>
      <c r="G66" s="129"/>
      <c r="H66" s="129"/>
      <c r="I66" s="129">
        <v>0</v>
      </c>
      <c r="J66" s="129">
        <v>0</v>
      </c>
      <c r="K66" s="101"/>
      <c r="L66" s="129">
        <v>0</v>
      </c>
      <c r="M66" s="129"/>
      <c r="N66" s="129"/>
      <c r="O66" s="129"/>
      <c r="P66" s="101"/>
      <c r="Q66" s="243">
        <f>200000-'[2]Costeo SAP'!I9</f>
        <v>180900</v>
      </c>
      <c r="R66" s="101"/>
      <c r="S66" s="101"/>
      <c r="T66" s="101"/>
      <c r="U66" s="101"/>
      <c r="V66" s="101"/>
      <c r="W66" s="101"/>
      <c r="X66" s="101"/>
      <c r="Y66" s="101"/>
      <c r="Z66" s="133">
        <f>SUM(AA66:AE66)</f>
        <v>0</v>
      </c>
      <c r="AA66" s="101"/>
      <c r="AB66" s="101">
        <f>15000-15000</f>
        <v>0</v>
      </c>
      <c r="AC66" s="101"/>
      <c r="AD66" s="101"/>
      <c r="AE66" s="244"/>
      <c r="AF66" s="248">
        <f>SUM(AG66:AJ66)</f>
        <v>0</v>
      </c>
      <c r="AG66" s="101"/>
      <c r="AH66" s="101"/>
      <c r="AI66" s="101"/>
      <c r="AJ66" s="103"/>
      <c r="AK66" s="136">
        <f>SUM(AL66+AM66)</f>
        <v>69100</v>
      </c>
      <c r="AL66" s="176">
        <f>50000+'[2]Costeo SAP'!I9</f>
        <v>69100</v>
      </c>
      <c r="AM66" s="138">
        <f>SUM(AN66:AP66)</f>
        <v>0</v>
      </c>
      <c r="AN66" s="105"/>
      <c r="AO66" s="101"/>
      <c r="AP66" s="111"/>
      <c r="AQ66" s="66">
        <f t="shared" si="2"/>
        <v>250000</v>
      </c>
      <c r="AR66" s="43">
        <f t="shared" si="3"/>
        <v>0</v>
      </c>
      <c r="AS66" s="44"/>
      <c r="AT66" s="44"/>
    </row>
    <row r="67" spans="1:48" x14ac:dyDescent="0.25">
      <c r="A67" s="222" t="s">
        <v>136</v>
      </c>
      <c r="B67" s="124" t="s">
        <v>137</v>
      </c>
      <c r="C67" s="228">
        <f>+E67+Z67+AF67+AK67</f>
        <v>49408000</v>
      </c>
      <c r="D67" s="126">
        <f>SUM(F67+G67+H67+I67+J67+K67+L67+M67+N67+O67+P67+Q67+R67+S67+T67+U67+V67+W67+X67+Y67+AA67+AB67+AC67+AD67+AE67+AG67+AH67+AI67+AJ67+AL67+AN67+AO67+AP67)</f>
        <v>49408000</v>
      </c>
      <c r="E67" s="127">
        <f>SUM(F67:Y67)</f>
        <v>22077055.999999996</v>
      </c>
      <c r="F67" s="128"/>
      <c r="G67" s="129">
        <v>0</v>
      </c>
      <c r="H67" s="129"/>
      <c r="I67" s="129"/>
      <c r="J67" s="129"/>
      <c r="K67" s="101">
        <v>0</v>
      </c>
      <c r="L67" s="129">
        <v>0</v>
      </c>
      <c r="M67" s="129"/>
      <c r="N67" s="129"/>
      <c r="O67" s="129"/>
      <c r="P67" s="101"/>
      <c r="Q67" s="243">
        <f>(1800000*12*1.13)-'[2]Costeo SAP'!I10</f>
        <v>22077055.999999996</v>
      </c>
      <c r="R67" s="101"/>
      <c r="S67" s="101"/>
      <c r="T67" s="101"/>
      <c r="U67" s="101"/>
      <c r="V67" s="101"/>
      <c r="W67" s="101"/>
      <c r="X67" s="101"/>
      <c r="Y67" s="101"/>
      <c r="Z67" s="133">
        <f>SUM(AA67:AE67)</f>
        <v>0</v>
      </c>
      <c r="AA67" s="101"/>
      <c r="AB67" s="101"/>
      <c r="AC67" s="101"/>
      <c r="AD67" s="101"/>
      <c r="AE67" s="244"/>
      <c r="AF67" s="248">
        <f>SUM(AG67:AJ67)</f>
        <v>0</v>
      </c>
      <c r="AG67" s="101"/>
      <c r="AH67" s="101"/>
      <c r="AI67" s="101"/>
      <c r="AJ67" s="103"/>
      <c r="AK67" s="136">
        <f>SUM(AL67+AM67)</f>
        <v>27330944</v>
      </c>
      <c r="AL67" s="176">
        <f>25000000+'[2]Costeo SAP'!I10</f>
        <v>27330944</v>
      </c>
      <c r="AM67" s="138">
        <f>SUM(AN67:AP67)</f>
        <v>0</v>
      </c>
      <c r="AN67" s="105"/>
      <c r="AO67" s="101"/>
      <c r="AP67" s="111"/>
      <c r="AQ67" s="66">
        <f t="shared" si="2"/>
        <v>49408000</v>
      </c>
      <c r="AR67" s="43">
        <f t="shared" si="3"/>
        <v>0</v>
      </c>
      <c r="AS67" s="44"/>
      <c r="AT67" s="44"/>
    </row>
    <row r="68" spans="1:48" x14ac:dyDescent="0.25">
      <c r="A68" s="222" t="s">
        <v>138</v>
      </c>
      <c r="B68" s="124" t="s">
        <v>139</v>
      </c>
      <c r="C68" s="228">
        <f>+E68+Z68+AF68+AK68</f>
        <v>50000000</v>
      </c>
      <c r="D68" s="126">
        <f>SUM(F68+G68+H68+I68+J68+K68+L68+M68+N68+O68+P68+Q68+R68+S68+T68+U68+V68+W68+X68+Y68+AA68+AB68+AC68+AD68+AE68+AG68+AH68+AI68+AJ68+AL68+AN68+AO68+AP68)</f>
        <v>50000000</v>
      </c>
      <c r="E68" s="127">
        <f>SUM(F68:Y68)</f>
        <v>45225040</v>
      </c>
      <c r="F68" s="128"/>
      <c r="G68" s="129"/>
      <c r="H68" s="129"/>
      <c r="I68" s="129"/>
      <c r="J68" s="129"/>
      <c r="K68" s="101"/>
      <c r="L68" s="129">
        <v>0</v>
      </c>
      <c r="M68" s="129"/>
      <c r="N68" s="129"/>
      <c r="O68" s="129"/>
      <c r="P68" s="101"/>
      <c r="Q68" s="243">
        <f>80000000-30000000-'[2]Costeo SAP'!I11</f>
        <v>45225040</v>
      </c>
      <c r="R68" s="101"/>
      <c r="S68" s="101"/>
      <c r="T68" s="101"/>
      <c r="U68" s="101"/>
      <c r="V68" s="101"/>
      <c r="W68" s="101"/>
      <c r="X68" s="101"/>
      <c r="Y68" s="101"/>
      <c r="Z68" s="133">
        <f>SUM(AA68:AE68)</f>
        <v>0</v>
      </c>
      <c r="AA68" s="101"/>
      <c r="AB68" s="101"/>
      <c r="AC68" s="101"/>
      <c r="AD68" s="101"/>
      <c r="AE68" s="244"/>
      <c r="AF68" s="248">
        <f>SUM(AG68:AJ68)</f>
        <v>0</v>
      </c>
      <c r="AG68" s="101"/>
      <c r="AH68" s="101"/>
      <c r="AI68" s="101"/>
      <c r="AJ68" s="103"/>
      <c r="AK68" s="136">
        <f>SUM(AL68+AM68)</f>
        <v>4774960</v>
      </c>
      <c r="AL68" s="110">
        <f>+'[2]Costeo SAP'!I11</f>
        <v>4774960</v>
      </c>
      <c r="AM68" s="138">
        <f>SUM(AN68:AP68)</f>
        <v>0</v>
      </c>
      <c r="AN68" s="105"/>
      <c r="AO68" s="101"/>
      <c r="AP68" s="111"/>
      <c r="AQ68" s="66">
        <f t="shared" si="2"/>
        <v>50000000</v>
      </c>
      <c r="AR68" s="43">
        <f t="shared" si="3"/>
        <v>0</v>
      </c>
      <c r="AS68" s="44"/>
      <c r="AT68" s="44"/>
    </row>
    <row r="69" spans="1:48" x14ac:dyDescent="0.25">
      <c r="A69" s="222"/>
      <c r="B69" s="124"/>
      <c r="C69" s="228"/>
      <c r="D69" s="229"/>
      <c r="E69" s="93"/>
      <c r="F69" s="128"/>
      <c r="G69" s="129"/>
      <c r="H69" s="129"/>
      <c r="I69" s="129"/>
      <c r="J69" s="129"/>
      <c r="K69" s="101"/>
      <c r="L69" s="129"/>
      <c r="M69" s="129"/>
      <c r="N69" s="129"/>
      <c r="O69" s="129"/>
      <c r="P69" s="101"/>
      <c r="Q69" s="101"/>
      <c r="R69" s="101"/>
      <c r="S69" s="101"/>
      <c r="T69" s="101"/>
      <c r="U69" s="101"/>
      <c r="V69" s="101"/>
      <c r="W69" s="101"/>
      <c r="X69" s="101"/>
      <c r="Y69" s="101"/>
      <c r="Z69" s="253"/>
      <c r="AA69" s="101"/>
      <c r="AB69" s="101"/>
      <c r="AC69" s="101"/>
      <c r="AD69" s="101"/>
      <c r="AE69" s="244"/>
      <c r="AF69" s="225" t="s">
        <v>0</v>
      </c>
      <c r="AG69" s="101"/>
      <c r="AH69" s="101"/>
      <c r="AI69" s="101"/>
      <c r="AJ69" s="103"/>
      <c r="AK69" s="164"/>
      <c r="AL69" s="110"/>
      <c r="AM69" s="254" t="s">
        <v>0</v>
      </c>
      <c r="AN69" s="105"/>
      <c r="AO69" s="101"/>
      <c r="AP69" s="111"/>
      <c r="AQ69" s="66">
        <f t="shared" si="2"/>
        <v>0</v>
      </c>
      <c r="AR69" s="43">
        <f t="shared" si="3"/>
        <v>0</v>
      </c>
      <c r="AS69" s="44"/>
      <c r="AT69" s="44"/>
    </row>
    <row r="70" spans="1:48" x14ac:dyDescent="0.25">
      <c r="A70" s="250" t="s">
        <v>140</v>
      </c>
      <c r="B70" s="154" t="s">
        <v>141</v>
      </c>
      <c r="C70" s="239">
        <f>SUM(C71+C72+C73+C74+C75+C78)</f>
        <v>2231838242</v>
      </c>
      <c r="D70" s="239">
        <f>SUM(D71+D72+D73+D74+D75+D78)</f>
        <v>2231838242</v>
      </c>
      <c r="E70" s="239">
        <f>SUM(E71+E72+E73+E74+E75+E78)</f>
        <v>54434298</v>
      </c>
      <c r="F70" s="155">
        <f t="shared" ref="F70:AP70" si="28">SUM(F71+F72+F73+F74+F75+F78)</f>
        <v>20000</v>
      </c>
      <c r="G70" s="155">
        <f t="shared" si="28"/>
        <v>0</v>
      </c>
      <c r="H70" s="155">
        <f t="shared" si="28"/>
        <v>0</v>
      </c>
      <c r="I70" s="155">
        <f t="shared" si="28"/>
        <v>50000</v>
      </c>
      <c r="J70" s="155">
        <f t="shared" si="28"/>
        <v>0</v>
      </c>
      <c r="K70" s="155">
        <f t="shared" si="28"/>
        <v>11259298</v>
      </c>
      <c r="L70" s="155">
        <f t="shared" si="28"/>
        <v>50000</v>
      </c>
      <c r="M70" s="155">
        <f t="shared" si="28"/>
        <v>0</v>
      </c>
      <c r="N70" s="155">
        <f t="shared" si="28"/>
        <v>0</v>
      </c>
      <c r="O70" s="155">
        <f t="shared" si="28"/>
        <v>10000</v>
      </c>
      <c r="P70" s="155">
        <f t="shared" si="28"/>
        <v>0</v>
      </c>
      <c r="Q70" s="155">
        <f t="shared" si="28"/>
        <v>1200000</v>
      </c>
      <c r="R70" s="155">
        <f t="shared" si="28"/>
        <v>0</v>
      </c>
      <c r="S70" s="155">
        <f t="shared" si="28"/>
        <v>9255000</v>
      </c>
      <c r="T70" s="155">
        <f t="shared" si="28"/>
        <v>0</v>
      </c>
      <c r="U70" s="155">
        <f t="shared" si="28"/>
        <v>590000</v>
      </c>
      <c r="V70" s="155">
        <f>SUM(V75)</f>
        <v>300000</v>
      </c>
      <c r="W70" s="155">
        <f>SUM(W71:W75)+W78</f>
        <v>10500000</v>
      </c>
      <c r="X70" s="155">
        <f t="shared" si="28"/>
        <v>0</v>
      </c>
      <c r="Y70" s="155">
        <f t="shared" si="28"/>
        <v>21200000</v>
      </c>
      <c r="Z70" s="155">
        <f>SUM(Z71+Z72+Z73+Z74+Z75+Z78)</f>
        <v>16690000</v>
      </c>
      <c r="AA70" s="155">
        <f t="shared" si="28"/>
        <v>270000</v>
      </c>
      <c r="AB70" s="155">
        <f t="shared" si="28"/>
        <v>300000</v>
      </c>
      <c r="AC70" s="155">
        <f t="shared" si="28"/>
        <v>100000</v>
      </c>
      <c r="AD70" s="155">
        <f t="shared" si="28"/>
        <v>16000000</v>
      </c>
      <c r="AE70" s="203">
        <f t="shared" si="28"/>
        <v>20000</v>
      </c>
      <c r="AF70" s="239">
        <f t="shared" si="28"/>
        <v>265000</v>
      </c>
      <c r="AG70" s="155">
        <f t="shared" si="28"/>
        <v>100000</v>
      </c>
      <c r="AH70" s="155">
        <f t="shared" si="28"/>
        <v>15000</v>
      </c>
      <c r="AI70" s="155">
        <f t="shared" si="28"/>
        <v>0</v>
      </c>
      <c r="AJ70" s="226">
        <f t="shared" si="28"/>
        <v>150000</v>
      </c>
      <c r="AK70" s="93">
        <f>SUM(AK71+AK72+AK73+AK74+AK75+AK78)</f>
        <v>2160448944</v>
      </c>
      <c r="AL70" s="155">
        <f t="shared" si="28"/>
        <v>2160248944</v>
      </c>
      <c r="AM70" s="92">
        <f>SUM(AM71+AM72+AM73+AM74+AM75+AM78)</f>
        <v>200000</v>
      </c>
      <c r="AN70" s="155">
        <f t="shared" si="28"/>
        <v>50000</v>
      </c>
      <c r="AO70" s="155">
        <f t="shared" si="28"/>
        <v>150000</v>
      </c>
      <c r="AP70" s="255">
        <f t="shared" si="28"/>
        <v>0</v>
      </c>
      <c r="AQ70" s="66">
        <f t="shared" si="2"/>
        <v>2231838242</v>
      </c>
      <c r="AR70" s="43">
        <f t="shared" si="3"/>
        <v>0</v>
      </c>
      <c r="AS70" s="44"/>
      <c r="AT70" s="44"/>
    </row>
    <row r="71" spans="1:48" x14ac:dyDescent="0.25">
      <c r="A71" s="256" t="s">
        <v>142</v>
      </c>
      <c r="B71" s="124" t="s">
        <v>143</v>
      </c>
      <c r="C71" s="228">
        <f t="shared" ref="C71:C78" si="29">+E71+Z71+AF71+AK71</f>
        <v>23500000</v>
      </c>
      <c r="D71" s="126">
        <f t="shared" ref="D71:D78" si="30">SUM(F71+G71+H71+I71+J71+K71+L71+M71+N71+O71+P71+Q71+R71+S71+T71+U71+V71+W71+X71+Y71+AA71+AB71+AC71+AD71+AE71+AG71+AH71+AI71+AJ71+AL71+AN71+AO71+AP71)</f>
        <v>23500000</v>
      </c>
      <c r="E71" s="127">
        <f>SUM(F71:Y71)</f>
        <v>7450000</v>
      </c>
      <c r="F71" s="128"/>
      <c r="G71" s="129"/>
      <c r="H71" s="129"/>
      <c r="I71" s="129"/>
      <c r="J71" s="129"/>
      <c r="K71" s="101"/>
      <c r="L71" s="129"/>
      <c r="M71" s="129"/>
      <c r="N71" s="129"/>
      <c r="O71" s="129"/>
      <c r="P71" s="101"/>
      <c r="Q71" s="243">
        <f>500000-200000</f>
        <v>300000</v>
      </c>
      <c r="R71" s="101"/>
      <c r="S71" s="245">
        <v>6000000</v>
      </c>
      <c r="T71" s="101"/>
      <c r="U71" s="101">
        <v>150000</v>
      </c>
      <c r="V71" s="101"/>
      <c r="W71" s="101"/>
      <c r="X71" s="101"/>
      <c r="Y71" s="245">
        <v>1000000</v>
      </c>
      <c r="Z71" s="133">
        <f t="shared" ref="Z71:Z78" si="31">SUM(AA71:AE71)</f>
        <v>15000000</v>
      </c>
      <c r="AA71" s="245">
        <f>270000-270000</f>
        <v>0</v>
      </c>
      <c r="AB71" s="245">
        <f>100000-100000</f>
        <v>0</v>
      </c>
      <c r="AC71" s="257">
        <f>100000-100000</f>
        <v>0</v>
      </c>
      <c r="AD71" s="245">
        <f>20000000-5000000</f>
        <v>15000000</v>
      </c>
      <c r="AE71" s="244"/>
      <c r="AF71" s="248">
        <f t="shared" ref="AF71:AF78" si="32">SUM(AG71:AJ71)</f>
        <v>0</v>
      </c>
      <c r="AG71" s="101">
        <f>SUM(AH71:AJ71)</f>
        <v>0</v>
      </c>
      <c r="AH71" s="101"/>
      <c r="AI71" s="101"/>
      <c r="AJ71" s="103"/>
      <c r="AK71" s="136">
        <f t="shared" ref="AK71:AK78" si="33">SUM(AL71+AM71)</f>
        <v>1050000</v>
      </c>
      <c r="AL71" s="176">
        <v>1000000</v>
      </c>
      <c r="AM71" s="138">
        <f>SUM(AN71:AP71)</f>
        <v>50000</v>
      </c>
      <c r="AN71" s="258">
        <v>50000</v>
      </c>
      <c r="AO71" s="101"/>
      <c r="AP71" s="111"/>
      <c r="AQ71" s="66">
        <f t="shared" si="2"/>
        <v>23500000</v>
      </c>
      <c r="AR71" s="43">
        <f t="shared" si="3"/>
        <v>0</v>
      </c>
      <c r="AS71" s="44"/>
      <c r="AT71" s="44"/>
    </row>
    <row r="72" spans="1:48" ht="13.8" thickBot="1" x14ac:dyDescent="0.3">
      <c r="A72" s="256" t="s">
        <v>144</v>
      </c>
      <c r="B72" s="124" t="s">
        <v>145</v>
      </c>
      <c r="C72" s="228">
        <f t="shared" si="29"/>
        <v>420000000</v>
      </c>
      <c r="D72" s="126">
        <f t="shared" si="30"/>
        <v>420000000</v>
      </c>
      <c r="E72" s="127">
        <f t="shared" ref="E72:E78" si="34">SUM(F72:Y72)</f>
        <v>20000000</v>
      </c>
      <c r="F72" s="175"/>
      <c r="G72" s="176"/>
      <c r="H72" s="176"/>
      <c r="I72" s="176"/>
      <c r="J72" s="176"/>
      <c r="K72" s="101"/>
      <c r="L72" s="176"/>
      <c r="M72" s="176"/>
      <c r="N72" s="176"/>
      <c r="O72" s="176"/>
      <c r="P72" s="101"/>
      <c r="Q72" s="101"/>
      <c r="R72" s="101"/>
      <c r="S72" s="101"/>
      <c r="T72" s="101"/>
      <c r="U72" s="101"/>
      <c r="V72" s="101"/>
      <c r="W72" s="101"/>
      <c r="X72" s="101"/>
      <c r="Y72" s="245">
        <f>20000000</f>
        <v>20000000</v>
      </c>
      <c r="Z72" s="133">
        <f t="shared" si="31"/>
        <v>0</v>
      </c>
      <c r="AA72" s="101"/>
      <c r="AB72" s="101"/>
      <c r="AC72" s="101"/>
      <c r="AD72" s="101"/>
      <c r="AE72" s="244"/>
      <c r="AF72" s="248">
        <f t="shared" si="32"/>
        <v>0</v>
      </c>
      <c r="AG72" s="101"/>
      <c r="AH72" s="101"/>
      <c r="AI72" s="101"/>
      <c r="AJ72" s="103"/>
      <c r="AK72" s="136">
        <f t="shared" si="33"/>
        <v>400000000</v>
      </c>
      <c r="AL72" s="176">
        <v>400000000</v>
      </c>
      <c r="AM72" s="138">
        <f>SUM(AN72:AP72)</f>
        <v>0</v>
      </c>
      <c r="AN72" s="105"/>
      <c r="AO72" s="101"/>
      <c r="AP72" s="111"/>
      <c r="AQ72" s="66">
        <f t="shared" ref="AQ72:AQ135" si="35">+F72+G72+H72+I72+J72+K72+L72+M72+N72+O72+P72+Q72+R72+S72+T72+U72+V72+W72+X72+Y72+AA72+AB72+AC72+AD72+AE72+AG72+AH72+AI72+AJ72+AL72+AN72+AO72+AP72</f>
        <v>420000000</v>
      </c>
      <c r="AR72" s="43">
        <f t="shared" ref="AR72:AR135" si="36">+C72-AQ72</f>
        <v>0</v>
      </c>
      <c r="AS72" s="44"/>
      <c r="AT72" s="44"/>
    </row>
    <row r="73" spans="1:48" ht="14.4" thickTop="1" thickBot="1" x14ac:dyDescent="0.3">
      <c r="A73" s="256" t="s">
        <v>146</v>
      </c>
      <c r="B73" s="124" t="s">
        <v>147</v>
      </c>
      <c r="C73" s="228">
        <f t="shared" si="29"/>
        <v>6135000</v>
      </c>
      <c r="D73" s="126">
        <f t="shared" si="30"/>
        <v>6135000</v>
      </c>
      <c r="E73" s="127">
        <f t="shared" si="34"/>
        <v>880000</v>
      </c>
      <c r="F73" s="128">
        <f>+[5]Hoja1!$C$73</f>
        <v>20000</v>
      </c>
      <c r="G73" s="129"/>
      <c r="H73" s="129"/>
      <c r="I73" s="183">
        <v>50000</v>
      </c>
      <c r="J73" s="129"/>
      <c r="K73" s="101"/>
      <c r="L73" s="182">
        <v>50000</v>
      </c>
      <c r="M73" s="129"/>
      <c r="N73" s="129"/>
      <c r="O73" s="129">
        <v>10000</v>
      </c>
      <c r="P73" s="101"/>
      <c r="Q73" s="243">
        <v>250000</v>
      </c>
      <c r="R73" s="101"/>
      <c r="S73" s="259"/>
      <c r="T73" s="101"/>
      <c r="U73" s="101">
        <v>300000</v>
      </c>
      <c r="V73" s="101"/>
      <c r="W73" s="101"/>
      <c r="X73" s="101"/>
      <c r="Y73" s="245">
        <v>200000</v>
      </c>
      <c r="Z73" s="133">
        <f t="shared" si="31"/>
        <v>1340000</v>
      </c>
      <c r="AA73" s="245">
        <v>120000</v>
      </c>
      <c r="AB73" s="245">
        <v>100000</v>
      </c>
      <c r="AC73" s="101">
        <v>100000</v>
      </c>
      <c r="AD73" s="101">
        <v>1000000</v>
      </c>
      <c r="AE73" s="259">
        <v>20000</v>
      </c>
      <c r="AF73" s="248">
        <f t="shared" si="32"/>
        <v>265000</v>
      </c>
      <c r="AG73" s="260">
        <v>100000</v>
      </c>
      <c r="AH73" s="261">
        <f>+'[6]Egresos -2020'!$C$33</f>
        <v>15000</v>
      </c>
      <c r="AI73" s="261"/>
      <c r="AJ73" s="261">
        <v>150000</v>
      </c>
      <c r="AK73" s="136">
        <f t="shared" si="33"/>
        <v>3650000</v>
      </c>
      <c r="AL73" s="176">
        <v>3500000</v>
      </c>
      <c r="AM73" s="138">
        <f>SUM(AN73:AP73)</f>
        <v>150000</v>
      </c>
      <c r="AN73" s="105"/>
      <c r="AO73" s="176">
        <v>150000</v>
      </c>
      <c r="AP73" s="111"/>
      <c r="AQ73" s="66">
        <f t="shared" si="35"/>
        <v>6135000</v>
      </c>
      <c r="AR73" s="43">
        <f t="shared" si="36"/>
        <v>0</v>
      </c>
      <c r="AS73" s="44"/>
      <c r="AT73" s="44"/>
    </row>
    <row r="74" spans="1:48" ht="13.8" thickTop="1" x14ac:dyDescent="0.25">
      <c r="A74" s="256" t="s">
        <v>148</v>
      </c>
      <c r="B74" s="124" t="s">
        <v>149</v>
      </c>
      <c r="C74" s="228">
        <f t="shared" si="29"/>
        <v>350000</v>
      </c>
      <c r="D74" s="126">
        <f t="shared" si="30"/>
        <v>350000</v>
      </c>
      <c r="E74" s="127">
        <f t="shared" si="34"/>
        <v>350000</v>
      </c>
      <c r="F74" s="128"/>
      <c r="G74" s="129"/>
      <c r="H74" s="129"/>
      <c r="I74" s="129"/>
      <c r="J74" s="129"/>
      <c r="K74" s="101"/>
      <c r="L74" s="129"/>
      <c r="M74" s="129"/>
      <c r="N74" s="129"/>
      <c r="O74" s="129"/>
      <c r="P74" s="101"/>
      <c r="Q74" s="243">
        <f>500000-150000</f>
        <v>350000</v>
      </c>
      <c r="R74" s="101"/>
      <c r="S74" s="101"/>
      <c r="T74" s="101"/>
      <c r="U74" s="101"/>
      <c r="V74" s="101"/>
      <c r="W74" s="101"/>
      <c r="X74" s="101"/>
      <c r="Y74" s="101"/>
      <c r="Z74" s="133">
        <f t="shared" si="31"/>
        <v>0</v>
      </c>
      <c r="AA74" s="101"/>
      <c r="AB74" s="101"/>
      <c r="AC74" s="101"/>
      <c r="AD74" s="101"/>
      <c r="AE74" s="244"/>
      <c r="AF74" s="248">
        <f t="shared" si="32"/>
        <v>0</v>
      </c>
      <c r="AG74" s="101"/>
      <c r="AH74" s="101"/>
      <c r="AI74" s="101"/>
      <c r="AJ74" s="103"/>
      <c r="AK74" s="136">
        <f t="shared" si="33"/>
        <v>0</v>
      </c>
      <c r="AL74" s="110">
        <v>0</v>
      </c>
      <c r="AM74" s="138">
        <f>SUM(AN74:AP74)</f>
        <v>0</v>
      </c>
      <c r="AN74" s="105"/>
      <c r="AO74" s="101"/>
      <c r="AP74" s="111"/>
      <c r="AQ74" s="66">
        <f t="shared" si="35"/>
        <v>350000</v>
      </c>
      <c r="AR74" s="43">
        <f t="shared" si="36"/>
        <v>0</v>
      </c>
      <c r="AS74" s="44"/>
      <c r="AT74" s="44"/>
    </row>
    <row r="75" spans="1:48" x14ac:dyDescent="0.25">
      <c r="A75" s="256" t="s">
        <v>150</v>
      </c>
      <c r="B75" s="124" t="s">
        <v>151</v>
      </c>
      <c r="C75" s="239">
        <f>SUM(C76:C77)</f>
        <v>1767300162</v>
      </c>
      <c r="D75" s="239">
        <f>SUM(D76:D77)</f>
        <v>1767300162</v>
      </c>
      <c r="E75" s="239">
        <f>SUM(E76:E77)</f>
        <v>12740000</v>
      </c>
      <c r="F75" s="175">
        <f t="shared" ref="F75:AP75" si="37">SUM(F76:F77)</f>
        <v>0</v>
      </c>
      <c r="G75" s="175">
        <f t="shared" si="37"/>
        <v>0</v>
      </c>
      <c r="H75" s="175">
        <f t="shared" si="37"/>
        <v>0</v>
      </c>
      <c r="I75" s="175">
        <f t="shared" si="37"/>
        <v>0</v>
      </c>
      <c r="J75" s="175">
        <f t="shared" si="37"/>
        <v>0</v>
      </c>
      <c r="K75" s="175">
        <f t="shared" si="37"/>
        <v>0</v>
      </c>
      <c r="L75" s="175">
        <f t="shared" si="37"/>
        <v>0</v>
      </c>
      <c r="M75" s="175">
        <f t="shared" si="37"/>
        <v>0</v>
      </c>
      <c r="N75" s="175">
        <f t="shared" si="37"/>
        <v>0</v>
      </c>
      <c r="O75" s="175">
        <f t="shared" si="37"/>
        <v>0</v>
      </c>
      <c r="P75" s="175">
        <f t="shared" si="37"/>
        <v>0</v>
      </c>
      <c r="Q75" s="175">
        <f t="shared" si="37"/>
        <v>0</v>
      </c>
      <c r="R75" s="175">
        <f t="shared" si="37"/>
        <v>0</v>
      </c>
      <c r="S75" s="262">
        <f>SUM(S76)</f>
        <v>2300000</v>
      </c>
      <c r="T75" s="175">
        <f t="shared" si="37"/>
        <v>0</v>
      </c>
      <c r="U75" s="155">
        <f t="shared" si="37"/>
        <v>140000</v>
      </c>
      <c r="V75" s="263">
        <f>SUM(V76)</f>
        <v>300000</v>
      </c>
      <c r="W75" s="155">
        <f>SUM(W76)</f>
        <v>10000000</v>
      </c>
      <c r="X75" s="175">
        <f t="shared" si="37"/>
        <v>0</v>
      </c>
      <c r="Y75" s="175">
        <f t="shared" si="37"/>
        <v>0</v>
      </c>
      <c r="Z75" s="175">
        <f t="shared" si="37"/>
        <v>0</v>
      </c>
      <c r="AA75" s="175">
        <f t="shared" si="37"/>
        <v>0</v>
      </c>
      <c r="AB75" s="175">
        <f t="shared" si="37"/>
        <v>0</v>
      </c>
      <c r="AC75" s="175">
        <f t="shared" si="37"/>
        <v>0</v>
      </c>
      <c r="AD75" s="175">
        <f t="shared" si="37"/>
        <v>0</v>
      </c>
      <c r="AE75" s="264">
        <f t="shared" si="37"/>
        <v>0</v>
      </c>
      <c r="AF75" s="248">
        <f t="shared" si="32"/>
        <v>0</v>
      </c>
      <c r="AG75" s="175">
        <f t="shared" si="37"/>
        <v>0</v>
      </c>
      <c r="AH75" s="175">
        <f t="shared" si="37"/>
        <v>0</v>
      </c>
      <c r="AI75" s="175">
        <f t="shared" si="37"/>
        <v>0</v>
      </c>
      <c r="AJ75" s="265">
        <f t="shared" si="37"/>
        <v>0</v>
      </c>
      <c r="AK75" s="164">
        <f>SUM(AK76:AK77)</f>
        <v>1754560162</v>
      </c>
      <c r="AL75" s="155">
        <f t="shared" si="37"/>
        <v>1754560162</v>
      </c>
      <c r="AM75" s="92">
        <f>SUM(AM76:AM77)</f>
        <v>0</v>
      </c>
      <c r="AN75" s="175">
        <f t="shared" si="37"/>
        <v>0</v>
      </c>
      <c r="AO75" s="175">
        <f t="shared" si="37"/>
        <v>0</v>
      </c>
      <c r="AP75" s="266">
        <f t="shared" si="37"/>
        <v>0</v>
      </c>
      <c r="AQ75" s="66">
        <f t="shared" si="35"/>
        <v>1767300162</v>
      </c>
      <c r="AR75" s="43">
        <f t="shared" si="36"/>
        <v>0</v>
      </c>
      <c r="AS75" s="44"/>
      <c r="AT75" s="44"/>
    </row>
    <row r="76" spans="1:48" x14ac:dyDescent="0.25">
      <c r="A76" s="256" t="s">
        <v>152</v>
      </c>
      <c r="B76" s="124" t="s">
        <v>153</v>
      </c>
      <c r="C76" s="228">
        <f t="shared" si="29"/>
        <v>584630000</v>
      </c>
      <c r="D76" s="126">
        <f t="shared" si="30"/>
        <v>584630000</v>
      </c>
      <c r="E76" s="127">
        <f t="shared" si="34"/>
        <v>12740000</v>
      </c>
      <c r="F76" s="128"/>
      <c r="G76" s="129"/>
      <c r="H76" s="129"/>
      <c r="I76" s="129"/>
      <c r="J76" s="129"/>
      <c r="K76" s="101"/>
      <c r="L76" s="129"/>
      <c r="M76" s="129"/>
      <c r="N76" s="129"/>
      <c r="O76" s="129"/>
      <c r="P76" s="101"/>
      <c r="Q76" s="101"/>
      <c r="R76" s="101"/>
      <c r="S76" s="101">
        <f>3255000-955000</f>
        <v>2300000</v>
      </c>
      <c r="T76" s="101"/>
      <c r="U76" s="101">
        <v>140000</v>
      </c>
      <c r="V76" s="101">
        <v>300000</v>
      </c>
      <c r="W76" s="101">
        <v>10000000</v>
      </c>
      <c r="X76" s="101"/>
      <c r="Y76" s="101"/>
      <c r="Z76" s="133">
        <f t="shared" si="31"/>
        <v>0</v>
      </c>
      <c r="AA76" s="245"/>
      <c r="AB76" s="245"/>
      <c r="AC76" s="101"/>
      <c r="AD76" s="101"/>
      <c r="AE76" s="244"/>
      <c r="AF76" s="248">
        <f t="shared" si="32"/>
        <v>0</v>
      </c>
      <c r="AG76" s="101"/>
      <c r="AH76" s="101"/>
      <c r="AI76" s="101"/>
      <c r="AJ76" s="103"/>
      <c r="AK76" s="136">
        <f t="shared" si="33"/>
        <v>571890000</v>
      </c>
      <c r="AL76" s="110">
        <f>420090000+151800000</f>
        <v>571890000</v>
      </c>
      <c r="AM76" s="138"/>
      <c r="AN76" s="105"/>
      <c r="AO76" s="101"/>
      <c r="AP76" s="111"/>
      <c r="AQ76" s="66">
        <f t="shared" si="35"/>
        <v>584630000</v>
      </c>
      <c r="AR76" s="43">
        <f t="shared" si="36"/>
        <v>0</v>
      </c>
      <c r="AS76" s="44"/>
      <c r="AT76" s="44"/>
    </row>
    <row r="77" spans="1:48" x14ac:dyDescent="0.25">
      <c r="A77" s="256" t="s">
        <v>154</v>
      </c>
      <c r="B77" s="124" t="s">
        <v>155</v>
      </c>
      <c r="C77" s="228">
        <f t="shared" si="29"/>
        <v>1182670162</v>
      </c>
      <c r="D77" s="126">
        <f t="shared" si="30"/>
        <v>1182670162</v>
      </c>
      <c r="E77" s="127">
        <f t="shared" si="34"/>
        <v>0</v>
      </c>
      <c r="F77" s="128"/>
      <c r="G77" s="129"/>
      <c r="H77" s="129"/>
      <c r="I77" s="129"/>
      <c r="J77" s="129"/>
      <c r="K77" s="101"/>
      <c r="L77" s="129"/>
      <c r="M77" s="129"/>
      <c r="N77" s="129"/>
      <c r="O77" s="129"/>
      <c r="P77" s="101"/>
      <c r="Q77" s="101"/>
      <c r="R77" s="101"/>
      <c r="S77" s="101"/>
      <c r="T77" s="101"/>
      <c r="U77" s="101"/>
      <c r="V77" s="101"/>
      <c r="W77" s="101"/>
      <c r="X77" s="101"/>
      <c r="Y77" s="101"/>
      <c r="Z77" s="133">
        <f t="shared" si="31"/>
        <v>0</v>
      </c>
      <c r="AA77" s="101"/>
      <c r="AB77" s="101"/>
      <c r="AC77" s="101"/>
      <c r="AD77" s="101"/>
      <c r="AE77" s="244"/>
      <c r="AF77" s="248">
        <f t="shared" si="32"/>
        <v>0</v>
      </c>
      <c r="AG77" s="101"/>
      <c r="AH77" s="101"/>
      <c r="AI77" s="101"/>
      <c r="AJ77" s="103"/>
      <c r="AK77" s="136">
        <f t="shared" si="33"/>
        <v>1182670162</v>
      </c>
      <c r="AL77" s="176">
        <v>1182670162</v>
      </c>
      <c r="AM77" s="138"/>
      <c r="AN77" s="105"/>
      <c r="AO77" s="101"/>
      <c r="AP77" s="111"/>
      <c r="AQ77" s="66">
        <f t="shared" si="35"/>
        <v>1182670162</v>
      </c>
      <c r="AR77" s="43">
        <f t="shared" si="36"/>
        <v>0</v>
      </c>
      <c r="AS77" s="44"/>
      <c r="AT77" s="44"/>
      <c r="AV77" s="267">
        <f>+AL77/'[2]Ingresos 2021'!C15</f>
        <v>0.65845671785643201</v>
      </c>
    </row>
    <row r="78" spans="1:48" x14ac:dyDescent="0.25">
      <c r="A78" s="256" t="s">
        <v>156</v>
      </c>
      <c r="B78" s="124" t="s">
        <v>157</v>
      </c>
      <c r="C78" s="228">
        <f t="shared" si="29"/>
        <v>14553080</v>
      </c>
      <c r="D78" s="126">
        <f t="shared" si="30"/>
        <v>14553080</v>
      </c>
      <c r="E78" s="127">
        <f t="shared" si="34"/>
        <v>13014298</v>
      </c>
      <c r="F78" s="128"/>
      <c r="G78" s="129"/>
      <c r="H78" s="129"/>
      <c r="I78" s="129"/>
      <c r="J78" s="129"/>
      <c r="K78" s="176">
        <f>32448080-20000000-'[2]Costeo SAP'!I12</f>
        <v>11259298</v>
      </c>
      <c r="L78" s="129"/>
      <c r="M78" s="129"/>
      <c r="N78" s="129"/>
      <c r="O78" s="129"/>
      <c r="P78" s="101"/>
      <c r="Q78" s="243">
        <v>300000</v>
      </c>
      <c r="R78" s="101"/>
      <c r="S78" s="101">
        <v>955000</v>
      </c>
      <c r="T78" s="101"/>
      <c r="U78" s="101"/>
      <c r="V78" s="101"/>
      <c r="W78" s="101">
        <v>500000</v>
      </c>
      <c r="X78" s="101"/>
      <c r="Y78" s="101"/>
      <c r="Z78" s="133">
        <f t="shared" si="31"/>
        <v>350000</v>
      </c>
      <c r="AA78" s="101">
        <v>150000</v>
      </c>
      <c r="AB78" s="101">
        <v>200000</v>
      </c>
      <c r="AC78" s="101"/>
      <c r="AD78" s="101"/>
      <c r="AE78" s="244"/>
      <c r="AF78" s="248">
        <f t="shared" si="32"/>
        <v>0</v>
      </c>
      <c r="AG78" s="101"/>
      <c r="AH78" s="101"/>
      <c r="AI78" s="101"/>
      <c r="AJ78" s="103"/>
      <c r="AK78" s="136">
        <f t="shared" si="33"/>
        <v>1188782</v>
      </c>
      <c r="AL78" s="110">
        <f>+'[2]Costeo SAP'!I12</f>
        <v>1188782</v>
      </c>
      <c r="AM78" s="138">
        <f>SUM(AN78:AP78)</f>
        <v>0</v>
      </c>
      <c r="AN78" s="105"/>
      <c r="AO78" s="101"/>
      <c r="AP78" s="111"/>
      <c r="AQ78" s="66">
        <f t="shared" si="35"/>
        <v>14553080</v>
      </c>
      <c r="AR78" s="43">
        <f t="shared" si="36"/>
        <v>0</v>
      </c>
      <c r="AS78" s="44"/>
      <c r="AT78" s="44"/>
    </row>
    <row r="79" spans="1:48" x14ac:dyDescent="0.25">
      <c r="A79" s="256"/>
      <c r="B79" s="124"/>
      <c r="C79" s="228"/>
      <c r="D79" s="229"/>
      <c r="E79" s="93"/>
      <c r="F79" s="128"/>
      <c r="G79" s="129"/>
      <c r="H79" s="129"/>
      <c r="I79" s="129"/>
      <c r="J79" s="129"/>
      <c r="K79" s="101"/>
      <c r="L79" s="129"/>
      <c r="M79" s="129"/>
      <c r="N79" s="129"/>
      <c r="O79" s="129"/>
      <c r="P79" s="101"/>
      <c r="Q79" s="101"/>
      <c r="R79" s="101"/>
      <c r="S79" s="101"/>
      <c r="T79" s="101"/>
      <c r="U79" s="101"/>
      <c r="V79" s="101"/>
      <c r="W79" s="101"/>
      <c r="X79" s="101"/>
      <c r="Y79" s="101"/>
      <c r="Z79" s="253"/>
      <c r="AA79" s="101"/>
      <c r="AB79" s="101"/>
      <c r="AC79" s="101"/>
      <c r="AD79" s="101"/>
      <c r="AE79" s="244"/>
      <c r="AF79" s="225" t="s">
        <v>0</v>
      </c>
      <c r="AG79" s="101"/>
      <c r="AH79" s="101"/>
      <c r="AI79" s="101"/>
      <c r="AJ79" s="103"/>
      <c r="AK79" s="164"/>
      <c r="AL79" s="110"/>
      <c r="AM79" s="254" t="s">
        <v>0</v>
      </c>
      <c r="AN79" s="105"/>
      <c r="AO79" s="101"/>
      <c r="AP79" s="111"/>
      <c r="AQ79" s="66">
        <f t="shared" si="35"/>
        <v>0</v>
      </c>
      <c r="AR79" s="43">
        <f t="shared" si="36"/>
        <v>0</v>
      </c>
      <c r="AS79" s="44"/>
      <c r="AT79" s="44"/>
    </row>
    <row r="80" spans="1:48" x14ac:dyDescent="0.25">
      <c r="A80" s="250" t="s">
        <v>158</v>
      </c>
      <c r="B80" s="154" t="s">
        <v>159</v>
      </c>
      <c r="C80" s="239">
        <f t="shared" ref="C80:AP80" si="38">SUM(C81+C88+C101+C110+C111+C112)</f>
        <v>1288567905.4000001</v>
      </c>
      <c r="D80" s="240">
        <f t="shared" si="38"/>
        <v>1288567905.4000001</v>
      </c>
      <c r="E80" s="93">
        <f t="shared" si="38"/>
        <v>332210738</v>
      </c>
      <c r="F80" s="94">
        <f t="shared" si="38"/>
        <v>0</v>
      </c>
      <c r="G80" s="94">
        <f t="shared" si="38"/>
        <v>0</v>
      </c>
      <c r="H80" s="94">
        <f t="shared" si="38"/>
        <v>3139211</v>
      </c>
      <c r="I80" s="94">
        <f t="shared" si="38"/>
        <v>2600000</v>
      </c>
      <c r="J80" s="94">
        <f t="shared" si="38"/>
        <v>2400000</v>
      </c>
      <c r="K80" s="94">
        <f t="shared" si="38"/>
        <v>4805064</v>
      </c>
      <c r="L80" s="94">
        <f t="shared" si="38"/>
        <v>5000000</v>
      </c>
      <c r="M80" s="94">
        <f t="shared" si="38"/>
        <v>0</v>
      </c>
      <c r="N80" s="94">
        <f t="shared" si="38"/>
        <v>7000000</v>
      </c>
      <c r="O80" s="94">
        <f t="shared" si="38"/>
        <v>0</v>
      </c>
      <c r="P80" s="94">
        <f t="shared" si="38"/>
        <v>21636831</v>
      </c>
      <c r="Q80" s="94">
        <f t="shared" si="38"/>
        <v>209129632</v>
      </c>
      <c r="R80" s="94">
        <f t="shared" si="38"/>
        <v>0</v>
      </c>
      <c r="S80" s="94">
        <f t="shared" si="38"/>
        <v>0</v>
      </c>
      <c r="T80" s="94">
        <f t="shared" si="38"/>
        <v>0</v>
      </c>
      <c r="U80" s="94">
        <f t="shared" si="38"/>
        <v>0</v>
      </c>
      <c r="V80" s="94">
        <f t="shared" si="38"/>
        <v>50000000</v>
      </c>
      <c r="W80" s="94">
        <f t="shared" si="38"/>
        <v>500000</v>
      </c>
      <c r="X80" s="94">
        <f t="shared" si="38"/>
        <v>6000000</v>
      </c>
      <c r="Y80" s="94">
        <f t="shared" si="38"/>
        <v>20000000</v>
      </c>
      <c r="Z80" s="185">
        <f t="shared" si="38"/>
        <v>156072629</v>
      </c>
      <c r="AA80" s="185">
        <f t="shared" si="38"/>
        <v>0</v>
      </c>
      <c r="AB80" s="185">
        <f t="shared" si="38"/>
        <v>50000</v>
      </c>
      <c r="AC80" s="185">
        <f t="shared" si="38"/>
        <v>0</v>
      </c>
      <c r="AD80" s="185">
        <f t="shared" si="38"/>
        <v>156022629</v>
      </c>
      <c r="AE80" s="188">
        <f t="shared" si="38"/>
        <v>0</v>
      </c>
      <c r="AF80" s="225">
        <f t="shared" si="38"/>
        <v>211054503.40000001</v>
      </c>
      <c r="AG80" s="160">
        <f t="shared" si="38"/>
        <v>0</v>
      </c>
      <c r="AH80" s="160">
        <f t="shared" si="38"/>
        <v>99202387</v>
      </c>
      <c r="AI80" s="160">
        <f t="shared" si="38"/>
        <v>6000000</v>
      </c>
      <c r="AJ80" s="160">
        <f t="shared" si="38"/>
        <v>105852116.40000001</v>
      </c>
      <c r="AK80" s="108">
        <f t="shared" si="38"/>
        <v>589230035</v>
      </c>
      <c r="AL80" s="159">
        <f t="shared" si="38"/>
        <v>589230035</v>
      </c>
      <c r="AM80" s="268">
        <f t="shared" si="38"/>
        <v>0</v>
      </c>
      <c r="AN80" s="159">
        <f t="shared" si="38"/>
        <v>0</v>
      </c>
      <c r="AO80" s="160">
        <f t="shared" si="38"/>
        <v>0</v>
      </c>
      <c r="AP80" s="269">
        <f t="shared" si="38"/>
        <v>0</v>
      </c>
      <c r="AQ80" s="66">
        <f t="shared" si="35"/>
        <v>1288567905.4000001</v>
      </c>
      <c r="AR80" s="43">
        <f t="shared" si="36"/>
        <v>0</v>
      </c>
      <c r="AS80" s="44"/>
      <c r="AT80" s="44"/>
    </row>
    <row r="81" spans="1:46 16384:16384" x14ac:dyDescent="0.25">
      <c r="A81" s="222" t="s">
        <v>160</v>
      </c>
      <c r="B81" s="154" t="s">
        <v>161</v>
      </c>
      <c r="C81" s="239">
        <f>SUM(C82:C87)</f>
        <v>624725213</v>
      </c>
      <c r="D81" s="240">
        <f>SUM(D82:D87)</f>
        <v>624725213</v>
      </c>
      <c r="E81" s="93">
        <f t="shared" ref="E81:Y81" si="39">SUM(E82:E84)</f>
        <v>60639211</v>
      </c>
      <c r="F81" s="94">
        <f t="shared" si="39"/>
        <v>0</v>
      </c>
      <c r="G81" s="94">
        <f t="shared" si="39"/>
        <v>0</v>
      </c>
      <c r="H81" s="94">
        <f t="shared" si="39"/>
        <v>3139211</v>
      </c>
      <c r="I81" s="94">
        <f t="shared" si="39"/>
        <v>2500000</v>
      </c>
      <c r="J81" s="94">
        <f t="shared" si="39"/>
        <v>0</v>
      </c>
      <c r="K81" s="94">
        <f t="shared" si="39"/>
        <v>0</v>
      </c>
      <c r="L81" s="94">
        <f t="shared" si="39"/>
        <v>5000000</v>
      </c>
      <c r="M81" s="94">
        <f t="shared" si="39"/>
        <v>0</v>
      </c>
      <c r="N81" s="94">
        <f t="shared" si="39"/>
        <v>0</v>
      </c>
      <c r="O81" s="94">
        <f t="shared" si="39"/>
        <v>0</v>
      </c>
      <c r="P81" s="94">
        <f t="shared" si="39"/>
        <v>0</v>
      </c>
      <c r="Q81" s="94">
        <f t="shared" si="39"/>
        <v>0</v>
      </c>
      <c r="R81" s="94">
        <f t="shared" si="39"/>
        <v>0</v>
      </c>
      <c r="S81" s="94">
        <f t="shared" si="39"/>
        <v>0</v>
      </c>
      <c r="T81" s="94">
        <f t="shared" si="39"/>
        <v>0</v>
      </c>
      <c r="U81" s="94">
        <f t="shared" si="39"/>
        <v>0</v>
      </c>
      <c r="V81" s="94">
        <f t="shared" si="39"/>
        <v>50000000</v>
      </c>
      <c r="W81" s="94">
        <f t="shared" si="39"/>
        <v>0</v>
      </c>
      <c r="X81" s="94">
        <f t="shared" si="39"/>
        <v>0</v>
      </c>
      <c r="Y81" s="94">
        <f t="shared" si="39"/>
        <v>0</v>
      </c>
      <c r="Z81" s="185">
        <f>SUM(Z82:Z87)</f>
        <v>0</v>
      </c>
      <c r="AA81" s="185">
        <f>SUM(AA82)</f>
        <v>0</v>
      </c>
      <c r="AB81" s="185">
        <f>SUM(AB82)</f>
        <v>0</v>
      </c>
      <c r="AC81" s="185">
        <f>SUM(AC82)</f>
        <v>0</v>
      </c>
      <c r="AD81" s="185">
        <f>SUM(AD82:AD87)</f>
        <v>0</v>
      </c>
      <c r="AE81" s="188">
        <f>SUM(AE82)</f>
        <v>0</v>
      </c>
      <c r="AF81" s="225">
        <f>SUM(AF82:AF87)</f>
        <v>78086002</v>
      </c>
      <c r="AG81" s="160">
        <f>SUM(AG82:AG87)</f>
        <v>0</v>
      </c>
      <c r="AH81" s="160">
        <f>SUM(AH84:AH87)</f>
        <v>58451002</v>
      </c>
      <c r="AI81" s="160">
        <f t="shared" ref="AI81:AP81" si="40">SUM(AI82:AI87)</f>
        <v>2750000</v>
      </c>
      <c r="AJ81" s="173">
        <f t="shared" si="40"/>
        <v>16885000</v>
      </c>
      <c r="AK81" s="108">
        <f t="shared" si="40"/>
        <v>486000000</v>
      </c>
      <c r="AL81" s="159">
        <f t="shared" si="40"/>
        <v>486000000</v>
      </c>
      <c r="AM81" s="268">
        <f t="shared" si="40"/>
        <v>0</v>
      </c>
      <c r="AN81" s="159">
        <f t="shared" si="40"/>
        <v>0</v>
      </c>
      <c r="AO81" s="160">
        <f t="shared" si="40"/>
        <v>0</v>
      </c>
      <c r="AP81" s="252">
        <f t="shared" si="40"/>
        <v>0</v>
      </c>
      <c r="AQ81" s="66">
        <f t="shared" si="35"/>
        <v>624725213</v>
      </c>
      <c r="AR81" s="43">
        <f t="shared" si="36"/>
        <v>0</v>
      </c>
      <c r="AS81" s="44"/>
      <c r="AT81" s="44"/>
    </row>
    <row r="82" spans="1:46 16384:16384" x14ac:dyDescent="0.25">
      <c r="A82" s="222"/>
      <c r="B82" s="124" t="s">
        <v>162</v>
      </c>
      <c r="C82" s="228">
        <f t="shared" ref="C82:C112" si="41">+E82+Z82+AF82+AK82</f>
        <v>10639211</v>
      </c>
      <c r="D82" s="126">
        <f t="shared" ref="D82:D112" si="42">SUM(F82+G82+H82+I82+J82+K82+L82+M82+N82+O82+P82+Q82+R82+S82+T82+U82+V82+W82+X82+Y82+AA82+AB82+AC82+AD82+AE82+AG82+AH82+AI82+AJ82+AL82+AN82+AO82+AP82)</f>
        <v>10639211</v>
      </c>
      <c r="E82" s="127">
        <f t="shared" ref="E82:E112" si="43">SUM(F82:Y82)</f>
        <v>10639211</v>
      </c>
      <c r="F82" s="129">
        <v>0</v>
      </c>
      <c r="G82" s="129"/>
      <c r="H82" s="245">
        <f>5000000-1140789-720000</f>
        <v>3139211</v>
      </c>
      <c r="I82" s="183">
        <f>2500000</f>
        <v>2500000</v>
      </c>
      <c r="J82" s="129">
        <v>0</v>
      </c>
      <c r="K82" s="129">
        <v>0</v>
      </c>
      <c r="L82" s="182">
        <f>5000000</f>
        <v>5000000</v>
      </c>
      <c r="M82" s="129">
        <v>0</v>
      </c>
      <c r="N82" s="129">
        <v>0</v>
      </c>
      <c r="O82" s="129">
        <v>0</v>
      </c>
      <c r="P82" s="129">
        <v>0</v>
      </c>
      <c r="Q82" s="129">
        <v>0</v>
      </c>
      <c r="R82" s="129">
        <v>0</v>
      </c>
      <c r="S82" s="129">
        <v>0</v>
      </c>
      <c r="T82" s="129">
        <v>0</v>
      </c>
      <c r="U82" s="129">
        <v>0</v>
      </c>
      <c r="V82" s="129">
        <v>0</v>
      </c>
      <c r="W82" s="129">
        <v>0</v>
      </c>
      <c r="X82" s="129">
        <v>0</v>
      </c>
      <c r="Y82" s="129">
        <v>0</v>
      </c>
      <c r="Z82" s="133">
        <f t="shared" ref="Z82:Z112" si="44">SUM(AA82:AE82)</f>
        <v>0</v>
      </c>
      <c r="AA82" s="129">
        <v>0</v>
      </c>
      <c r="AB82" s="129">
        <v>0</v>
      </c>
      <c r="AC82" s="129">
        <v>0</v>
      </c>
      <c r="AD82" s="129">
        <v>0</v>
      </c>
      <c r="AE82" s="180">
        <v>0</v>
      </c>
      <c r="AF82" s="248">
        <f t="shared" ref="AF82:AF113" si="45">SUM(AG82:AJ82)</f>
        <v>0</v>
      </c>
      <c r="AG82" s="129">
        <v>0</v>
      </c>
      <c r="AH82" s="45"/>
      <c r="AI82" s="129">
        <v>0</v>
      </c>
      <c r="AJ82" s="141">
        <v>0</v>
      </c>
      <c r="AK82" s="136">
        <f t="shared" ref="AK82:AK112" si="46">SUM(AL82+AM82)</f>
        <v>0</v>
      </c>
      <c r="AL82" s="128">
        <v>0</v>
      </c>
      <c r="AM82" s="138">
        <f t="shared" ref="AM82:AM112" si="47">SUM(AN82:AP82)</f>
        <v>0</v>
      </c>
      <c r="AN82" s="128">
        <v>0</v>
      </c>
      <c r="AO82" s="129">
        <v>0</v>
      </c>
      <c r="AP82" s="183">
        <v>0</v>
      </c>
      <c r="AQ82" s="66">
        <f t="shared" si="35"/>
        <v>10639211</v>
      </c>
      <c r="AR82" s="43">
        <f t="shared" si="36"/>
        <v>0</v>
      </c>
      <c r="AS82" s="44"/>
      <c r="AT82" s="44"/>
    </row>
    <row r="83" spans="1:46 16384:16384" x14ac:dyDescent="0.25">
      <c r="A83" s="222"/>
      <c r="B83" s="124" t="s">
        <v>163</v>
      </c>
      <c r="C83" s="228">
        <f t="shared" si="41"/>
        <v>750000</v>
      </c>
      <c r="D83" s="126">
        <f t="shared" si="42"/>
        <v>750000</v>
      </c>
      <c r="E83" s="127"/>
      <c r="F83" s="129"/>
      <c r="G83" s="129"/>
      <c r="H83" s="270"/>
      <c r="I83" s="129"/>
      <c r="J83" s="129"/>
      <c r="K83" s="129"/>
      <c r="L83" s="181"/>
      <c r="M83" s="129"/>
      <c r="N83" s="129"/>
      <c r="O83" s="129"/>
      <c r="P83" s="129"/>
      <c r="Q83" s="129"/>
      <c r="R83" s="129"/>
      <c r="S83" s="129"/>
      <c r="T83" s="129"/>
      <c r="U83" s="129"/>
      <c r="V83" s="129"/>
      <c r="W83" s="129"/>
      <c r="X83" s="129"/>
      <c r="Y83" s="129"/>
      <c r="Z83" s="133"/>
      <c r="AA83" s="129"/>
      <c r="AB83" s="129"/>
      <c r="AC83" s="129"/>
      <c r="AD83" s="129"/>
      <c r="AE83" s="180"/>
      <c r="AF83" s="248">
        <f t="shared" si="45"/>
        <v>750000</v>
      </c>
      <c r="AG83" s="129"/>
      <c r="AH83" s="45"/>
      <c r="AI83" s="129">
        <v>750000</v>
      </c>
      <c r="AJ83" s="141"/>
      <c r="AK83" s="136"/>
      <c r="AL83" s="128"/>
      <c r="AM83" s="138"/>
      <c r="AN83" s="128"/>
      <c r="AO83" s="129"/>
      <c r="AP83" s="183"/>
      <c r="AQ83" s="66">
        <f t="shared" si="35"/>
        <v>750000</v>
      </c>
      <c r="AR83" s="43">
        <f t="shared" si="36"/>
        <v>0</v>
      </c>
      <c r="AS83" s="44"/>
      <c r="AT83" s="44"/>
    </row>
    <row r="84" spans="1:46 16384:16384" x14ac:dyDescent="0.25">
      <c r="A84" s="222"/>
      <c r="B84" s="124" t="s">
        <v>164</v>
      </c>
      <c r="C84" s="228">
        <f t="shared" si="41"/>
        <v>536000000</v>
      </c>
      <c r="D84" s="126">
        <f t="shared" si="42"/>
        <v>536000000</v>
      </c>
      <c r="E84" s="127">
        <f t="shared" si="43"/>
        <v>50000000</v>
      </c>
      <c r="F84" s="129">
        <v>0</v>
      </c>
      <c r="G84" s="129"/>
      <c r="H84" s="129"/>
      <c r="I84" s="129"/>
      <c r="J84" s="129"/>
      <c r="K84" s="129"/>
      <c r="L84" s="129"/>
      <c r="M84" s="129"/>
      <c r="N84" s="129"/>
      <c r="O84" s="129"/>
      <c r="P84" s="129"/>
      <c r="Q84" s="129"/>
      <c r="R84" s="129"/>
      <c r="S84" s="129"/>
      <c r="T84" s="129"/>
      <c r="U84" s="129">
        <v>0</v>
      </c>
      <c r="V84" s="182">
        <f>72000000-22000000</f>
        <v>50000000</v>
      </c>
      <c r="W84" s="129"/>
      <c r="X84" s="129"/>
      <c r="Y84" s="129"/>
      <c r="Z84" s="133">
        <f t="shared" si="44"/>
        <v>0</v>
      </c>
      <c r="AA84" s="129"/>
      <c r="AB84" s="129"/>
      <c r="AC84" s="129"/>
      <c r="AD84" s="129"/>
      <c r="AE84" s="180"/>
      <c r="AF84" s="248">
        <f t="shared" si="45"/>
        <v>0</v>
      </c>
      <c r="AG84" s="129"/>
      <c r="AH84" s="129"/>
      <c r="AI84" s="129"/>
      <c r="AJ84" s="141"/>
      <c r="AK84" s="136">
        <f t="shared" si="46"/>
        <v>486000000</v>
      </c>
      <c r="AL84" s="128">
        <v>486000000</v>
      </c>
      <c r="AM84" s="138">
        <f t="shared" si="47"/>
        <v>0</v>
      </c>
      <c r="AN84" s="128"/>
      <c r="AO84" s="129"/>
      <c r="AP84" s="183"/>
      <c r="AQ84" s="66">
        <f t="shared" si="35"/>
        <v>536000000</v>
      </c>
      <c r="AR84" s="43">
        <f t="shared" si="36"/>
        <v>0</v>
      </c>
      <c r="AS84" s="44"/>
      <c r="AT84" s="44"/>
    </row>
    <row r="85" spans="1:46 16384:16384" x14ac:dyDescent="0.25">
      <c r="A85" s="222"/>
      <c r="B85" s="124" t="s">
        <v>165</v>
      </c>
      <c r="C85" s="228">
        <f t="shared" si="41"/>
        <v>57633052</v>
      </c>
      <c r="D85" s="126">
        <f t="shared" si="42"/>
        <v>57633052</v>
      </c>
      <c r="E85" s="127"/>
      <c r="F85" s="129"/>
      <c r="G85" s="129"/>
      <c r="H85" s="129"/>
      <c r="I85" s="129"/>
      <c r="J85" s="129"/>
      <c r="K85" s="129"/>
      <c r="L85" s="129"/>
      <c r="M85" s="129"/>
      <c r="N85" s="129"/>
      <c r="O85" s="129"/>
      <c r="P85" s="129"/>
      <c r="Q85" s="129"/>
      <c r="R85" s="129"/>
      <c r="S85" s="129"/>
      <c r="T85" s="129"/>
      <c r="U85" s="129"/>
      <c r="V85" s="129"/>
      <c r="W85" s="129"/>
      <c r="X85" s="129"/>
      <c r="Y85" s="129"/>
      <c r="Z85" s="133"/>
      <c r="AA85" s="129"/>
      <c r="AB85" s="129"/>
      <c r="AC85" s="129"/>
      <c r="AD85" s="129"/>
      <c r="AE85" s="180"/>
      <c r="AF85" s="248">
        <f t="shared" si="45"/>
        <v>57633052</v>
      </c>
      <c r="AG85" s="129"/>
      <c r="AH85" s="129">
        <v>55633052</v>
      </c>
      <c r="AI85" s="129">
        <v>2000000</v>
      </c>
      <c r="AJ85" s="141"/>
      <c r="AK85" s="136">
        <f t="shared" si="46"/>
        <v>0</v>
      </c>
      <c r="AL85" s="128"/>
      <c r="AM85" s="138">
        <f t="shared" si="47"/>
        <v>0</v>
      </c>
      <c r="AN85" s="128"/>
      <c r="AO85" s="129"/>
      <c r="AP85" s="183"/>
      <c r="AQ85" s="66">
        <f t="shared" si="35"/>
        <v>57633052</v>
      </c>
      <c r="AR85" s="43">
        <f t="shared" si="36"/>
        <v>0</v>
      </c>
      <c r="AS85" s="44"/>
      <c r="AT85" s="44"/>
    </row>
    <row r="86" spans="1:46 16384:16384" x14ac:dyDescent="0.25">
      <c r="A86" s="222"/>
      <c r="B86" s="124" t="s">
        <v>166</v>
      </c>
      <c r="C86" s="228">
        <f t="shared" si="41"/>
        <v>2817950</v>
      </c>
      <c r="D86" s="126">
        <f t="shared" si="42"/>
        <v>2817950</v>
      </c>
      <c r="E86" s="93">
        <f t="shared" si="43"/>
        <v>0</v>
      </c>
      <c r="F86" s="129"/>
      <c r="G86" s="129"/>
      <c r="H86" s="129"/>
      <c r="I86" s="129"/>
      <c r="J86" s="129"/>
      <c r="K86" s="129"/>
      <c r="L86" s="129"/>
      <c r="M86" s="129"/>
      <c r="N86" s="129"/>
      <c r="O86" s="129"/>
      <c r="P86" s="129"/>
      <c r="Q86" s="129"/>
      <c r="R86" s="129"/>
      <c r="S86" s="129"/>
      <c r="T86" s="129"/>
      <c r="U86" s="129"/>
      <c r="V86" s="129"/>
      <c r="W86" s="129"/>
      <c r="X86" s="129"/>
      <c r="Y86" s="129"/>
      <c r="Z86" s="133">
        <f t="shared" si="44"/>
        <v>0</v>
      </c>
      <c r="AA86" s="129"/>
      <c r="AB86" s="129"/>
      <c r="AC86" s="129"/>
      <c r="AD86" s="129"/>
      <c r="AE86" s="180"/>
      <c r="AF86" s="248">
        <f t="shared" si="45"/>
        <v>2817950</v>
      </c>
      <c r="AG86" s="129">
        <v>0</v>
      </c>
      <c r="AH86" s="271">
        <f>+'[7]RESUMEN 2021'!$D$7</f>
        <v>2817950</v>
      </c>
      <c r="AI86" s="129">
        <v>0</v>
      </c>
      <c r="AJ86" s="141"/>
      <c r="AK86" s="136">
        <f t="shared" si="46"/>
        <v>0</v>
      </c>
      <c r="AL86" s="128"/>
      <c r="AM86" s="138">
        <f t="shared" si="47"/>
        <v>0</v>
      </c>
      <c r="AN86" s="128"/>
      <c r="AO86" s="129"/>
      <c r="AP86" s="183"/>
      <c r="AQ86" s="66">
        <f t="shared" si="35"/>
        <v>2817950</v>
      </c>
      <c r="AR86" s="43">
        <f t="shared" si="36"/>
        <v>0</v>
      </c>
      <c r="AS86" s="44"/>
      <c r="AT86" s="44"/>
    </row>
    <row r="87" spans="1:46 16384:16384" x14ac:dyDescent="0.25">
      <c r="A87" s="222"/>
      <c r="B87" s="124" t="s">
        <v>167</v>
      </c>
      <c r="C87" s="228">
        <f t="shared" si="41"/>
        <v>16885000</v>
      </c>
      <c r="D87" s="126">
        <f t="shared" si="42"/>
        <v>16885000</v>
      </c>
      <c r="E87" s="93">
        <f t="shared" si="43"/>
        <v>0</v>
      </c>
      <c r="F87" s="129"/>
      <c r="G87" s="129"/>
      <c r="H87" s="129"/>
      <c r="I87" s="129"/>
      <c r="J87" s="129"/>
      <c r="K87" s="129"/>
      <c r="L87" s="129"/>
      <c r="M87" s="129"/>
      <c r="N87" s="129"/>
      <c r="O87" s="129"/>
      <c r="P87" s="129"/>
      <c r="Q87" s="129"/>
      <c r="R87" s="129"/>
      <c r="S87" s="129"/>
      <c r="T87" s="129"/>
      <c r="U87" s="129"/>
      <c r="V87" s="129"/>
      <c r="W87" s="129"/>
      <c r="X87" s="129"/>
      <c r="Y87" s="129"/>
      <c r="Z87" s="133">
        <f t="shared" si="44"/>
        <v>0</v>
      </c>
      <c r="AA87" s="129"/>
      <c r="AB87" s="129"/>
      <c r="AC87" s="129"/>
      <c r="AD87" s="129"/>
      <c r="AE87" s="180"/>
      <c r="AF87" s="248">
        <f t="shared" si="45"/>
        <v>16885000</v>
      </c>
      <c r="AG87" s="129"/>
      <c r="AH87" s="129"/>
      <c r="AI87" s="129"/>
      <c r="AJ87" s="261">
        <f>16525000+360000</f>
        <v>16885000</v>
      </c>
      <c r="AK87" s="136">
        <f t="shared" si="46"/>
        <v>0</v>
      </c>
      <c r="AL87" s="128"/>
      <c r="AM87" s="138">
        <f t="shared" si="47"/>
        <v>0</v>
      </c>
      <c r="AN87" s="128"/>
      <c r="AO87" s="129"/>
      <c r="AP87" s="183"/>
      <c r="AQ87" s="66">
        <f t="shared" si="35"/>
        <v>16885000</v>
      </c>
      <c r="AR87" s="43">
        <f t="shared" si="36"/>
        <v>0</v>
      </c>
      <c r="AS87" s="44"/>
      <c r="AT87" s="44"/>
    </row>
    <row r="88" spans="1:46 16384:16384" x14ac:dyDescent="0.25">
      <c r="A88" s="222" t="s">
        <v>168</v>
      </c>
      <c r="B88" s="154" t="s">
        <v>169</v>
      </c>
      <c r="C88" s="239">
        <f>SUM(C89:C100)</f>
        <v>213456130.40000001</v>
      </c>
      <c r="D88" s="240">
        <f>SUM(D89:D100)</f>
        <v>213456130.40000001</v>
      </c>
      <c r="E88" s="93">
        <f>SUM(E89:E100)</f>
        <v>900000</v>
      </c>
      <c r="F88" s="94">
        <f t="shared" ref="F88:Y88" si="48">SUM(F89:F100)</f>
        <v>0</v>
      </c>
      <c r="G88" s="94">
        <f t="shared" si="48"/>
        <v>0</v>
      </c>
      <c r="H88" s="94">
        <f t="shared" si="48"/>
        <v>0</v>
      </c>
      <c r="I88" s="94">
        <f t="shared" si="48"/>
        <v>0</v>
      </c>
      <c r="J88" s="94">
        <f t="shared" si="48"/>
        <v>900000</v>
      </c>
      <c r="K88" s="94">
        <f t="shared" si="48"/>
        <v>0</v>
      </c>
      <c r="L88" s="94">
        <f t="shared" si="48"/>
        <v>0</v>
      </c>
      <c r="M88" s="94">
        <f t="shared" si="48"/>
        <v>0</v>
      </c>
      <c r="N88" s="94">
        <f t="shared" si="48"/>
        <v>0</v>
      </c>
      <c r="O88" s="94">
        <f t="shared" si="48"/>
        <v>0</v>
      </c>
      <c r="P88" s="94">
        <f t="shared" si="48"/>
        <v>0</v>
      </c>
      <c r="Q88" s="94">
        <f t="shared" si="48"/>
        <v>0</v>
      </c>
      <c r="R88" s="94">
        <f t="shared" si="48"/>
        <v>0</v>
      </c>
      <c r="S88" s="94">
        <f t="shared" si="48"/>
        <v>0</v>
      </c>
      <c r="T88" s="94">
        <f t="shared" si="48"/>
        <v>0</v>
      </c>
      <c r="U88" s="94">
        <f t="shared" si="48"/>
        <v>0</v>
      </c>
      <c r="V88" s="94">
        <f t="shared" si="48"/>
        <v>0</v>
      </c>
      <c r="W88" s="94">
        <f t="shared" si="48"/>
        <v>0</v>
      </c>
      <c r="X88" s="94">
        <f t="shared" si="48"/>
        <v>0</v>
      </c>
      <c r="Y88" s="94">
        <f t="shared" si="48"/>
        <v>0</v>
      </c>
      <c r="Z88" s="185">
        <f>SUM(Z89:Z100)</f>
        <v>124207629</v>
      </c>
      <c r="AA88" s="185">
        <f>SUM(AA89)</f>
        <v>0</v>
      </c>
      <c r="AB88" s="185">
        <f>SUM(AB89)</f>
        <v>0</v>
      </c>
      <c r="AC88" s="185">
        <f>SUM(AC89)</f>
        <v>0</v>
      </c>
      <c r="AD88" s="185">
        <f>SUM(AD89:AD100)</f>
        <v>124207629</v>
      </c>
      <c r="AE88" s="188">
        <f>SUM(AE89)</f>
        <v>0</v>
      </c>
      <c r="AF88" s="225">
        <f t="shared" ref="AF88:AM88" si="49">SUM(AF89:AF100)</f>
        <v>88348501.400000006</v>
      </c>
      <c r="AG88" s="160">
        <f t="shared" si="49"/>
        <v>0</v>
      </c>
      <c r="AH88" s="160">
        <f t="shared" si="49"/>
        <v>34827385</v>
      </c>
      <c r="AI88" s="160">
        <f t="shared" si="49"/>
        <v>3250000</v>
      </c>
      <c r="AJ88" s="173">
        <f t="shared" si="49"/>
        <v>50271116.399999999</v>
      </c>
      <c r="AK88" s="108">
        <f t="shared" si="49"/>
        <v>0</v>
      </c>
      <c r="AL88" s="184">
        <f t="shared" si="49"/>
        <v>0</v>
      </c>
      <c r="AM88" s="272">
        <f t="shared" si="49"/>
        <v>0</v>
      </c>
      <c r="AN88" s="184">
        <f>SUM(AN89:AN100)</f>
        <v>0</v>
      </c>
      <c r="AO88" s="185">
        <f>SUM(AO89:AO100)</f>
        <v>0</v>
      </c>
      <c r="AP88" s="252">
        <f>SUM(AP89:AP100)</f>
        <v>0</v>
      </c>
      <c r="AQ88" s="66">
        <f t="shared" si="35"/>
        <v>213456130.40000001</v>
      </c>
      <c r="AR88" s="43">
        <f t="shared" si="36"/>
        <v>0</v>
      </c>
      <c r="AS88" s="44"/>
      <c r="AT88" s="44"/>
      <c r="XFD88" s="44">
        <f>SUM(C88:XFC88)</f>
        <v>1067280651.9999999</v>
      </c>
    </row>
    <row r="89" spans="1:46 16384:16384" x14ac:dyDescent="0.25">
      <c r="A89" s="222"/>
      <c r="B89" s="124" t="s">
        <v>170</v>
      </c>
      <c r="C89" s="228">
        <f t="shared" si="41"/>
        <v>900000</v>
      </c>
      <c r="D89" s="126">
        <f t="shared" si="42"/>
        <v>900000</v>
      </c>
      <c r="E89" s="127">
        <f t="shared" si="43"/>
        <v>900000</v>
      </c>
      <c r="F89" s="129"/>
      <c r="G89" s="129"/>
      <c r="H89" s="129"/>
      <c r="I89" s="129"/>
      <c r="J89" s="262">
        <v>900000</v>
      </c>
      <c r="K89" s="129"/>
      <c r="L89" s="129"/>
      <c r="M89" s="129"/>
      <c r="N89" s="129"/>
      <c r="O89" s="129"/>
      <c r="P89" s="129"/>
      <c r="Q89" s="129"/>
      <c r="R89" s="129"/>
      <c r="S89" s="129"/>
      <c r="T89" s="129"/>
      <c r="U89" s="129"/>
      <c r="V89" s="129"/>
      <c r="W89" s="129"/>
      <c r="X89" s="129"/>
      <c r="Y89" s="129"/>
      <c r="Z89" s="133">
        <f t="shared" si="44"/>
        <v>0</v>
      </c>
      <c r="AA89" s="129"/>
      <c r="AB89" s="129"/>
      <c r="AC89" s="129"/>
      <c r="AD89" s="129"/>
      <c r="AE89" s="180"/>
      <c r="AF89" s="248">
        <f t="shared" si="45"/>
        <v>0</v>
      </c>
      <c r="AG89" s="129"/>
      <c r="AH89" s="271">
        <f>18000000-18000000</f>
        <v>0</v>
      </c>
      <c r="AI89" s="129"/>
      <c r="AJ89" s="141">
        <f>25000000-25000000</f>
        <v>0</v>
      </c>
      <c r="AK89" s="136">
        <f t="shared" si="46"/>
        <v>0</v>
      </c>
      <c r="AL89" s="128"/>
      <c r="AM89" s="138">
        <f t="shared" si="47"/>
        <v>0</v>
      </c>
      <c r="AN89" s="128"/>
      <c r="AO89" s="129"/>
      <c r="AP89" s="183"/>
      <c r="AQ89" s="66">
        <f t="shared" si="35"/>
        <v>900000</v>
      </c>
      <c r="AR89" s="43">
        <f t="shared" si="36"/>
        <v>0</v>
      </c>
      <c r="AS89" s="44"/>
      <c r="AT89" s="44"/>
    </row>
    <row r="90" spans="1:46 16384:16384" x14ac:dyDescent="0.25">
      <c r="A90" s="222"/>
      <c r="B90" s="124" t="s">
        <v>171</v>
      </c>
      <c r="C90" s="228">
        <f t="shared" si="41"/>
        <v>26928561</v>
      </c>
      <c r="D90" s="126">
        <f t="shared" si="42"/>
        <v>26928561</v>
      </c>
      <c r="E90" s="127">
        <f t="shared" si="43"/>
        <v>0</v>
      </c>
      <c r="F90" s="129"/>
      <c r="G90" s="129"/>
      <c r="H90" s="129"/>
      <c r="I90" s="129"/>
      <c r="J90" s="129"/>
      <c r="K90" s="129"/>
      <c r="L90" s="129"/>
      <c r="M90" s="129"/>
      <c r="N90" s="129"/>
      <c r="O90" s="129"/>
      <c r="P90" s="129"/>
      <c r="Q90" s="129"/>
      <c r="R90" s="129"/>
      <c r="S90" s="129"/>
      <c r="T90" s="129"/>
      <c r="U90" s="129"/>
      <c r="V90" s="129"/>
      <c r="W90" s="129"/>
      <c r="X90" s="129"/>
      <c r="Y90" s="129"/>
      <c r="Z90" s="133">
        <f t="shared" si="44"/>
        <v>26928561</v>
      </c>
      <c r="AA90" s="129"/>
      <c r="AB90" s="129"/>
      <c r="AC90" s="129"/>
      <c r="AD90" s="245">
        <v>26928561</v>
      </c>
      <c r="AE90" s="180"/>
      <c r="AF90" s="248">
        <f t="shared" si="45"/>
        <v>0</v>
      </c>
      <c r="AG90" s="129"/>
      <c r="AH90" s="129"/>
      <c r="AI90" s="129"/>
      <c r="AJ90" s="141"/>
      <c r="AK90" s="136">
        <f t="shared" si="46"/>
        <v>0</v>
      </c>
      <c r="AL90" s="128"/>
      <c r="AM90" s="138">
        <f t="shared" si="47"/>
        <v>0</v>
      </c>
      <c r="AN90" s="128"/>
      <c r="AO90" s="129"/>
      <c r="AP90" s="183"/>
      <c r="AQ90" s="66">
        <f t="shared" si="35"/>
        <v>26928561</v>
      </c>
      <c r="AR90" s="43">
        <f t="shared" si="36"/>
        <v>0</v>
      </c>
      <c r="AS90" s="44"/>
      <c r="AT90" s="44"/>
    </row>
    <row r="91" spans="1:46 16384:16384" x14ac:dyDescent="0.25">
      <c r="A91" s="222"/>
      <c r="B91" s="124" t="s">
        <v>172</v>
      </c>
      <c r="C91" s="228">
        <f t="shared" si="41"/>
        <v>66171928</v>
      </c>
      <c r="D91" s="126">
        <f t="shared" si="42"/>
        <v>66171928</v>
      </c>
      <c r="E91" s="127">
        <f t="shared" si="43"/>
        <v>0</v>
      </c>
      <c r="F91" s="129"/>
      <c r="G91" s="129"/>
      <c r="H91" s="129"/>
      <c r="I91" s="129"/>
      <c r="J91" s="129"/>
      <c r="K91" s="129"/>
      <c r="L91" s="129"/>
      <c r="M91" s="129"/>
      <c r="N91" s="129"/>
      <c r="O91" s="129"/>
      <c r="P91" s="129"/>
      <c r="Q91" s="129"/>
      <c r="R91" s="129"/>
      <c r="S91" s="129"/>
      <c r="T91" s="129"/>
      <c r="U91" s="129"/>
      <c r="V91" s="129"/>
      <c r="W91" s="129"/>
      <c r="X91" s="129"/>
      <c r="Y91" s="129"/>
      <c r="Z91" s="133">
        <f t="shared" si="44"/>
        <v>66171928</v>
      </c>
      <c r="AA91" s="129"/>
      <c r="AB91" s="129"/>
      <c r="AC91" s="129"/>
      <c r="AD91" s="245">
        <v>66171928</v>
      </c>
      <c r="AE91" s="180"/>
      <c r="AF91" s="248">
        <f t="shared" si="45"/>
        <v>0</v>
      </c>
      <c r="AG91" s="129"/>
      <c r="AH91" s="129"/>
      <c r="AI91" s="129"/>
      <c r="AJ91" s="141"/>
      <c r="AK91" s="136">
        <f t="shared" si="46"/>
        <v>0</v>
      </c>
      <c r="AL91" s="128"/>
      <c r="AM91" s="138">
        <f t="shared" si="47"/>
        <v>0</v>
      </c>
      <c r="AN91" s="128"/>
      <c r="AO91" s="129"/>
      <c r="AP91" s="183"/>
      <c r="AQ91" s="66">
        <f t="shared" si="35"/>
        <v>66171928</v>
      </c>
      <c r="AR91" s="43">
        <f t="shared" si="36"/>
        <v>0</v>
      </c>
      <c r="AS91" s="44"/>
      <c r="AT91" s="44"/>
    </row>
    <row r="92" spans="1:46 16384:16384" x14ac:dyDescent="0.25">
      <c r="A92" s="222"/>
      <c r="B92" s="124" t="s">
        <v>173</v>
      </c>
      <c r="C92" s="228">
        <f t="shared" si="41"/>
        <v>750000</v>
      </c>
      <c r="D92" s="126">
        <f t="shared" si="42"/>
        <v>750000</v>
      </c>
      <c r="E92" s="127"/>
      <c r="F92" s="129"/>
      <c r="G92" s="129"/>
      <c r="H92" s="129"/>
      <c r="I92" s="129"/>
      <c r="J92" s="129"/>
      <c r="K92" s="129"/>
      <c r="L92" s="129"/>
      <c r="M92" s="129"/>
      <c r="N92" s="129"/>
      <c r="O92" s="129"/>
      <c r="P92" s="129"/>
      <c r="Q92" s="129"/>
      <c r="R92" s="129"/>
      <c r="S92" s="129"/>
      <c r="T92" s="129"/>
      <c r="U92" s="129"/>
      <c r="V92" s="129"/>
      <c r="W92" s="129"/>
      <c r="X92" s="129"/>
      <c r="Y92" s="129"/>
      <c r="Z92" s="133"/>
      <c r="AA92" s="129"/>
      <c r="AB92" s="129"/>
      <c r="AC92" s="129"/>
      <c r="AD92" s="245"/>
      <c r="AE92" s="180"/>
      <c r="AF92" s="248">
        <f t="shared" si="45"/>
        <v>750000</v>
      </c>
      <c r="AG92" s="129"/>
      <c r="AH92" s="129"/>
      <c r="AI92" s="129">
        <v>750000</v>
      </c>
      <c r="AJ92" s="141"/>
      <c r="AK92" s="136"/>
      <c r="AL92" s="128"/>
      <c r="AM92" s="138"/>
      <c r="AN92" s="128"/>
      <c r="AO92" s="129"/>
      <c r="AP92" s="183"/>
      <c r="AQ92" s="66">
        <f t="shared" si="35"/>
        <v>750000</v>
      </c>
      <c r="AR92" s="43">
        <f t="shared" si="36"/>
        <v>0</v>
      </c>
      <c r="AS92" s="44"/>
      <c r="AT92" s="44"/>
    </row>
    <row r="93" spans="1:46 16384:16384" x14ac:dyDescent="0.25">
      <c r="A93" s="222"/>
      <c r="B93" s="124" t="s">
        <v>174</v>
      </c>
      <c r="C93" s="228">
        <f t="shared" si="41"/>
        <v>15553570</v>
      </c>
      <c r="D93" s="126">
        <f t="shared" si="42"/>
        <v>15553570</v>
      </c>
      <c r="E93" s="127">
        <f t="shared" si="43"/>
        <v>0</v>
      </c>
      <c r="F93" s="129"/>
      <c r="G93" s="129"/>
      <c r="H93" s="129"/>
      <c r="I93" s="129"/>
      <c r="J93" s="129"/>
      <c r="K93" s="129"/>
      <c r="L93" s="129"/>
      <c r="M93" s="129"/>
      <c r="N93" s="129"/>
      <c r="O93" s="129"/>
      <c r="P93" s="129"/>
      <c r="Q93" s="129"/>
      <c r="R93" s="129"/>
      <c r="S93" s="129"/>
      <c r="T93" s="129"/>
      <c r="U93" s="129"/>
      <c r="V93" s="129"/>
      <c r="W93" s="129"/>
      <c r="X93" s="129"/>
      <c r="Y93" s="129"/>
      <c r="Z93" s="133">
        <f t="shared" si="44"/>
        <v>15553570</v>
      </c>
      <c r="AA93" s="129"/>
      <c r="AB93" s="129"/>
      <c r="AC93" s="129"/>
      <c r="AD93" s="245">
        <v>15553570</v>
      </c>
      <c r="AE93" s="180"/>
      <c r="AF93" s="248">
        <f t="shared" si="45"/>
        <v>0</v>
      </c>
      <c r="AG93" s="129"/>
      <c r="AH93" s="129"/>
      <c r="AI93" s="129"/>
      <c r="AJ93" s="141"/>
      <c r="AK93" s="136">
        <f t="shared" si="46"/>
        <v>0</v>
      </c>
      <c r="AL93" s="128"/>
      <c r="AM93" s="138">
        <f t="shared" si="47"/>
        <v>0</v>
      </c>
      <c r="AN93" s="128"/>
      <c r="AO93" s="129"/>
      <c r="AP93" s="183"/>
      <c r="AQ93" s="66">
        <f t="shared" si="35"/>
        <v>15553570</v>
      </c>
      <c r="AR93" s="43">
        <f t="shared" si="36"/>
        <v>0</v>
      </c>
      <c r="AS93" s="44"/>
      <c r="AT93" s="44"/>
    </row>
    <row r="94" spans="1:46 16384:16384" x14ac:dyDescent="0.25">
      <c r="A94" s="222"/>
      <c r="B94" s="124" t="s">
        <v>175</v>
      </c>
      <c r="C94" s="228">
        <f t="shared" si="41"/>
        <v>15553570</v>
      </c>
      <c r="D94" s="126">
        <f t="shared" si="42"/>
        <v>15553570</v>
      </c>
      <c r="E94" s="127">
        <f t="shared" si="43"/>
        <v>0</v>
      </c>
      <c r="F94" s="129"/>
      <c r="G94" s="129"/>
      <c r="H94" s="129"/>
      <c r="I94" s="129"/>
      <c r="J94" s="129"/>
      <c r="K94" s="129"/>
      <c r="L94" s="129"/>
      <c r="M94" s="129"/>
      <c r="N94" s="129"/>
      <c r="O94" s="129"/>
      <c r="P94" s="129"/>
      <c r="Q94" s="129"/>
      <c r="R94" s="129"/>
      <c r="S94" s="129"/>
      <c r="T94" s="129"/>
      <c r="U94" s="129"/>
      <c r="V94" s="129"/>
      <c r="W94" s="129"/>
      <c r="X94" s="129"/>
      <c r="Y94" s="129"/>
      <c r="Z94" s="133">
        <f t="shared" si="44"/>
        <v>15553570</v>
      </c>
      <c r="AA94" s="129"/>
      <c r="AB94" s="129"/>
      <c r="AC94" s="129"/>
      <c r="AD94" s="245">
        <v>15553570</v>
      </c>
      <c r="AE94" s="180"/>
      <c r="AF94" s="248">
        <f t="shared" si="45"/>
        <v>0</v>
      </c>
      <c r="AG94" s="129"/>
      <c r="AH94" s="129"/>
      <c r="AI94" s="129"/>
      <c r="AJ94" s="141"/>
      <c r="AK94" s="136">
        <f t="shared" si="46"/>
        <v>0</v>
      </c>
      <c r="AL94" s="128"/>
      <c r="AM94" s="138">
        <f t="shared" si="47"/>
        <v>0</v>
      </c>
      <c r="AN94" s="128"/>
      <c r="AO94" s="129"/>
      <c r="AP94" s="183"/>
      <c r="AQ94" s="66">
        <f t="shared" si="35"/>
        <v>15553570</v>
      </c>
      <c r="AR94" s="43">
        <f t="shared" si="36"/>
        <v>0</v>
      </c>
      <c r="AS94" s="44"/>
      <c r="AT94" s="44"/>
    </row>
    <row r="95" spans="1:46 16384:16384" hidden="1" x14ac:dyDescent="0.25">
      <c r="A95" s="222"/>
      <c r="B95" s="124" t="s">
        <v>176</v>
      </c>
      <c r="C95" s="228">
        <f t="shared" si="41"/>
        <v>0</v>
      </c>
      <c r="D95" s="126">
        <f t="shared" si="42"/>
        <v>0</v>
      </c>
      <c r="E95" s="127">
        <f t="shared" si="43"/>
        <v>0</v>
      </c>
      <c r="F95" s="129"/>
      <c r="G95" s="129"/>
      <c r="H95" s="129"/>
      <c r="I95" s="129"/>
      <c r="J95" s="129"/>
      <c r="K95" s="129"/>
      <c r="L95" s="129"/>
      <c r="M95" s="129"/>
      <c r="N95" s="129"/>
      <c r="O95" s="129"/>
      <c r="P95" s="129"/>
      <c r="Q95" s="129"/>
      <c r="R95" s="129"/>
      <c r="S95" s="129"/>
      <c r="T95" s="129"/>
      <c r="U95" s="129"/>
      <c r="V95" s="129"/>
      <c r="W95" s="129"/>
      <c r="X95" s="129"/>
      <c r="Y95" s="129"/>
      <c r="Z95" s="133">
        <f t="shared" si="44"/>
        <v>0</v>
      </c>
      <c r="AA95" s="129"/>
      <c r="AB95" s="129"/>
      <c r="AC95" s="129"/>
      <c r="AD95" s="129"/>
      <c r="AE95" s="180"/>
      <c r="AF95" s="248">
        <f t="shared" si="45"/>
        <v>0</v>
      </c>
      <c r="AG95" s="129"/>
      <c r="AH95" s="129"/>
      <c r="AI95" s="129"/>
      <c r="AJ95" s="141"/>
      <c r="AK95" s="136">
        <f t="shared" si="46"/>
        <v>0</v>
      </c>
      <c r="AL95" s="128"/>
      <c r="AM95" s="138">
        <f t="shared" si="47"/>
        <v>0</v>
      </c>
      <c r="AN95" s="128"/>
      <c r="AO95" s="129"/>
      <c r="AP95" s="183"/>
      <c r="AQ95" s="66">
        <f t="shared" si="35"/>
        <v>0</v>
      </c>
      <c r="AR95" s="43">
        <f t="shared" si="36"/>
        <v>0</v>
      </c>
      <c r="AS95" s="44"/>
      <c r="AT95" s="44"/>
    </row>
    <row r="96" spans="1:46 16384:16384" hidden="1" x14ac:dyDescent="0.25">
      <c r="A96" s="222"/>
      <c r="B96" s="124" t="s">
        <v>177</v>
      </c>
      <c r="C96" s="228">
        <f t="shared" si="41"/>
        <v>0</v>
      </c>
      <c r="D96" s="126">
        <f t="shared" si="42"/>
        <v>0</v>
      </c>
      <c r="E96" s="127">
        <f t="shared" si="43"/>
        <v>0</v>
      </c>
      <c r="F96" s="129"/>
      <c r="G96" s="129"/>
      <c r="H96" s="129"/>
      <c r="I96" s="129"/>
      <c r="J96" s="129"/>
      <c r="K96" s="129"/>
      <c r="L96" s="129"/>
      <c r="M96" s="129"/>
      <c r="N96" s="129"/>
      <c r="O96" s="129"/>
      <c r="P96" s="129"/>
      <c r="Q96" s="129"/>
      <c r="R96" s="129"/>
      <c r="S96" s="129"/>
      <c r="T96" s="129"/>
      <c r="U96" s="129"/>
      <c r="V96" s="129"/>
      <c r="W96" s="129"/>
      <c r="X96" s="129"/>
      <c r="Y96" s="129"/>
      <c r="Z96" s="133">
        <f t="shared" si="44"/>
        <v>0</v>
      </c>
      <c r="AA96" s="129"/>
      <c r="AB96" s="129"/>
      <c r="AC96" s="129"/>
      <c r="AD96" s="129"/>
      <c r="AE96" s="180"/>
      <c r="AF96" s="248">
        <f t="shared" si="45"/>
        <v>0</v>
      </c>
      <c r="AG96" s="129"/>
      <c r="AH96" s="129"/>
      <c r="AI96" s="129"/>
      <c r="AJ96" s="141"/>
      <c r="AK96" s="136">
        <f t="shared" si="46"/>
        <v>0</v>
      </c>
      <c r="AL96" s="128"/>
      <c r="AM96" s="138">
        <f t="shared" si="47"/>
        <v>0</v>
      </c>
      <c r="AN96" s="128"/>
      <c r="AO96" s="129"/>
      <c r="AP96" s="183"/>
      <c r="AQ96" s="66">
        <f t="shared" si="35"/>
        <v>0</v>
      </c>
      <c r="AR96" s="43">
        <f t="shared" si="36"/>
        <v>0</v>
      </c>
      <c r="AS96" s="44"/>
      <c r="AT96" s="44"/>
    </row>
    <row r="97" spans="1:46" x14ac:dyDescent="0.25">
      <c r="A97" s="222"/>
      <c r="B97" s="124" t="s">
        <v>178</v>
      </c>
      <c r="C97" s="228">
        <f t="shared" si="41"/>
        <v>50271116.399999999</v>
      </c>
      <c r="D97" s="126">
        <f t="shared" si="42"/>
        <v>50271116.399999999</v>
      </c>
      <c r="E97" s="127">
        <f t="shared" si="43"/>
        <v>0</v>
      </c>
      <c r="F97" s="129"/>
      <c r="G97" s="129"/>
      <c r="H97" s="129"/>
      <c r="I97" s="129"/>
      <c r="J97" s="129"/>
      <c r="K97" s="129"/>
      <c r="L97" s="129"/>
      <c r="M97" s="129"/>
      <c r="N97" s="129"/>
      <c r="O97" s="129"/>
      <c r="P97" s="129"/>
      <c r="Q97" s="129"/>
      <c r="R97" s="129"/>
      <c r="S97" s="129"/>
      <c r="T97" s="129"/>
      <c r="U97" s="129"/>
      <c r="V97" s="129"/>
      <c r="W97" s="129"/>
      <c r="X97" s="129"/>
      <c r="Y97" s="129"/>
      <c r="Z97" s="133">
        <f t="shared" si="44"/>
        <v>0</v>
      </c>
      <c r="AA97" s="129"/>
      <c r="AB97" s="129"/>
      <c r="AC97" s="129"/>
      <c r="AD97" s="129"/>
      <c r="AE97" s="180"/>
      <c r="AF97" s="248">
        <f t="shared" si="45"/>
        <v>50271116.399999999</v>
      </c>
      <c r="AG97" s="129"/>
      <c r="AH97" s="129"/>
      <c r="AI97" s="129"/>
      <c r="AJ97" s="261">
        <f>21681000+30000000-10000000+8230116.4+360000</f>
        <v>50271116.399999999</v>
      </c>
      <c r="AK97" s="136">
        <f t="shared" si="46"/>
        <v>0</v>
      </c>
      <c r="AL97" s="128"/>
      <c r="AM97" s="138">
        <f t="shared" si="47"/>
        <v>0</v>
      </c>
      <c r="AN97" s="128"/>
      <c r="AO97" s="129"/>
      <c r="AP97" s="183"/>
      <c r="AQ97" s="66">
        <f t="shared" si="35"/>
        <v>50271116.399999999</v>
      </c>
      <c r="AR97" s="43">
        <f t="shared" si="36"/>
        <v>0</v>
      </c>
      <c r="AS97" s="44"/>
      <c r="AT97" s="44"/>
    </row>
    <row r="98" spans="1:46" hidden="1" x14ac:dyDescent="0.25">
      <c r="A98" s="222"/>
      <c r="B98" s="124" t="s">
        <v>179</v>
      </c>
      <c r="C98" s="228">
        <f t="shared" si="41"/>
        <v>0</v>
      </c>
      <c r="D98" s="126">
        <f t="shared" si="42"/>
        <v>0</v>
      </c>
      <c r="E98" s="127"/>
      <c r="F98" s="129"/>
      <c r="G98" s="129"/>
      <c r="H98" s="129"/>
      <c r="I98" s="129"/>
      <c r="J98" s="129"/>
      <c r="K98" s="129"/>
      <c r="L98" s="129"/>
      <c r="M98" s="129"/>
      <c r="N98" s="129"/>
      <c r="O98" s="129"/>
      <c r="P98" s="129"/>
      <c r="Q98" s="129"/>
      <c r="R98" s="129"/>
      <c r="S98" s="129"/>
      <c r="T98" s="129"/>
      <c r="U98" s="129"/>
      <c r="V98" s="129"/>
      <c r="W98" s="129"/>
      <c r="X98" s="129"/>
      <c r="Y98" s="129"/>
      <c r="Z98" s="133"/>
      <c r="AA98" s="129"/>
      <c r="AB98" s="129"/>
      <c r="AC98" s="129"/>
      <c r="AD98" s="129"/>
      <c r="AE98" s="180"/>
      <c r="AF98" s="248">
        <f t="shared" si="45"/>
        <v>0</v>
      </c>
      <c r="AG98" s="129"/>
      <c r="AH98" s="129"/>
      <c r="AI98" s="129"/>
      <c r="AJ98" s="141"/>
      <c r="AK98" s="136"/>
      <c r="AL98" s="128"/>
      <c r="AM98" s="138"/>
      <c r="AN98" s="128"/>
      <c r="AO98" s="129"/>
      <c r="AP98" s="183"/>
      <c r="AQ98" s="66">
        <f t="shared" si="35"/>
        <v>0</v>
      </c>
      <c r="AR98" s="43">
        <f t="shared" si="36"/>
        <v>0</v>
      </c>
      <c r="AS98" s="44"/>
      <c r="AT98" s="44"/>
    </row>
    <row r="99" spans="1:46" x14ac:dyDescent="0.25">
      <c r="A99" s="222"/>
      <c r="B99" s="124" t="s">
        <v>180</v>
      </c>
      <c r="C99" s="228">
        <f t="shared" si="41"/>
        <v>2000000</v>
      </c>
      <c r="D99" s="126">
        <f t="shared" si="42"/>
        <v>2000000</v>
      </c>
      <c r="E99" s="127">
        <f t="shared" si="43"/>
        <v>0</v>
      </c>
      <c r="F99" s="129"/>
      <c r="G99" s="129"/>
      <c r="H99" s="129"/>
      <c r="I99" s="129"/>
      <c r="J99" s="129"/>
      <c r="K99" s="129"/>
      <c r="L99" s="129"/>
      <c r="M99" s="129"/>
      <c r="N99" s="129"/>
      <c r="O99" s="129"/>
      <c r="P99" s="129"/>
      <c r="Q99" s="129"/>
      <c r="R99" s="129"/>
      <c r="S99" s="129"/>
      <c r="T99" s="129"/>
      <c r="U99" s="129"/>
      <c r="V99" s="129"/>
      <c r="W99" s="129"/>
      <c r="X99" s="129"/>
      <c r="Y99" s="129"/>
      <c r="Z99" s="133">
        <f t="shared" si="44"/>
        <v>0</v>
      </c>
      <c r="AA99" s="129"/>
      <c r="AB99" s="129"/>
      <c r="AC99" s="129"/>
      <c r="AD99" s="129"/>
      <c r="AE99" s="180"/>
      <c r="AF99" s="248">
        <f t="shared" si="45"/>
        <v>2000000</v>
      </c>
      <c r="AG99" s="129"/>
      <c r="AH99" s="129">
        <v>2000000</v>
      </c>
      <c r="AI99" s="129"/>
      <c r="AJ99" s="141"/>
      <c r="AK99" s="136">
        <f t="shared" si="46"/>
        <v>0</v>
      </c>
      <c r="AL99" s="128"/>
      <c r="AM99" s="138">
        <f t="shared" si="47"/>
        <v>0</v>
      </c>
      <c r="AN99" s="128"/>
      <c r="AO99" s="129"/>
      <c r="AP99" s="183"/>
      <c r="AQ99" s="66">
        <f t="shared" si="35"/>
        <v>2000000</v>
      </c>
      <c r="AR99" s="43">
        <f t="shared" si="36"/>
        <v>0</v>
      </c>
      <c r="AS99" s="44"/>
      <c r="AT99" s="44"/>
    </row>
    <row r="100" spans="1:46" x14ac:dyDescent="0.25">
      <c r="A100" s="222"/>
      <c r="B100" s="124" t="s">
        <v>181</v>
      </c>
      <c r="C100" s="228">
        <f t="shared" si="41"/>
        <v>35327385</v>
      </c>
      <c r="D100" s="126">
        <f t="shared" si="42"/>
        <v>35327385</v>
      </c>
      <c r="E100" s="127">
        <f t="shared" si="43"/>
        <v>0</v>
      </c>
      <c r="F100" s="129"/>
      <c r="G100" s="129"/>
      <c r="H100" s="129"/>
      <c r="I100" s="129"/>
      <c r="J100" s="129"/>
      <c r="K100" s="129"/>
      <c r="L100" s="129"/>
      <c r="M100" s="129"/>
      <c r="N100" s="129"/>
      <c r="O100" s="129"/>
      <c r="P100" s="129"/>
      <c r="Q100" s="129"/>
      <c r="R100" s="129"/>
      <c r="S100" s="129"/>
      <c r="T100" s="129"/>
      <c r="U100" s="129"/>
      <c r="V100" s="129"/>
      <c r="W100" s="129"/>
      <c r="X100" s="129"/>
      <c r="Y100" s="129"/>
      <c r="Z100" s="133">
        <f t="shared" si="44"/>
        <v>0</v>
      </c>
      <c r="AA100" s="129"/>
      <c r="AB100" s="129"/>
      <c r="AC100" s="129"/>
      <c r="AD100" s="129"/>
      <c r="AE100" s="180"/>
      <c r="AF100" s="248">
        <f t="shared" si="45"/>
        <v>35327385</v>
      </c>
      <c r="AG100" s="129"/>
      <c r="AH100" s="129">
        <f>1891000+1500000+31521235-2084850</f>
        <v>32827385</v>
      </c>
      <c r="AI100" s="129">
        <v>2500000</v>
      </c>
      <c r="AJ100" s="141"/>
      <c r="AK100" s="136">
        <f t="shared" si="46"/>
        <v>0</v>
      </c>
      <c r="AL100" s="128"/>
      <c r="AM100" s="138">
        <f t="shared" si="47"/>
        <v>0</v>
      </c>
      <c r="AN100" s="128"/>
      <c r="AO100" s="129"/>
      <c r="AP100" s="183"/>
      <c r="AQ100" s="66">
        <f t="shared" si="35"/>
        <v>35327385</v>
      </c>
      <c r="AR100" s="43">
        <f t="shared" si="36"/>
        <v>0</v>
      </c>
      <c r="AS100" s="44"/>
      <c r="AT100" s="44"/>
    </row>
    <row r="101" spans="1:46" x14ac:dyDescent="0.25">
      <c r="A101" s="222" t="s">
        <v>182</v>
      </c>
      <c r="B101" s="154" t="s">
        <v>183</v>
      </c>
      <c r="C101" s="239">
        <f t="shared" ref="C101:Z101" si="50">SUM(C102:C109)</f>
        <v>143385000</v>
      </c>
      <c r="D101" s="240">
        <f t="shared" si="50"/>
        <v>143385000</v>
      </c>
      <c r="E101" s="93">
        <f t="shared" si="50"/>
        <v>28636831</v>
      </c>
      <c r="F101" s="94">
        <f t="shared" si="50"/>
        <v>0</v>
      </c>
      <c r="G101" s="94">
        <f t="shared" si="50"/>
        <v>0</v>
      </c>
      <c r="H101" s="94">
        <f t="shared" si="50"/>
        <v>0</v>
      </c>
      <c r="I101" s="94">
        <f t="shared" si="50"/>
        <v>0</v>
      </c>
      <c r="J101" s="94">
        <f t="shared" si="50"/>
        <v>0</v>
      </c>
      <c r="K101" s="94">
        <f t="shared" si="50"/>
        <v>0</v>
      </c>
      <c r="L101" s="94">
        <f t="shared" si="50"/>
        <v>0</v>
      </c>
      <c r="M101" s="94">
        <f t="shared" si="50"/>
        <v>0</v>
      </c>
      <c r="N101" s="94">
        <f t="shared" si="50"/>
        <v>7000000</v>
      </c>
      <c r="O101" s="94">
        <f t="shared" si="50"/>
        <v>0</v>
      </c>
      <c r="P101" s="94">
        <f t="shared" si="50"/>
        <v>21636831</v>
      </c>
      <c r="Q101" s="94">
        <f t="shared" si="50"/>
        <v>0</v>
      </c>
      <c r="R101" s="94">
        <f t="shared" si="50"/>
        <v>0</v>
      </c>
      <c r="S101" s="94">
        <f t="shared" si="50"/>
        <v>0</v>
      </c>
      <c r="T101" s="94">
        <f t="shared" si="50"/>
        <v>0</v>
      </c>
      <c r="U101" s="94">
        <f t="shared" si="50"/>
        <v>0</v>
      </c>
      <c r="V101" s="94">
        <f t="shared" si="50"/>
        <v>0</v>
      </c>
      <c r="W101" s="94">
        <f t="shared" si="50"/>
        <v>0</v>
      </c>
      <c r="X101" s="94">
        <f t="shared" si="50"/>
        <v>0</v>
      </c>
      <c r="Y101" s="94">
        <f t="shared" si="50"/>
        <v>0</v>
      </c>
      <c r="Z101" s="185">
        <f t="shared" si="50"/>
        <v>31765000</v>
      </c>
      <c r="AA101" s="185">
        <f>SUM(AA102)</f>
        <v>0</v>
      </c>
      <c r="AB101" s="185">
        <f>SUM(AB102)</f>
        <v>0</v>
      </c>
      <c r="AC101" s="185">
        <f>SUM(AC102)</f>
        <v>0</v>
      </c>
      <c r="AD101" s="185">
        <f>SUM(AD102:AD109)</f>
        <v>31765000</v>
      </c>
      <c r="AE101" s="188">
        <f>SUM(AE102)</f>
        <v>0</v>
      </c>
      <c r="AF101" s="225">
        <f t="shared" ref="AF101:AP101" si="51">SUM(AF102:AF109)</f>
        <v>36620000</v>
      </c>
      <c r="AG101" s="160">
        <f t="shared" si="51"/>
        <v>0</v>
      </c>
      <c r="AH101" s="160">
        <f t="shared" si="51"/>
        <v>5924000</v>
      </c>
      <c r="AI101" s="160">
        <f t="shared" si="51"/>
        <v>0</v>
      </c>
      <c r="AJ101" s="173">
        <f t="shared" si="51"/>
        <v>30696000</v>
      </c>
      <c r="AK101" s="108">
        <f t="shared" si="51"/>
        <v>46363169</v>
      </c>
      <c r="AL101" s="159">
        <f t="shared" si="51"/>
        <v>46363169</v>
      </c>
      <c r="AM101" s="268">
        <f t="shared" si="51"/>
        <v>0</v>
      </c>
      <c r="AN101" s="159">
        <f t="shared" si="51"/>
        <v>0</v>
      </c>
      <c r="AO101" s="160">
        <f t="shared" si="51"/>
        <v>0</v>
      </c>
      <c r="AP101" s="269">
        <f t="shared" si="51"/>
        <v>0</v>
      </c>
      <c r="AQ101" s="66">
        <f t="shared" si="35"/>
        <v>143385000</v>
      </c>
      <c r="AR101" s="43">
        <f t="shared" si="36"/>
        <v>0</v>
      </c>
      <c r="AS101" s="44"/>
      <c r="AT101" s="44"/>
    </row>
    <row r="102" spans="1:46" x14ac:dyDescent="0.25">
      <c r="A102" s="222"/>
      <c r="B102" s="124" t="s">
        <v>184</v>
      </c>
      <c r="C102" s="228">
        <f t="shared" si="41"/>
        <v>75000000</v>
      </c>
      <c r="D102" s="126">
        <f t="shared" si="42"/>
        <v>75000000</v>
      </c>
      <c r="E102" s="127">
        <f t="shared" si="43"/>
        <v>28636831</v>
      </c>
      <c r="F102" s="129"/>
      <c r="G102" s="129"/>
      <c r="H102" s="129"/>
      <c r="I102" s="129">
        <f>2000000-2000000</f>
        <v>0</v>
      </c>
      <c r="J102" s="129"/>
      <c r="K102" s="129"/>
      <c r="L102" s="129"/>
      <c r="M102" s="129"/>
      <c r="N102" s="129">
        <f>22500000-22500000+7000000</f>
        <v>7000000</v>
      </c>
      <c r="O102" s="129"/>
      <c r="P102" s="245">
        <f>53000000-10000000-21363169</f>
        <v>21636831</v>
      </c>
      <c r="Q102" s="129"/>
      <c r="R102" s="129"/>
      <c r="S102" s="129"/>
      <c r="T102" s="129"/>
      <c r="U102" s="129"/>
      <c r="V102" s="129"/>
      <c r="W102" s="129"/>
      <c r="X102" s="129"/>
      <c r="Y102" s="129"/>
      <c r="Z102" s="133">
        <f t="shared" si="44"/>
        <v>0</v>
      </c>
      <c r="AA102" s="129"/>
      <c r="AB102" s="129"/>
      <c r="AC102" s="129"/>
      <c r="AD102" s="129"/>
      <c r="AE102" s="180"/>
      <c r="AF102" s="248">
        <f t="shared" si="45"/>
        <v>0</v>
      </c>
      <c r="AG102" s="129"/>
      <c r="AH102" s="271"/>
      <c r="AI102" s="129"/>
      <c r="AJ102" s="141"/>
      <c r="AK102" s="136">
        <f t="shared" si="46"/>
        <v>46363169</v>
      </c>
      <c r="AL102" s="176">
        <f>25000000+21363169</f>
        <v>46363169</v>
      </c>
      <c r="AM102" s="138">
        <f t="shared" si="47"/>
        <v>0</v>
      </c>
      <c r="AN102" s="128"/>
      <c r="AO102" s="129"/>
      <c r="AP102" s="183"/>
      <c r="AQ102" s="66">
        <f t="shared" si="35"/>
        <v>75000000</v>
      </c>
      <c r="AR102" s="43">
        <f t="shared" si="36"/>
        <v>0</v>
      </c>
      <c r="AS102" s="44"/>
      <c r="AT102" s="44"/>
    </row>
    <row r="103" spans="1:46" x14ac:dyDescent="0.25">
      <c r="A103" s="222"/>
      <c r="B103" s="124" t="s">
        <v>185</v>
      </c>
      <c r="C103" s="228">
        <f t="shared" si="41"/>
        <v>10000000</v>
      </c>
      <c r="D103" s="126">
        <f t="shared" si="42"/>
        <v>10000000</v>
      </c>
      <c r="E103" s="127">
        <f t="shared" si="43"/>
        <v>0</v>
      </c>
      <c r="F103" s="129"/>
      <c r="G103" s="129"/>
      <c r="H103" s="129"/>
      <c r="I103" s="129"/>
      <c r="J103" s="129"/>
      <c r="K103" s="129"/>
      <c r="L103" s="129"/>
      <c r="M103" s="129"/>
      <c r="N103" s="129"/>
      <c r="O103" s="129"/>
      <c r="P103" s="129"/>
      <c r="Q103" s="129"/>
      <c r="R103" s="129"/>
      <c r="S103" s="129"/>
      <c r="T103" s="129"/>
      <c r="U103" s="129"/>
      <c r="V103" s="129"/>
      <c r="W103" s="129"/>
      <c r="X103" s="129"/>
      <c r="Y103" s="129"/>
      <c r="Z103" s="133">
        <f t="shared" si="44"/>
        <v>10000000</v>
      </c>
      <c r="AA103" s="129"/>
      <c r="AB103" s="129"/>
      <c r="AC103" s="129"/>
      <c r="AD103" s="245">
        <v>10000000</v>
      </c>
      <c r="AE103" s="180"/>
      <c r="AF103" s="248">
        <f t="shared" si="45"/>
        <v>0</v>
      </c>
      <c r="AG103" s="129"/>
      <c r="AH103" s="129"/>
      <c r="AI103" s="129"/>
      <c r="AJ103" s="141"/>
      <c r="AK103" s="136">
        <f t="shared" si="46"/>
        <v>0</v>
      </c>
      <c r="AL103" s="128"/>
      <c r="AM103" s="138">
        <f t="shared" si="47"/>
        <v>0</v>
      </c>
      <c r="AN103" s="128"/>
      <c r="AO103" s="129"/>
      <c r="AP103" s="183"/>
      <c r="AQ103" s="66">
        <f t="shared" si="35"/>
        <v>10000000</v>
      </c>
      <c r="AR103" s="43">
        <f t="shared" si="36"/>
        <v>0</v>
      </c>
      <c r="AS103" s="44"/>
      <c r="AT103" s="44"/>
    </row>
    <row r="104" spans="1:46" x14ac:dyDescent="0.25">
      <c r="A104" s="222"/>
      <c r="B104" s="124" t="s">
        <v>186</v>
      </c>
      <c r="C104" s="228">
        <f t="shared" si="41"/>
        <v>11765000</v>
      </c>
      <c r="D104" s="126">
        <f t="shared" si="42"/>
        <v>11765000</v>
      </c>
      <c r="E104" s="127"/>
      <c r="F104" s="129"/>
      <c r="G104" s="129"/>
      <c r="H104" s="129"/>
      <c r="I104" s="129"/>
      <c r="J104" s="129"/>
      <c r="K104" s="129"/>
      <c r="L104" s="129"/>
      <c r="M104" s="129"/>
      <c r="N104" s="129"/>
      <c r="O104" s="129"/>
      <c r="P104" s="129"/>
      <c r="Q104" s="129"/>
      <c r="R104" s="129"/>
      <c r="S104" s="129"/>
      <c r="T104" s="129"/>
      <c r="U104" s="129"/>
      <c r="V104" s="129"/>
      <c r="W104" s="129"/>
      <c r="X104" s="129"/>
      <c r="Y104" s="129"/>
      <c r="Z104" s="133">
        <f t="shared" si="44"/>
        <v>11765000</v>
      </c>
      <c r="AA104" s="129"/>
      <c r="AB104" s="129"/>
      <c r="AC104" s="129"/>
      <c r="AD104" s="129">
        <v>11765000</v>
      </c>
      <c r="AE104" s="180"/>
      <c r="AF104" s="248">
        <f t="shared" si="45"/>
        <v>0</v>
      </c>
      <c r="AG104" s="129"/>
      <c r="AH104" s="129"/>
      <c r="AI104" s="129"/>
      <c r="AJ104" s="141"/>
      <c r="AK104" s="136"/>
      <c r="AL104" s="128"/>
      <c r="AM104" s="138"/>
      <c r="AN104" s="128"/>
      <c r="AO104" s="129"/>
      <c r="AP104" s="183"/>
      <c r="AQ104" s="66">
        <f t="shared" si="35"/>
        <v>11765000</v>
      </c>
      <c r="AR104" s="43">
        <f t="shared" si="36"/>
        <v>0</v>
      </c>
      <c r="AS104" s="44"/>
      <c r="AT104" s="44"/>
    </row>
    <row r="105" spans="1:46" x14ac:dyDescent="0.25">
      <c r="A105" s="222"/>
      <c r="B105" s="124" t="s">
        <v>187</v>
      </c>
      <c r="C105" s="228">
        <f t="shared" si="41"/>
        <v>10000000</v>
      </c>
      <c r="D105" s="126">
        <f t="shared" si="42"/>
        <v>10000000</v>
      </c>
      <c r="E105" s="127">
        <f t="shared" si="43"/>
        <v>0</v>
      </c>
      <c r="F105" s="129"/>
      <c r="G105" s="129"/>
      <c r="H105" s="129"/>
      <c r="I105" s="129"/>
      <c r="J105" s="129"/>
      <c r="K105" s="129"/>
      <c r="L105" s="129"/>
      <c r="M105" s="129"/>
      <c r="N105" s="129"/>
      <c r="O105" s="129"/>
      <c r="P105" s="129"/>
      <c r="Q105" s="129"/>
      <c r="R105" s="129"/>
      <c r="S105" s="129"/>
      <c r="T105" s="129"/>
      <c r="U105" s="129"/>
      <c r="V105" s="129"/>
      <c r="W105" s="129"/>
      <c r="X105" s="129"/>
      <c r="Y105" s="129"/>
      <c r="Z105" s="133">
        <f t="shared" si="44"/>
        <v>10000000</v>
      </c>
      <c r="AA105" s="129"/>
      <c r="AB105" s="129"/>
      <c r="AC105" s="129"/>
      <c r="AD105" s="129">
        <v>10000000</v>
      </c>
      <c r="AE105" s="180"/>
      <c r="AF105" s="248">
        <f t="shared" si="45"/>
        <v>0</v>
      </c>
      <c r="AG105" s="129"/>
      <c r="AH105" s="129"/>
      <c r="AI105" s="129"/>
      <c r="AJ105" s="141"/>
      <c r="AK105" s="136">
        <f t="shared" si="46"/>
        <v>0</v>
      </c>
      <c r="AL105" s="128"/>
      <c r="AM105" s="138">
        <f t="shared" si="47"/>
        <v>0</v>
      </c>
      <c r="AN105" s="128"/>
      <c r="AO105" s="129"/>
      <c r="AP105" s="183"/>
      <c r="AQ105" s="66">
        <f t="shared" si="35"/>
        <v>10000000</v>
      </c>
      <c r="AR105" s="43">
        <f t="shared" si="36"/>
        <v>0</v>
      </c>
      <c r="AS105" s="44"/>
      <c r="AT105" s="44"/>
    </row>
    <row r="106" spans="1:46" hidden="1" x14ac:dyDescent="0.25">
      <c r="A106" s="222"/>
      <c r="B106" s="124" t="s">
        <v>188</v>
      </c>
      <c r="C106" s="228">
        <f t="shared" si="41"/>
        <v>0</v>
      </c>
      <c r="D106" s="126">
        <f t="shared" si="42"/>
        <v>0</v>
      </c>
      <c r="E106" s="127">
        <f t="shared" si="43"/>
        <v>0</v>
      </c>
      <c r="F106" s="129"/>
      <c r="G106" s="129"/>
      <c r="H106" s="129"/>
      <c r="I106" s="129"/>
      <c r="J106" s="129"/>
      <c r="K106" s="129"/>
      <c r="L106" s="129"/>
      <c r="M106" s="129"/>
      <c r="N106" s="129"/>
      <c r="O106" s="129"/>
      <c r="P106" s="129"/>
      <c r="Q106" s="129"/>
      <c r="R106" s="129"/>
      <c r="S106" s="129"/>
      <c r="T106" s="129"/>
      <c r="U106" s="129"/>
      <c r="V106" s="129"/>
      <c r="W106" s="129"/>
      <c r="X106" s="129"/>
      <c r="Y106" s="129"/>
      <c r="Z106" s="133">
        <f t="shared" si="44"/>
        <v>0</v>
      </c>
      <c r="AA106" s="129"/>
      <c r="AB106" s="129"/>
      <c r="AC106" s="129"/>
      <c r="AD106" s="129"/>
      <c r="AE106" s="180"/>
      <c r="AF106" s="248">
        <f t="shared" si="45"/>
        <v>0</v>
      </c>
      <c r="AG106" s="129"/>
      <c r="AH106" s="129"/>
      <c r="AI106" s="129"/>
      <c r="AJ106" s="141"/>
      <c r="AK106" s="136">
        <f t="shared" si="46"/>
        <v>0</v>
      </c>
      <c r="AL106" s="128"/>
      <c r="AM106" s="138">
        <f t="shared" si="47"/>
        <v>0</v>
      </c>
      <c r="AN106" s="128"/>
      <c r="AO106" s="129"/>
      <c r="AP106" s="183"/>
      <c r="AQ106" s="66">
        <f t="shared" si="35"/>
        <v>0</v>
      </c>
      <c r="AR106" s="43">
        <f t="shared" si="36"/>
        <v>0</v>
      </c>
      <c r="AS106" s="44"/>
      <c r="AT106" s="44"/>
    </row>
    <row r="107" spans="1:46" hidden="1" x14ac:dyDescent="0.25">
      <c r="A107" s="222"/>
      <c r="B107" s="124" t="s">
        <v>189</v>
      </c>
      <c r="C107" s="228">
        <f t="shared" si="41"/>
        <v>0</v>
      </c>
      <c r="D107" s="126">
        <f t="shared" si="42"/>
        <v>0</v>
      </c>
      <c r="E107" s="127"/>
      <c r="F107" s="129"/>
      <c r="G107" s="129"/>
      <c r="H107" s="129"/>
      <c r="I107" s="129"/>
      <c r="J107" s="129"/>
      <c r="K107" s="129"/>
      <c r="L107" s="129"/>
      <c r="M107" s="129"/>
      <c r="N107" s="129"/>
      <c r="O107" s="129"/>
      <c r="P107" s="129"/>
      <c r="Q107" s="129"/>
      <c r="R107" s="129"/>
      <c r="S107" s="129"/>
      <c r="T107" s="129"/>
      <c r="U107" s="129"/>
      <c r="V107" s="129"/>
      <c r="W107" s="129"/>
      <c r="X107" s="129"/>
      <c r="Y107" s="129"/>
      <c r="Z107" s="133">
        <f t="shared" si="44"/>
        <v>0</v>
      </c>
      <c r="AA107" s="129"/>
      <c r="AB107" s="129"/>
      <c r="AC107" s="129"/>
      <c r="AD107" s="129"/>
      <c r="AE107" s="180"/>
      <c r="AF107" s="248">
        <f t="shared" si="45"/>
        <v>0</v>
      </c>
      <c r="AG107" s="129"/>
      <c r="AH107" s="129"/>
      <c r="AI107" s="129"/>
      <c r="AJ107" s="141"/>
      <c r="AK107" s="136"/>
      <c r="AL107" s="128"/>
      <c r="AM107" s="138"/>
      <c r="AN107" s="128"/>
      <c r="AO107" s="129"/>
      <c r="AP107" s="183"/>
      <c r="AQ107" s="66">
        <f t="shared" si="35"/>
        <v>0</v>
      </c>
      <c r="AR107" s="43">
        <f t="shared" si="36"/>
        <v>0</v>
      </c>
      <c r="AS107" s="44"/>
      <c r="AT107" s="44"/>
    </row>
    <row r="108" spans="1:46" x14ac:dyDescent="0.25">
      <c r="A108" s="222"/>
      <c r="B108" s="124" t="s">
        <v>190</v>
      </c>
      <c r="C108" s="228">
        <f t="shared" si="41"/>
        <v>30696000</v>
      </c>
      <c r="D108" s="126">
        <f t="shared" si="42"/>
        <v>30696000</v>
      </c>
      <c r="E108" s="127">
        <f t="shared" si="43"/>
        <v>0</v>
      </c>
      <c r="F108" s="129"/>
      <c r="G108" s="129"/>
      <c r="H108" s="129"/>
      <c r="I108" s="129"/>
      <c r="J108" s="129"/>
      <c r="K108" s="129"/>
      <c r="L108" s="129"/>
      <c r="M108" s="129"/>
      <c r="N108" s="129"/>
      <c r="O108" s="129"/>
      <c r="P108" s="129"/>
      <c r="Q108" s="129"/>
      <c r="R108" s="129"/>
      <c r="S108" s="129"/>
      <c r="T108" s="129"/>
      <c r="U108" s="129"/>
      <c r="V108" s="129"/>
      <c r="W108" s="129"/>
      <c r="X108" s="129"/>
      <c r="Y108" s="129"/>
      <c r="Z108" s="133">
        <f t="shared" si="44"/>
        <v>0</v>
      </c>
      <c r="AA108" s="129"/>
      <c r="AB108" s="129"/>
      <c r="AC108" s="129"/>
      <c r="AD108" s="129"/>
      <c r="AE108" s="180"/>
      <c r="AF108" s="248">
        <f t="shared" si="45"/>
        <v>30696000</v>
      </c>
      <c r="AG108" s="129"/>
      <c r="AH108" s="129"/>
      <c r="AI108" s="129"/>
      <c r="AJ108" s="261">
        <f>30696000</f>
        <v>30696000</v>
      </c>
      <c r="AK108" s="136">
        <f t="shared" si="46"/>
        <v>0</v>
      </c>
      <c r="AL108" s="128"/>
      <c r="AM108" s="138">
        <f t="shared" si="47"/>
        <v>0</v>
      </c>
      <c r="AN108" s="128"/>
      <c r="AO108" s="129"/>
      <c r="AP108" s="183"/>
      <c r="AQ108" s="66">
        <f t="shared" si="35"/>
        <v>30696000</v>
      </c>
      <c r="AR108" s="43">
        <f t="shared" si="36"/>
        <v>0</v>
      </c>
      <c r="AS108" s="44"/>
      <c r="AT108" s="44"/>
    </row>
    <row r="109" spans="1:46" x14ac:dyDescent="0.25">
      <c r="A109" s="222"/>
      <c r="B109" s="124" t="s">
        <v>191</v>
      </c>
      <c r="C109" s="228">
        <f t="shared" si="41"/>
        <v>5924000</v>
      </c>
      <c r="D109" s="126">
        <f t="shared" si="42"/>
        <v>5924000</v>
      </c>
      <c r="E109" s="127">
        <f t="shared" si="43"/>
        <v>0</v>
      </c>
      <c r="F109" s="129"/>
      <c r="G109" s="129"/>
      <c r="H109" s="129"/>
      <c r="I109" s="129"/>
      <c r="J109" s="129"/>
      <c r="K109" s="129"/>
      <c r="L109" s="129"/>
      <c r="M109" s="129"/>
      <c r="N109" s="129"/>
      <c r="O109" s="129"/>
      <c r="P109" s="129"/>
      <c r="Q109" s="129"/>
      <c r="R109" s="129"/>
      <c r="S109" s="129"/>
      <c r="T109" s="129"/>
      <c r="U109" s="129"/>
      <c r="V109" s="129"/>
      <c r="W109" s="129"/>
      <c r="X109" s="129"/>
      <c r="Y109" s="129"/>
      <c r="Z109" s="133">
        <f t="shared" si="44"/>
        <v>0</v>
      </c>
      <c r="AA109" s="129"/>
      <c r="AB109" s="129"/>
      <c r="AC109" s="129"/>
      <c r="AD109" s="129"/>
      <c r="AE109" s="180"/>
      <c r="AF109" s="248">
        <f t="shared" si="45"/>
        <v>5924000</v>
      </c>
      <c r="AG109" s="129"/>
      <c r="AH109" s="129">
        <f>500000+5424000</f>
        <v>5924000</v>
      </c>
      <c r="AI109" s="129"/>
      <c r="AJ109" s="141"/>
      <c r="AK109" s="136">
        <f t="shared" si="46"/>
        <v>0</v>
      </c>
      <c r="AL109" s="128"/>
      <c r="AM109" s="138">
        <f t="shared" si="47"/>
        <v>0</v>
      </c>
      <c r="AN109" s="128"/>
      <c r="AO109" s="129"/>
      <c r="AP109" s="183"/>
      <c r="AQ109" s="66">
        <f t="shared" si="35"/>
        <v>5924000</v>
      </c>
      <c r="AR109" s="43">
        <f t="shared" si="36"/>
        <v>0</v>
      </c>
      <c r="AS109" s="44"/>
      <c r="AT109" s="44"/>
    </row>
    <row r="110" spans="1:46" x14ac:dyDescent="0.25">
      <c r="A110" s="222" t="s">
        <v>192</v>
      </c>
      <c r="B110" s="124" t="s">
        <v>193</v>
      </c>
      <c r="C110" s="239">
        <f t="shared" si="41"/>
        <v>3000000</v>
      </c>
      <c r="D110" s="126">
        <f t="shared" si="42"/>
        <v>3000000</v>
      </c>
      <c r="E110" s="93">
        <f t="shared" si="43"/>
        <v>2713502</v>
      </c>
      <c r="F110" s="129"/>
      <c r="G110" s="129"/>
      <c r="H110" s="129"/>
      <c r="I110" s="129"/>
      <c r="J110" s="129"/>
      <c r="K110" s="176">
        <f>62877946-6040000-4149360-6915600-5290434-5532480-7053912-20746800-4149360-'[2]Costeo SAP'!I14</f>
        <v>2713502</v>
      </c>
      <c r="L110" s="129"/>
      <c r="M110" s="129"/>
      <c r="N110" s="129"/>
      <c r="O110" s="129"/>
      <c r="P110" s="129"/>
      <c r="Q110" s="129"/>
      <c r="R110" s="129"/>
      <c r="S110" s="129"/>
      <c r="T110" s="129"/>
      <c r="U110" s="129"/>
      <c r="V110" s="129"/>
      <c r="W110" s="129"/>
      <c r="X110" s="129"/>
      <c r="Y110" s="129"/>
      <c r="Z110" s="133">
        <f t="shared" si="44"/>
        <v>0</v>
      </c>
      <c r="AA110" s="129"/>
      <c r="AB110" s="129"/>
      <c r="AC110" s="129"/>
      <c r="AD110" s="129"/>
      <c r="AE110" s="180"/>
      <c r="AF110" s="248">
        <f t="shared" si="45"/>
        <v>0</v>
      </c>
      <c r="AG110" s="129"/>
      <c r="AH110" s="129"/>
      <c r="AI110" s="129"/>
      <c r="AJ110" s="141"/>
      <c r="AK110" s="136">
        <f t="shared" si="46"/>
        <v>286498</v>
      </c>
      <c r="AL110" s="128">
        <f>+'[2]Costeo SAP'!I14</f>
        <v>286498</v>
      </c>
      <c r="AM110" s="138">
        <f t="shared" si="47"/>
        <v>0</v>
      </c>
      <c r="AN110" s="128"/>
      <c r="AO110" s="129"/>
      <c r="AP110" s="183"/>
      <c r="AQ110" s="66">
        <f t="shared" si="35"/>
        <v>3000000</v>
      </c>
      <c r="AR110" s="43">
        <f t="shared" si="36"/>
        <v>0</v>
      </c>
      <c r="AS110" s="44"/>
      <c r="AT110" s="44"/>
    </row>
    <row r="111" spans="1:46" x14ac:dyDescent="0.25">
      <c r="A111" s="222" t="s">
        <v>194</v>
      </c>
      <c r="B111" s="124" t="s">
        <v>195</v>
      </c>
      <c r="C111" s="239">
        <f t="shared" si="41"/>
        <v>242300000</v>
      </c>
      <c r="D111" s="126">
        <f t="shared" si="42"/>
        <v>242300000</v>
      </c>
      <c r="E111" s="93">
        <f t="shared" si="43"/>
        <v>204336831</v>
      </c>
      <c r="F111" s="129"/>
      <c r="G111" s="129"/>
      <c r="H111" s="129"/>
      <c r="I111" s="129"/>
      <c r="J111" s="262">
        <v>1500000</v>
      </c>
      <c r="K111" s="129"/>
      <c r="L111" s="129"/>
      <c r="M111" s="129"/>
      <c r="N111" s="129"/>
      <c r="O111" s="129"/>
      <c r="P111" s="129"/>
      <c r="Q111" s="243">
        <f>340700000-117000000-'[2]Costeo SAP'!I15</f>
        <v>202336831</v>
      </c>
      <c r="R111" s="129"/>
      <c r="S111" s="129"/>
      <c r="T111" s="129"/>
      <c r="U111" s="129">
        <f>1100000-1100000</f>
        <v>0</v>
      </c>
      <c r="V111" s="129"/>
      <c r="W111" s="129">
        <v>500000</v>
      </c>
      <c r="X111" s="129"/>
      <c r="Y111" s="129"/>
      <c r="Z111" s="133">
        <f t="shared" si="44"/>
        <v>100000</v>
      </c>
      <c r="AA111" s="129"/>
      <c r="AB111" s="262">
        <v>50000</v>
      </c>
      <c r="AC111" s="129"/>
      <c r="AD111" s="262">
        <v>50000</v>
      </c>
      <c r="AE111" s="180"/>
      <c r="AF111" s="248">
        <f t="shared" si="45"/>
        <v>8000000</v>
      </c>
      <c r="AG111" s="129"/>
      <c r="AH111" s="45"/>
      <c r="AI111" s="129"/>
      <c r="AJ111" s="273">
        <v>8000000</v>
      </c>
      <c r="AK111" s="136">
        <f t="shared" si="46"/>
        <v>29863169</v>
      </c>
      <c r="AL111" s="176">
        <f>8500000+'[2]Costeo SAP'!I15</f>
        <v>29863169</v>
      </c>
      <c r="AM111" s="138">
        <f t="shared" si="47"/>
        <v>0</v>
      </c>
      <c r="AN111" s="128"/>
      <c r="AO111" s="129"/>
      <c r="AP111" s="183">
        <f>150000-150000</f>
        <v>0</v>
      </c>
      <c r="AQ111" s="66">
        <f t="shared" si="35"/>
        <v>242300000</v>
      </c>
      <c r="AR111" s="43">
        <f t="shared" si="36"/>
        <v>0</v>
      </c>
      <c r="AS111" s="44"/>
      <c r="AT111" s="44"/>
    </row>
    <row r="112" spans="1:46" x14ac:dyDescent="0.25">
      <c r="A112" s="222" t="s">
        <v>196</v>
      </c>
      <c r="B112" s="124" t="s">
        <v>197</v>
      </c>
      <c r="C112" s="239">
        <f t="shared" si="41"/>
        <v>61701562</v>
      </c>
      <c r="D112" s="126">
        <f t="shared" si="42"/>
        <v>61701562</v>
      </c>
      <c r="E112" s="93">
        <f t="shared" si="43"/>
        <v>34984363</v>
      </c>
      <c r="F112" s="129">
        <v>0</v>
      </c>
      <c r="G112" s="129">
        <v>0</v>
      </c>
      <c r="H112" s="129">
        <v>0</v>
      </c>
      <c r="I112" s="183">
        <f>5000000-4900000</f>
        <v>100000</v>
      </c>
      <c r="J112" s="129"/>
      <c r="K112" s="176">
        <v>2091562</v>
      </c>
      <c r="L112" s="129"/>
      <c r="M112" s="129"/>
      <c r="N112" s="129"/>
      <c r="O112" s="129"/>
      <c r="P112" s="129"/>
      <c r="Q112" s="243">
        <f>7510000-'[2]Costeo SAP'!I16</f>
        <v>6792801</v>
      </c>
      <c r="R112" s="129">
        <f>200000-200000</f>
        <v>0</v>
      </c>
      <c r="S112" s="129">
        <v>0</v>
      </c>
      <c r="T112" s="129">
        <v>0</v>
      </c>
      <c r="U112" s="129">
        <v>0</v>
      </c>
      <c r="V112" s="129">
        <v>0</v>
      </c>
      <c r="W112" s="129"/>
      <c r="X112" s="262">
        <v>6000000</v>
      </c>
      <c r="Y112" s="262">
        <v>20000000</v>
      </c>
      <c r="Z112" s="133">
        <f t="shared" si="44"/>
        <v>0</v>
      </c>
      <c r="AA112" s="129">
        <v>0</v>
      </c>
      <c r="AB112" s="129">
        <v>0</v>
      </c>
      <c r="AC112" s="129">
        <v>0</v>
      </c>
      <c r="AD112" s="129">
        <v>0</v>
      </c>
      <c r="AE112" s="180">
        <v>0</v>
      </c>
      <c r="AF112" s="248">
        <f t="shared" si="45"/>
        <v>0</v>
      </c>
      <c r="AG112" s="129">
        <v>0</v>
      </c>
      <c r="AH112" s="129">
        <v>0</v>
      </c>
      <c r="AI112" s="129">
        <v>0</v>
      </c>
      <c r="AJ112" s="141">
        <v>0</v>
      </c>
      <c r="AK112" s="136">
        <f t="shared" si="46"/>
        <v>26717199</v>
      </c>
      <c r="AL112" s="176">
        <f>26000000+'[2]Costeo SAP'!I16</f>
        <v>26717199</v>
      </c>
      <c r="AM112" s="138">
        <f t="shared" si="47"/>
        <v>0</v>
      </c>
      <c r="AN112" s="128">
        <v>0</v>
      </c>
      <c r="AO112" s="129">
        <v>0</v>
      </c>
      <c r="AP112" s="183">
        <v>0</v>
      </c>
      <c r="AQ112" s="66">
        <f t="shared" si="35"/>
        <v>61701562</v>
      </c>
      <c r="AR112" s="43">
        <f t="shared" si="36"/>
        <v>0</v>
      </c>
    </row>
    <row r="113" spans="1:46" x14ac:dyDescent="0.25">
      <c r="A113" s="222"/>
      <c r="B113" s="124"/>
      <c r="C113" s="228"/>
      <c r="D113" s="229"/>
      <c r="E113" s="93"/>
      <c r="F113" s="128"/>
      <c r="G113" s="129"/>
      <c r="H113" s="129"/>
      <c r="I113" s="129"/>
      <c r="J113" s="129"/>
      <c r="K113" s="101"/>
      <c r="L113" s="129"/>
      <c r="M113" s="129"/>
      <c r="N113" s="129"/>
      <c r="O113" s="129"/>
      <c r="P113" s="101"/>
      <c r="Q113" s="101"/>
      <c r="R113" s="101"/>
      <c r="S113" s="101"/>
      <c r="T113" s="101"/>
      <c r="U113" s="101"/>
      <c r="V113" s="101"/>
      <c r="W113" s="101"/>
      <c r="X113" s="101"/>
      <c r="Y113" s="101"/>
      <c r="Z113" s="253"/>
      <c r="AA113" s="101"/>
      <c r="AB113" s="101"/>
      <c r="AC113" s="101"/>
      <c r="AD113" s="101"/>
      <c r="AE113" s="244"/>
      <c r="AF113" s="248">
        <f t="shared" si="45"/>
        <v>0</v>
      </c>
      <c r="AG113" s="101"/>
      <c r="AH113" s="101"/>
      <c r="AI113" s="101"/>
      <c r="AJ113" s="103"/>
      <c r="AK113" s="164"/>
      <c r="AL113" s="110"/>
      <c r="AM113" s="254"/>
      <c r="AN113" s="105"/>
      <c r="AO113" s="101"/>
      <c r="AP113" s="111"/>
      <c r="AQ113" s="66">
        <f t="shared" si="35"/>
        <v>0</v>
      </c>
      <c r="AR113" s="43">
        <f t="shared" si="36"/>
        <v>0</v>
      </c>
    </row>
    <row r="114" spans="1:46" ht="13.8" thickBot="1" x14ac:dyDescent="0.3">
      <c r="A114" s="250" t="s">
        <v>198</v>
      </c>
      <c r="B114" s="154" t="s">
        <v>199</v>
      </c>
      <c r="C114" s="239">
        <f>SUM(C115:C116)</f>
        <v>36975000</v>
      </c>
      <c r="D114" s="240">
        <f>SUM(D115:D116)</f>
        <v>36975000</v>
      </c>
      <c r="E114" s="93">
        <f>SUM(E115:E116)</f>
        <v>15675000</v>
      </c>
      <c r="F114" s="184">
        <f t="shared" ref="F114:AN114" si="52">SUM(F115:F116)</f>
        <v>0</v>
      </c>
      <c r="G114" s="185">
        <f t="shared" si="52"/>
        <v>75000</v>
      </c>
      <c r="H114" s="185">
        <f t="shared" si="52"/>
        <v>1000000</v>
      </c>
      <c r="I114" s="185">
        <f t="shared" si="52"/>
        <v>0</v>
      </c>
      <c r="J114" s="185">
        <f t="shared" si="52"/>
        <v>0</v>
      </c>
      <c r="K114" s="185">
        <f t="shared" si="52"/>
        <v>0</v>
      </c>
      <c r="L114" s="185">
        <f t="shared" si="52"/>
        <v>0</v>
      </c>
      <c r="M114" s="185">
        <f t="shared" si="52"/>
        <v>0</v>
      </c>
      <c r="N114" s="185">
        <f t="shared" si="52"/>
        <v>0</v>
      </c>
      <c r="O114" s="185">
        <f t="shared" si="52"/>
        <v>100000</v>
      </c>
      <c r="P114" s="185">
        <f t="shared" si="52"/>
        <v>0</v>
      </c>
      <c r="Q114" s="185">
        <f t="shared" si="52"/>
        <v>14300000</v>
      </c>
      <c r="R114" s="185">
        <f t="shared" si="52"/>
        <v>0</v>
      </c>
      <c r="S114" s="185">
        <f t="shared" si="52"/>
        <v>0</v>
      </c>
      <c r="T114" s="185">
        <f t="shared" si="52"/>
        <v>0</v>
      </c>
      <c r="U114" s="185">
        <f t="shared" si="52"/>
        <v>0</v>
      </c>
      <c r="V114" s="185">
        <f>SUM(V115:V116)</f>
        <v>0</v>
      </c>
      <c r="W114" s="185">
        <f>SUM(W115:W116)</f>
        <v>0</v>
      </c>
      <c r="X114" s="185">
        <f>SUM(X115:X116)</f>
        <v>0</v>
      </c>
      <c r="Y114" s="185">
        <f>SUM(Y115:Y116)</f>
        <v>200000</v>
      </c>
      <c r="Z114" s="187">
        <f>SUM(Z115:Z116)</f>
        <v>9250000</v>
      </c>
      <c r="AA114" s="185">
        <f t="shared" si="52"/>
        <v>450000</v>
      </c>
      <c r="AB114" s="185">
        <f>SUM(AB115:AB116)</f>
        <v>500000</v>
      </c>
      <c r="AC114" s="185">
        <f>SUM(AC115:AC116)</f>
        <v>1000000</v>
      </c>
      <c r="AD114" s="185">
        <f>SUM(AD115:AD116)</f>
        <v>6000000</v>
      </c>
      <c r="AE114" s="188">
        <f>SUM(AE115:AE116)</f>
        <v>1300000</v>
      </c>
      <c r="AF114" s="225">
        <f t="shared" si="52"/>
        <v>9175000</v>
      </c>
      <c r="AG114" s="185">
        <f t="shared" si="52"/>
        <v>400000</v>
      </c>
      <c r="AH114" s="185">
        <f>SUM(AH115:AH116)</f>
        <v>2200000</v>
      </c>
      <c r="AI114" s="185">
        <f>SUM(AI115:AI116)</f>
        <v>75000</v>
      </c>
      <c r="AJ114" s="186">
        <f>SUM(AJ115:AJ116)</f>
        <v>6500000</v>
      </c>
      <c r="AK114" s="164">
        <f t="shared" si="52"/>
        <v>2875000</v>
      </c>
      <c r="AL114" s="191">
        <f>SUM(AL115:AL116)</f>
        <v>2600000</v>
      </c>
      <c r="AM114" s="164">
        <f t="shared" si="52"/>
        <v>275000</v>
      </c>
      <c r="AN114" s="184">
        <f t="shared" si="52"/>
        <v>25000</v>
      </c>
      <c r="AO114" s="185">
        <f>SUM(AO115:AO116)</f>
        <v>150000</v>
      </c>
      <c r="AP114" s="252">
        <f>SUM(AP115:AP116)</f>
        <v>100000</v>
      </c>
      <c r="AQ114" s="66">
        <f t="shared" si="35"/>
        <v>36975000</v>
      </c>
      <c r="AR114" s="43">
        <f t="shared" si="36"/>
        <v>0</v>
      </c>
    </row>
    <row r="115" spans="1:46" ht="14.4" thickTop="1" thickBot="1" x14ac:dyDescent="0.3">
      <c r="A115" s="222" t="s">
        <v>200</v>
      </c>
      <c r="B115" s="124" t="s">
        <v>201</v>
      </c>
      <c r="C115" s="228">
        <f>+E115+Z115+AF115+AK115</f>
        <v>1400000</v>
      </c>
      <c r="D115" s="126">
        <f>SUM(F115+G115+H115+I115+J115+K115+L115+M115+N115+O115+P115+Q115+R115+S115+T115+U115+V115+W115+X115+Y115+AA115+AB115+AC115+AD115+AE115+AG115+AH115+AI115+AJ115+AL115+AN115+AO115+AP115)</f>
        <v>1400000</v>
      </c>
      <c r="E115" s="127">
        <f>SUM(F115:Y115)</f>
        <v>1300000</v>
      </c>
      <c r="F115" s="128"/>
      <c r="G115" s="129">
        <v>0</v>
      </c>
      <c r="H115" s="129"/>
      <c r="I115" s="129"/>
      <c r="J115" s="129"/>
      <c r="K115" s="101"/>
      <c r="L115" s="129"/>
      <c r="M115" s="129"/>
      <c r="N115" s="129"/>
      <c r="O115" s="129">
        <f>5000-5000</f>
        <v>0</v>
      </c>
      <c r="P115" s="101"/>
      <c r="Q115" s="243">
        <v>1300000</v>
      </c>
      <c r="R115" s="101"/>
      <c r="S115" s="274"/>
      <c r="T115" s="101"/>
      <c r="U115" s="101"/>
      <c r="V115" s="101"/>
      <c r="W115" s="101"/>
      <c r="X115" s="101"/>
      <c r="Y115" s="101"/>
      <c r="Z115" s="133">
        <f>SUM(AA115:AE115)</f>
        <v>0</v>
      </c>
      <c r="AA115" s="245">
        <f>100000-100000</f>
        <v>0</v>
      </c>
      <c r="AB115" s="245">
        <f>50000-50000</f>
        <v>0</v>
      </c>
      <c r="AC115" s="101"/>
      <c r="AD115" s="245">
        <f>50000-50000</f>
        <v>0</v>
      </c>
      <c r="AE115" s="259">
        <f>100000-100000</f>
        <v>0</v>
      </c>
      <c r="AF115" s="248">
        <f>SUM(AG115:AJ115)</f>
        <v>0</v>
      </c>
      <c r="AG115" s="101"/>
      <c r="AH115" s="101"/>
      <c r="AI115" s="101"/>
      <c r="AJ115" s="103"/>
      <c r="AK115" s="138">
        <f>SUM(AL115+AM115)</f>
        <v>100000</v>
      </c>
      <c r="AL115" s="176">
        <v>100000</v>
      </c>
      <c r="AM115" s="138">
        <f>SUM(AN115:AP115)</f>
        <v>0</v>
      </c>
      <c r="AN115" s="105"/>
      <c r="AO115" s="101"/>
      <c r="AP115" s="111"/>
      <c r="AQ115" s="66">
        <f t="shared" si="35"/>
        <v>1400000</v>
      </c>
      <c r="AR115" s="43">
        <f t="shared" si="36"/>
        <v>0</v>
      </c>
    </row>
    <row r="116" spans="1:46" ht="14.4" thickTop="1" thickBot="1" x14ac:dyDescent="0.3">
      <c r="A116" s="222" t="s">
        <v>202</v>
      </c>
      <c r="B116" s="124" t="s">
        <v>203</v>
      </c>
      <c r="C116" s="228">
        <f>+E116+Z116+AF116+AK116</f>
        <v>35575000</v>
      </c>
      <c r="D116" s="126">
        <f>SUM(F116+G116+H116+I116+J116+K116+L116+M116+N116+O116+P116+Q116+R116+S116+T116+U116+V116+W116+X116+Y116+AA116+AB116+AC116+AD116+AE116+AG116+AH116+AI116+AJ116+AL116+AN116+AO116+AP116)</f>
        <v>35575000</v>
      </c>
      <c r="E116" s="127">
        <f>SUM(F116:Y116)</f>
        <v>14375000</v>
      </c>
      <c r="F116" s="128"/>
      <c r="G116" s="245">
        <v>75000</v>
      </c>
      <c r="H116" s="245">
        <v>1000000</v>
      </c>
      <c r="I116" s="129"/>
      <c r="J116" s="129"/>
      <c r="K116" s="101"/>
      <c r="L116" s="129"/>
      <c r="M116" s="129"/>
      <c r="N116" s="129"/>
      <c r="O116" s="129">
        <v>100000</v>
      </c>
      <c r="P116" s="101"/>
      <c r="Q116" s="243">
        <v>13000000</v>
      </c>
      <c r="R116" s="101"/>
      <c r="S116" s="274"/>
      <c r="T116" s="101"/>
      <c r="U116" s="101"/>
      <c r="V116" s="101"/>
      <c r="W116" s="101"/>
      <c r="X116" s="101"/>
      <c r="Y116" s="245">
        <v>200000</v>
      </c>
      <c r="Z116" s="133">
        <f>SUM(AA116:AE116)</f>
        <v>9250000</v>
      </c>
      <c r="AA116" s="245">
        <v>450000</v>
      </c>
      <c r="AB116" s="245">
        <v>500000</v>
      </c>
      <c r="AC116" s="275">
        <v>1000000</v>
      </c>
      <c r="AD116" s="276">
        <v>6000000</v>
      </c>
      <c r="AE116" s="259">
        <v>1300000</v>
      </c>
      <c r="AF116" s="248">
        <f>SUM(AG116:AJ116)</f>
        <v>9175000</v>
      </c>
      <c r="AG116" s="277">
        <v>400000</v>
      </c>
      <c r="AH116" s="144">
        <f>+'[7]RESUMEN 2021'!$E$11</f>
        <v>2200000</v>
      </c>
      <c r="AI116" s="278">
        <v>75000</v>
      </c>
      <c r="AJ116" s="144">
        <v>6500000</v>
      </c>
      <c r="AK116" s="138">
        <f>SUM(AL116+AM116)</f>
        <v>2775000</v>
      </c>
      <c r="AL116" s="176">
        <v>2500000</v>
      </c>
      <c r="AM116" s="138">
        <f>SUM(AN116:AP116)</f>
        <v>275000</v>
      </c>
      <c r="AN116" s="258">
        <v>25000</v>
      </c>
      <c r="AO116" s="176">
        <v>150000</v>
      </c>
      <c r="AP116" s="245">
        <v>100000</v>
      </c>
      <c r="AQ116" s="66">
        <f t="shared" si="35"/>
        <v>35575000</v>
      </c>
      <c r="AR116" s="43">
        <f t="shared" si="36"/>
        <v>0</v>
      </c>
    </row>
    <row r="117" spans="1:46" ht="13.8" thickTop="1" x14ac:dyDescent="0.25">
      <c r="A117" s="222"/>
      <c r="B117" s="124"/>
      <c r="C117" s="228"/>
      <c r="D117" s="229"/>
      <c r="E117" s="93"/>
      <c r="F117" s="128"/>
      <c r="G117" s="129"/>
      <c r="H117" s="129"/>
      <c r="I117" s="129"/>
      <c r="J117" s="129"/>
      <c r="K117" s="101"/>
      <c r="L117" s="129"/>
      <c r="M117" s="129"/>
      <c r="N117" s="129"/>
      <c r="O117" s="129"/>
      <c r="P117" s="101"/>
      <c r="Q117" s="101"/>
      <c r="R117" s="101"/>
      <c r="S117" s="101"/>
      <c r="T117" s="101"/>
      <c r="U117" s="101"/>
      <c r="V117" s="101"/>
      <c r="W117" s="101"/>
      <c r="X117" s="101"/>
      <c r="Y117" s="101"/>
      <c r="Z117" s="118">
        <f>SUM(Z118:Z120)</f>
        <v>0</v>
      </c>
      <c r="AA117" s="101"/>
      <c r="AB117" s="101"/>
      <c r="AC117" s="101"/>
      <c r="AD117" s="101"/>
      <c r="AE117" s="244"/>
      <c r="AF117" s="225" t="s">
        <v>0</v>
      </c>
      <c r="AG117" s="101"/>
      <c r="AH117" s="101"/>
      <c r="AI117" s="101"/>
      <c r="AJ117" s="103"/>
      <c r="AK117" s="164"/>
      <c r="AL117" s="110"/>
      <c r="AM117" s="249" t="s">
        <v>0</v>
      </c>
      <c r="AN117" s="105"/>
      <c r="AO117" s="101"/>
      <c r="AP117" s="111"/>
      <c r="AQ117" s="66">
        <f t="shared" si="35"/>
        <v>0</v>
      </c>
      <c r="AR117" s="43">
        <f t="shared" si="36"/>
        <v>0</v>
      </c>
    </row>
    <row r="118" spans="1:46" x14ac:dyDescent="0.25">
      <c r="A118" s="250" t="s">
        <v>204</v>
      </c>
      <c r="B118" s="154" t="s">
        <v>205</v>
      </c>
      <c r="C118" s="239">
        <f>SUM(C119:C121)</f>
        <v>736467805.5</v>
      </c>
      <c r="D118" s="240">
        <f>SUM(D119:D121)</f>
        <v>736467805.5</v>
      </c>
      <c r="E118" s="93">
        <f>SUM(E119:E121)</f>
        <v>243087322.5</v>
      </c>
      <c r="F118" s="155">
        <f t="shared" ref="F118:AN118" si="53">SUM(F119:F121)</f>
        <v>0</v>
      </c>
      <c r="G118" s="156">
        <f t="shared" si="53"/>
        <v>0</v>
      </c>
      <c r="H118" s="156">
        <f t="shared" si="53"/>
        <v>0</v>
      </c>
      <c r="I118" s="156">
        <f t="shared" si="53"/>
        <v>0</v>
      </c>
      <c r="J118" s="156">
        <f t="shared" si="53"/>
        <v>0</v>
      </c>
      <c r="K118" s="156">
        <f t="shared" si="53"/>
        <v>0</v>
      </c>
      <c r="L118" s="156">
        <f t="shared" si="53"/>
        <v>0</v>
      </c>
      <c r="M118" s="156">
        <f t="shared" si="53"/>
        <v>0</v>
      </c>
      <c r="N118" s="156">
        <f t="shared" si="53"/>
        <v>0</v>
      </c>
      <c r="O118" s="156">
        <f t="shared" si="53"/>
        <v>0</v>
      </c>
      <c r="P118" s="156">
        <f t="shared" si="53"/>
        <v>0</v>
      </c>
      <c r="Q118" s="156">
        <f t="shared" si="53"/>
        <v>30234667.499999996</v>
      </c>
      <c r="R118" s="156">
        <f t="shared" si="53"/>
        <v>16000000</v>
      </c>
      <c r="S118" s="156">
        <f>SUM(S119:S121)</f>
        <v>0</v>
      </c>
      <c r="T118" s="156">
        <f t="shared" si="53"/>
        <v>0</v>
      </c>
      <c r="U118" s="156">
        <f t="shared" si="53"/>
        <v>0</v>
      </c>
      <c r="V118" s="156">
        <f t="shared" si="53"/>
        <v>196852655</v>
      </c>
      <c r="W118" s="156">
        <f t="shared" si="53"/>
        <v>0</v>
      </c>
      <c r="X118" s="156">
        <f t="shared" si="53"/>
        <v>0</v>
      </c>
      <c r="Y118" s="156">
        <f t="shared" si="53"/>
        <v>0</v>
      </c>
      <c r="Z118" s="232">
        <f t="shared" si="53"/>
        <v>0</v>
      </c>
      <c r="AA118" s="156">
        <f t="shared" si="53"/>
        <v>0</v>
      </c>
      <c r="AB118" s="156">
        <f t="shared" si="53"/>
        <v>0</v>
      </c>
      <c r="AC118" s="156">
        <f t="shared" si="53"/>
        <v>0</v>
      </c>
      <c r="AD118" s="156">
        <f t="shared" si="53"/>
        <v>0</v>
      </c>
      <c r="AE118" s="204">
        <f t="shared" si="53"/>
        <v>0</v>
      </c>
      <c r="AF118" s="225">
        <f t="shared" si="53"/>
        <v>10346613</v>
      </c>
      <c r="AG118" s="156">
        <f t="shared" si="53"/>
        <v>0</v>
      </c>
      <c r="AH118" s="156">
        <f t="shared" si="53"/>
        <v>9346613</v>
      </c>
      <c r="AI118" s="156">
        <f t="shared" si="53"/>
        <v>1000000</v>
      </c>
      <c r="AJ118" s="158">
        <f t="shared" si="53"/>
        <v>0</v>
      </c>
      <c r="AK118" s="164">
        <f>SUM(AK119:AK121)</f>
        <v>483033870</v>
      </c>
      <c r="AL118" s="226">
        <f t="shared" si="53"/>
        <v>483033870</v>
      </c>
      <c r="AM118" s="249">
        <f>SUM(AM119:AM121)</f>
        <v>0</v>
      </c>
      <c r="AN118" s="155">
        <f t="shared" si="53"/>
        <v>0</v>
      </c>
      <c r="AO118" s="156">
        <f>SUM(AO119:AO121)</f>
        <v>0</v>
      </c>
      <c r="AP118" s="227">
        <f>SUM(AP119:AP121)</f>
        <v>0</v>
      </c>
      <c r="AQ118" s="66">
        <f t="shared" si="35"/>
        <v>736467805.5</v>
      </c>
      <c r="AR118" s="43">
        <f t="shared" si="36"/>
        <v>0</v>
      </c>
    </row>
    <row r="119" spans="1:46" x14ac:dyDescent="0.25">
      <c r="A119" s="279" t="s">
        <v>206</v>
      </c>
      <c r="B119" s="124" t="s">
        <v>207</v>
      </c>
      <c r="C119" s="228">
        <f>+E119+Z119+AF119+AK119</f>
        <v>734967805.5</v>
      </c>
      <c r="D119" s="126">
        <f>SUM(F119+G119+H119+I119+J119+K119+L119+M119+N119+O119+P119+Q119+R119+S119+T119+U119+V119+W119+X119+Y119+AA119+AB119+AC119+AD119+AE119+AG119+AH119+AI119+AJ119+AL119+AN119+AO119+AP119)</f>
        <v>734967805.5</v>
      </c>
      <c r="E119" s="127">
        <f>SUM(F119:Y119)</f>
        <v>241587322.5</v>
      </c>
      <c r="F119" s="128"/>
      <c r="G119" s="129"/>
      <c r="H119" s="129"/>
      <c r="I119" s="129"/>
      <c r="J119" s="129"/>
      <c r="K119" s="101"/>
      <c r="L119" s="129"/>
      <c r="M119" s="129"/>
      <c r="N119" s="129"/>
      <c r="O119" s="129"/>
      <c r="P119" s="101"/>
      <c r="Q119" s="243">
        <f>(25500000*1.05*1.05*1.13)-'[2]Costeo SAP'!I17</f>
        <v>28734667.499999996</v>
      </c>
      <c r="R119" s="270">
        <f>17500000-1500000</f>
        <v>16000000</v>
      </c>
      <c r="S119" s="101"/>
      <c r="T119" s="105">
        <v>0</v>
      </c>
      <c r="U119" s="101">
        <v>0</v>
      </c>
      <c r="V119" s="104">
        <f>185000000+10535693+1316962</f>
        <v>196852655</v>
      </c>
      <c r="W119" s="101">
        <v>0</v>
      </c>
      <c r="X119" s="101">
        <v>0</v>
      </c>
      <c r="Y119" s="101">
        <v>0</v>
      </c>
      <c r="Z119" s="133">
        <f>SUM(AA119:AE119)</f>
        <v>0</v>
      </c>
      <c r="AA119" s="101">
        <v>0</v>
      </c>
      <c r="AB119" s="101">
        <v>0</v>
      </c>
      <c r="AC119" s="101">
        <v>0</v>
      </c>
      <c r="AD119" s="101">
        <v>0</v>
      </c>
      <c r="AE119" s="244">
        <v>0</v>
      </c>
      <c r="AF119" s="248">
        <f>SUM(AG119:AJ119)</f>
        <v>10346613</v>
      </c>
      <c r="AG119" s="101">
        <v>0</v>
      </c>
      <c r="AH119" s="147">
        <f>+'[7]RESUMEN 2021'!$E$12+9055563</f>
        <v>9346613</v>
      </c>
      <c r="AI119" s="101">
        <f>+[8]UMF!$D$103+500000</f>
        <v>1000000</v>
      </c>
      <c r="AJ119" s="103">
        <v>0</v>
      </c>
      <c r="AK119" s="138">
        <f>SUM(AL119+AM119)</f>
        <v>483033870</v>
      </c>
      <c r="AL119" s="110">
        <f>480000000+'[2]Costeo SAP'!I17</f>
        <v>483033870</v>
      </c>
      <c r="AM119" s="138">
        <f>SUM(AN119:AP119)</f>
        <v>0</v>
      </c>
      <c r="AN119" s="105">
        <v>0</v>
      </c>
      <c r="AO119" s="101">
        <v>0</v>
      </c>
      <c r="AP119" s="111">
        <v>0</v>
      </c>
      <c r="AQ119" s="66">
        <f t="shared" si="35"/>
        <v>734967805.5</v>
      </c>
      <c r="AR119" s="43">
        <f t="shared" si="36"/>
        <v>0</v>
      </c>
    </row>
    <row r="120" spans="1:46" x14ac:dyDescent="0.25">
      <c r="A120" s="222" t="s">
        <v>208</v>
      </c>
      <c r="B120" s="124" t="s">
        <v>209</v>
      </c>
      <c r="C120" s="228">
        <f>+E120+Z120+AF120+AK120</f>
        <v>0</v>
      </c>
      <c r="D120" s="126">
        <f>SUM(F120+G120+H120+I120+J120+K120+L120+M120+N120+O120+P120+Q120+R120+S120+T120+U120+V120+W120+X120+Y120+AA120+AB120+AC120+AD120+AE120+AG120+AH120+AI120+AJ120+AL120+AN120+AO120+AP120)</f>
        <v>0</v>
      </c>
      <c r="E120" s="127">
        <f>SUM(F120:Y120)</f>
        <v>0</v>
      </c>
      <c r="F120" s="128"/>
      <c r="G120" s="129"/>
      <c r="H120" s="129"/>
      <c r="I120" s="129"/>
      <c r="J120" s="129"/>
      <c r="K120" s="101"/>
      <c r="L120" s="129"/>
      <c r="M120" s="129"/>
      <c r="N120" s="129"/>
      <c r="O120" s="129"/>
      <c r="P120" s="101"/>
      <c r="Q120" s="243">
        <f>2000000-2000000</f>
        <v>0</v>
      </c>
      <c r="R120" s="103"/>
      <c r="S120" s="101"/>
      <c r="T120" s="105">
        <v>0</v>
      </c>
      <c r="U120" s="101">
        <v>0</v>
      </c>
      <c r="V120" s="101">
        <v>0</v>
      </c>
      <c r="W120" s="101">
        <v>0</v>
      </c>
      <c r="X120" s="101">
        <v>0</v>
      </c>
      <c r="Y120" s="101">
        <v>0</v>
      </c>
      <c r="Z120" s="133">
        <f>SUM(AA120:AE120)</f>
        <v>0</v>
      </c>
      <c r="AA120" s="101">
        <v>0</v>
      </c>
      <c r="AB120" s="101">
        <v>0</v>
      </c>
      <c r="AC120" s="101">
        <v>0</v>
      </c>
      <c r="AD120" s="101">
        <v>0</v>
      </c>
      <c r="AE120" s="244">
        <v>0</v>
      </c>
      <c r="AF120" s="248">
        <f>SUM(AG120:AJ120)</f>
        <v>0</v>
      </c>
      <c r="AG120" s="101">
        <v>0</v>
      </c>
      <c r="AH120" s="101">
        <v>0</v>
      </c>
      <c r="AI120" s="101">
        <v>0</v>
      </c>
      <c r="AJ120" s="103">
        <v>0</v>
      </c>
      <c r="AK120" s="138">
        <f>SUM(AL120+AM120)</f>
        <v>0</v>
      </c>
      <c r="AL120" s="110">
        <v>0</v>
      </c>
      <c r="AM120" s="138"/>
      <c r="AN120" s="105">
        <v>0</v>
      </c>
      <c r="AO120" s="101">
        <v>0</v>
      </c>
      <c r="AP120" s="111"/>
      <c r="AQ120" s="66">
        <f t="shared" si="35"/>
        <v>0</v>
      </c>
      <c r="AR120" s="43">
        <f t="shared" si="36"/>
        <v>0</v>
      </c>
    </row>
    <row r="121" spans="1:46" x14ac:dyDescent="0.25">
      <c r="A121" s="222" t="s">
        <v>210</v>
      </c>
      <c r="B121" s="124" t="s">
        <v>211</v>
      </c>
      <c r="C121" s="228">
        <f>+E121+Z121+AF121+AK121</f>
        <v>1500000</v>
      </c>
      <c r="D121" s="126">
        <f>SUM(F121+G121+H121+I121+J121+K121+L121+M121+N121+O121+P121+Q121+R121+S121+T121+U121+V121+W121+X121+Y121+AA121+AB121+AC121+AD121+AE121+AG121+AH121+AI121+AJ121+AL121+AN121+AO121+AP121)</f>
        <v>1500000</v>
      </c>
      <c r="E121" s="127">
        <f>SUM(F121:Y121)</f>
        <v>1500000</v>
      </c>
      <c r="F121" s="128"/>
      <c r="G121" s="129"/>
      <c r="H121" s="129"/>
      <c r="I121" s="129"/>
      <c r="J121" s="129"/>
      <c r="K121" s="101"/>
      <c r="L121" s="129"/>
      <c r="M121" s="129"/>
      <c r="N121" s="129"/>
      <c r="O121" s="129"/>
      <c r="P121" s="101"/>
      <c r="Q121" s="243">
        <v>1500000</v>
      </c>
      <c r="R121" s="103"/>
      <c r="S121" s="101"/>
      <c r="T121" s="105"/>
      <c r="U121" s="101"/>
      <c r="V121" s="101"/>
      <c r="W121" s="101"/>
      <c r="X121" s="101"/>
      <c r="Y121" s="101"/>
      <c r="Z121" s="133">
        <f>SUM(AA121:AE121)</f>
        <v>0</v>
      </c>
      <c r="AA121" s="101"/>
      <c r="AB121" s="101"/>
      <c r="AC121" s="101"/>
      <c r="AD121" s="101"/>
      <c r="AE121" s="244"/>
      <c r="AF121" s="248">
        <f>SUM(AG121:AJ121)</f>
        <v>0</v>
      </c>
      <c r="AG121" s="101"/>
      <c r="AH121" s="101"/>
      <c r="AI121" s="101"/>
      <c r="AJ121" s="103"/>
      <c r="AK121" s="138">
        <f>SUM(AL121+AM121)</f>
        <v>0</v>
      </c>
      <c r="AL121" s="110"/>
      <c r="AM121" s="138">
        <f>SUM(AN121:AP121)</f>
        <v>0</v>
      </c>
      <c r="AN121" s="105"/>
      <c r="AO121" s="101"/>
      <c r="AP121" s="111"/>
      <c r="AQ121" s="66">
        <f t="shared" si="35"/>
        <v>1500000</v>
      </c>
      <c r="AR121" s="43">
        <f t="shared" si="36"/>
        <v>0</v>
      </c>
    </row>
    <row r="122" spans="1:46" x14ac:dyDescent="0.25">
      <c r="A122" s="222"/>
      <c r="B122" s="124"/>
      <c r="C122" s="228"/>
      <c r="D122" s="229"/>
      <c r="E122" s="93"/>
      <c r="F122" s="128"/>
      <c r="G122" s="129"/>
      <c r="H122" s="129"/>
      <c r="I122" s="129"/>
      <c r="J122" s="129"/>
      <c r="K122" s="101"/>
      <c r="L122" s="129"/>
      <c r="M122" s="129"/>
      <c r="N122" s="129"/>
      <c r="O122" s="129"/>
      <c r="P122" s="101"/>
      <c r="Q122" s="101"/>
      <c r="R122" s="103"/>
      <c r="S122" s="101"/>
      <c r="T122" s="105"/>
      <c r="U122" s="101"/>
      <c r="V122" s="101"/>
      <c r="W122" s="101"/>
      <c r="X122" s="101"/>
      <c r="Y122" s="101"/>
      <c r="Z122" s="253"/>
      <c r="AA122" s="101"/>
      <c r="AB122" s="101"/>
      <c r="AC122" s="101"/>
      <c r="AD122" s="101"/>
      <c r="AE122" s="244"/>
      <c r="AF122" s="225" t="s">
        <v>0</v>
      </c>
      <c r="AG122" s="101"/>
      <c r="AH122" s="101"/>
      <c r="AI122" s="101"/>
      <c r="AJ122" s="103"/>
      <c r="AK122" s="164"/>
      <c r="AL122" s="110"/>
      <c r="AM122" s="249"/>
      <c r="AN122" s="105"/>
      <c r="AO122" s="101"/>
      <c r="AP122" s="111"/>
      <c r="AQ122" s="66">
        <f t="shared" si="35"/>
        <v>0</v>
      </c>
      <c r="AR122" s="43">
        <f t="shared" si="36"/>
        <v>0</v>
      </c>
    </row>
    <row r="123" spans="1:46" ht="13.8" thickBot="1" x14ac:dyDescent="0.3">
      <c r="A123" s="250" t="s">
        <v>212</v>
      </c>
      <c r="B123" s="154" t="s">
        <v>213</v>
      </c>
      <c r="C123" s="239">
        <f>SUM(C124:C125)</f>
        <v>19170000</v>
      </c>
      <c r="D123" s="240">
        <f>SUM(D124:D125)</f>
        <v>19170000</v>
      </c>
      <c r="E123" s="93">
        <f>SUM(E124:E125)</f>
        <v>11120000</v>
      </c>
      <c r="F123" s="203">
        <f t="shared" ref="F123:AN123" si="54">SUM(F124:F125)</f>
        <v>0</v>
      </c>
      <c r="G123" s="204">
        <f t="shared" si="54"/>
        <v>0</v>
      </c>
      <c r="H123" s="204">
        <f t="shared" si="54"/>
        <v>2000000</v>
      </c>
      <c r="I123" s="204">
        <f t="shared" si="54"/>
        <v>0</v>
      </c>
      <c r="J123" s="204">
        <f t="shared" si="54"/>
        <v>2120000</v>
      </c>
      <c r="K123" s="204">
        <f t="shared" si="54"/>
        <v>0</v>
      </c>
      <c r="L123" s="204">
        <f t="shared" si="54"/>
        <v>0</v>
      </c>
      <c r="M123" s="204">
        <f t="shared" si="54"/>
        <v>0</v>
      </c>
      <c r="N123" s="204">
        <f t="shared" si="54"/>
        <v>0</v>
      </c>
      <c r="O123" s="204">
        <f t="shared" si="54"/>
        <v>0</v>
      </c>
      <c r="P123" s="204">
        <f t="shared" si="54"/>
        <v>0</v>
      </c>
      <c r="Q123" s="204">
        <f t="shared" si="54"/>
        <v>1000000</v>
      </c>
      <c r="R123" s="205">
        <f t="shared" si="54"/>
        <v>5000000</v>
      </c>
      <c r="S123" s="204">
        <f t="shared" si="54"/>
        <v>0</v>
      </c>
      <c r="T123" s="203">
        <f t="shared" si="54"/>
        <v>0</v>
      </c>
      <c r="U123" s="204">
        <f t="shared" si="54"/>
        <v>0</v>
      </c>
      <c r="V123" s="204">
        <f>SUM(V124:V125)</f>
        <v>0</v>
      </c>
      <c r="W123" s="204">
        <f>SUM(W124:W125)</f>
        <v>0</v>
      </c>
      <c r="X123" s="204">
        <f>SUM(X124:X125)</f>
        <v>500000</v>
      </c>
      <c r="Y123" s="204">
        <f>SUM(Y124:Y125)</f>
        <v>500000</v>
      </c>
      <c r="Z123" s="207">
        <f>SUM(Z124:Z125)</f>
        <v>6050000</v>
      </c>
      <c r="AA123" s="204">
        <f t="shared" si="54"/>
        <v>0</v>
      </c>
      <c r="AB123" s="204">
        <f>SUM(AB124:AB125)</f>
        <v>0</v>
      </c>
      <c r="AC123" s="204">
        <f>SUM(AC124:AC125)</f>
        <v>0</v>
      </c>
      <c r="AD123" s="204">
        <f>SUM(AD124:AD125)</f>
        <v>4950000</v>
      </c>
      <c r="AE123" s="204">
        <f>SUM(AE124:AE125)</f>
        <v>1100000</v>
      </c>
      <c r="AF123" s="225">
        <f t="shared" si="54"/>
        <v>0</v>
      </c>
      <c r="AG123" s="204">
        <f t="shared" si="54"/>
        <v>0</v>
      </c>
      <c r="AH123" s="204">
        <f>SUM(AH124:AH125)</f>
        <v>0</v>
      </c>
      <c r="AI123" s="204">
        <f>SUM(AI124:AI125)</f>
        <v>0</v>
      </c>
      <c r="AJ123" s="205">
        <f>SUM(AJ124:AJ125)</f>
        <v>0</v>
      </c>
      <c r="AK123" s="164">
        <f t="shared" si="54"/>
        <v>2000000</v>
      </c>
      <c r="AL123" s="280">
        <f>SUM(AL124:AL125)</f>
        <v>2000000</v>
      </c>
      <c r="AM123" s="164">
        <f t="shared" si="54"/>
        <v>0</v>
      </c>
      <c r="AN123" s="203">
        <f t="shared" si="54"/>
        <v>0</v>
      </c>
      <c r="AO123" s="204">
        <f>SUM(AO124:AO125)</f>
        <v>0</v>
      </c>
      <c r="AP123" s="281">
        <f>SUM(AP124:AP125)</f>
        <v>0</v>
      </c>
      <c r="AQ123" s="66">
        <f t="shared" si="35"/>
        <v>19170000</v>
      </c>
      <c r="AR123" s="43">
        <f t="shared" si="36"/>
        <v>0</v>
      </c>
    </row>
    <row r="124" spans="1:46" ht="14.4" thickTop="1" thickBot="1" x14ac:dyDescent="0.3">
      <c r="A124" s="222" t="s">
        <v>214</v>
      </c>
      <c r="B124" s="124" t="s">
        <v>215</v>
      </c>
      <c r="C124" s="228">
        <f>+E124+Z124+AF124+AK124</f>
        <v>16370000</v>
      </c>
      <c r="D124" s="126">
        <f>SUM(F124+G124+H124+I124+J124+K124+L124+M124+N124+O124+P124+Q124+R124+S124+T124+U124+V124+W124+X124+Y124+AA124+AB124+AC124+AD124+AE124+AG124+AH124+AI124+AJ124+AL124+AN124+AO124+AP124)</f>
        <v>16370000</v>
      </c>
      <c r="E124" s="127">
        <f>SUM(F124:Y124)</f>
        <v>9620000</v>
      </c>
      <c r="F124" s="128"/>
      <c r="G124" s="129"/>
      <c r="H124" s="245">
        <v>1000000</v>
      </c>
      <c r="I124" s="129"/>
      <c r="J124" s="282">
        <v>2120000</v>
      </c>
      <c r="K124" s="101"/>
      <c r="L124" s="129"/>
      <c r="M124" s="129"/>
      <c r="N124" s="129"/>
      <c r="O124" s="129"/>
      <c r="P124" s="101"/>
      <c r="Q124" s="243">
        <v>1000000</v>
      </c>
      <c r="R124" s="270">
        <f>2000000+3000000</f>
        <v>5000000</v>
      </c>
      <c r="S124" s="283"/>
      <c r="T124" s="105"/>
      <c r="U124" s="101"/>
      <c r="V124" s="101"/>
      <c r="W124" s="101"/>
      <c r="X124" s="245">
        <v>500000</v>
      </c>
      <c r="Y124" s="101"/>
      <c r="Z124" s="133">
        <f>SUM(AA124:AE124)</f>
        <v>5750000</v>
      </c>
      <c r="AA124" s="101"/>
      <c r="AB124" s="101"/>
      <c r="AC124" s="101"/>
      <c r="AD124" s="101">
        <v>4950000</v>
      </c>
      <c r="AE124" s="259">
        <v>800000</v>
      </c>
      <c r="AF124" s="248">
        <f>SUM(AG124:AJ124)</f>
        <v>0</v>
      </c>
      <c r="AG124" s="101"/>
      <c r="AH124" s="101"/>
      <c r="AI124" s="101"/>
      <c r="AJ124" s="103"/>
      <c r="AK124" s="138">
        <f>SUM(AL124+AM124)</f>
        <v>1000000</v>
      </c>
      <c r="AL124" s="176">
        <v>1000000</v>
      </c>
      <c r="AM124" s="138">
        <f>SUM(AN124:AP124)</f>
        <v>0</v>
      </c>
      <c r="AN124" s="105"/>
      <c r="AO124" s="101"/>
      <c r="AP124" s="111"/>
      <c r="AQ124" s="66">
        <f t="shared" si="35"/>
        <v>16370000</v>
      </c>
      <c r="AR124" s="43">
        <f t="shared" si="36"/>
        <v>0</v>
      </c>
    </row>
    <row r="125" spans="1:46" ht="14.4" thickTop="1" thickBot="1" x14ac:dyDescent="0.3">
      <c r="A125" s="222" t="s">
        <v>216</v>
      </c>
      <c r="B125" s="124" t="s">
        <v>217</v>
      </c>
      <c r="C125" s="228">
        <f>+E125+Z125+AF125+AK125</f>
        <v>2800000</v>
      </c>
      <c r="D125" s="126">
        <f>SUM(F125+G125+H125+I125+J125+K125+L125+M125+N125+O125+P125+Q125+R125+S125+T125+U125+V125+W125+X125+Y125+AA125+AB125+AC125+AD125+AE125+AG125+AH125+AI125+AJ125+AL125+AN125+AO125+AP125)</f>
        <v>2800000</v>
      </c>
      <c r="E125" s="127">
        <f>SUM(F125:Y125)</f>
        <v>1500000</v>
      </c>
      <c r="F125" s="128"/>
      <c r="G125" s="129"/>
      <c r="H125" s="245">
        <v>1000000</v>
      </c>
      <c r="I125" s="129">
        <v>0</v>
      </c>
      <c r="J125" s="129"/>
      <c r="K125" s="101"/>
      <c r="L125" s="129"/>
      <c r="M125" s="129"/>
      <c r="N125" s="129"/>
      <c r="O125" s="129"/>
      <c r="P125" s="101"/>
      <c r="Q125" s="101"/>
      <c r="R125" s="103"/>
      <c r="S125" s="283"/>
      <c r="T125" s="105"/>
      <c r="U125" s="101"/>
      <c r="V125" s="101"/>
      <c r="W125" s="101"/>
      <c r="X125" s="101"/>
      <c r="Y125" s="245">
        <v>500000</v>
      </c>
      <c r="Z125" s="133">
        <f>SUM(AA125:AE125)</f>
        <v>300000</v>
      </c>
      <c r="AA125" s="101"/>
      <c r="AB125" s="101"/>
      <c r="AC125" s="101"/>
      <c r="AD125" s="101">
        <f>100000-100000</f>
        <v>0</v>
      </c>
      <c r="AE125" s="259">
        <v>300000</v>
      </c>
      <c r="AF125" s="248">
        <f>SUM(AG125:AJ125)</f>
        <v>0</v>
      </c>
      <c r="AG125" s="101"/>
      <c r="AH125" s="101">
        <f>200000-200000</f>
        <v>0</v>
      </c>
      <c r="AI125" s="101"/>
      <c r="AJ125" s="103"/>
      <c r="AK125" s="138">
        <f>SUM(AL125+AM125)</f>
        <v>1000000</v>
      </c>
      <c r="AL125" s="176">
        <v>1000000</v>
      </c>
      <c r="AM125" s="138">
        <f>SUM(AN125:AP125)</f>
        <v>0</v>
      </c>
      <c r="AN125" s="105"/>
      <c r="AO125" s="101"/>
      <c r="AP125" s="111"/>
      <c r="AQ125" s="66">
        <f t="shared" si="35"/>
        <v>2800000</v>
      </c>
      <c r="AR125" s="43">
        <f t="shared" si="36"/>
        <v>0</v>
      </c>
    </row>
    <row r="126" spans="1:46" ht="14.4" thickTop="1" thickBot="1" x14ac:dyDescent="0.3">
      <c r="A126" s="222"/>
      <c r="B126" s="124"/>
      <c r="C126" s="228"/>
      <c r="D126" s="229"/>
      <c r="E126" s="93"/>
      <c r="F126" s="128"/>
      <c r="G126" s="129"/>
      <c r="H126" s="129"/>
      <c r="I126" s="129"/>
      <c r="J126" s="129"/>
      <c r="K126" s="101"/>
      <c r="L126" s="129"/>
      <c r="M126" s="129"/>
      <c r="N126" s="129"/>
      <c r="O126" s="129"/>
      <c r="P126" s="101"/>
      <c r="Q126" s="101"/>
      <c r="R126" s="103"/>
      <c r="S126" s="284"/>
      <c r="T126" s="105"/>
      <c r="U126" s="101"/>
      <c r="V126" s="101"/>
      <c r="W126" s="101"/>
      <c r="X126" s="101"/>
      <c r="Y126" s="101"/>
      <c r="Z126" s="232"/>
      <c r="AA126" s="101"/>
      <c r="AB126" s="101"/>
      <c r="AC126" s="101"/>
      <c r="AD126" s="101"/>
      <c r="AE126" s="244"/>
      <c r="AF126" s="225"/>
      <c r="AG126" s="101"/>
      <c r="AH126" s="101"/>
      <c r="AI126" s="101"/>
      <c r="AJ126" s="103"/>
      <c r="AK126" s="164"/>
      <c r="AL126" s="110"/>
      <c r="AM126" s="249"/>
      <c r="AN126" s="105"/>
      <c r="AO126" s="101"/>
      <c r="AP126" s="111"/>
      <c r="AQ126" s="66">
        <f t="shared" si="35"/>
        <v>0</v>
      </c>
      <c r="AR126" s="43">
        <f t="shared" si="36"/>
        <v>0</v>
      </c>
    </row>
    <row r="127" spans="1:46" s="47" customFormat="1" ht="14.4" thickTop="1" thickBot="1" x14ac:dyDescent="0.3">
      <c r="A127" s="222"/>
      <c r="B127" s="124"/>
      <c r="C127" s="228"/>
      <c r="D127" s="229"/>
      <c r="E127" s="93"/>
      <c r="F127" s="128"/>
      <c r="G127" s="129"/>
      <c r="H127" s="129"/>
      <c r="I127" s="129"/>
      <c r="J127" s="129"/>
      <c r="K127" s="101"/>
      <c r="L127" s="129"/>
      <c r="M127" s="129"/>
      <c r="N127" s="129"/>
      <c r="O127" s="129"/>
      <c r="P127" s="101"/>
      <c r="Q127" s="101"/>
      <c r="R127" s="103"/>
      <c r="S127" s="283"/>
      <c r="T127" s="105"/>
      <c r="U127" s="101"/>
      <c r="V127" s="101"/>
      <c r="W127" s="101"/>
      <c r="X127" s="101"/>
      <c r="Y127" s="101"/>
      <c r="Z127" s="253"/>
      <c r="AA127" s="101"/>
      <c r="AB127" s="101"/>
      <c r="AC127" s="101"/>
      <c r="AD127" s="101"/>
      <c r="AE127" s="244"/>
      <c r="AF127" s="225" t="s">
        <v>0</v>
      </c>
      <c r="AG127" s="101"/>
      <c r="AH127" s="101"/>
      <c r="AI127" s="101"/>
      <c r="AJ127" s="103"/>
      <c r="AK127" s="164"/>
      <c r="AL127" s="110"/>
      <c r="AM127" s="254"/>
      <c r="AN127" s="105"/>
      <c r="AO127" s="101"/>
      <c r="AP127" s="111"/>
      <c r="AQ127" s="66">
        <f t="shared" si="35"/>
        <v>0</v>
      </c>
      <c r="AR127" s="43">
        <f t="shared" si="36"/>
        <v>0</v>
      </c>
      <c r="AS127" s="46"/>
      <c r="AT127" s="46"/>
    </row>
    <row r="128" spans="1:46" ht="13.8" thickTop="1" x14ac:dyDescent="0.25">
      <c r="A128" s="250" t="s">
        <v>218</v>
      </c>
      <c r="B128" s="154" t="s">
        <v>219</v>
      </c>
      <c r="C128" s="239">
        <f>SUM(C129:C136)</f>
        <v>84989057.5</v>
      </c>
      <c r="D128" s="240">
        <f>SUM(D130:D136)</f>
        <v>84989057.5</v>
      </c>
      <c r="E128" s="93">
        <f>SUM(E130:E136)</f>
        <v>74383645.5</v>
      </c>
      <c r="F128" s="184">
        <f t="shared" ref="F128:P128" si="55">SUM(F129:F136)</f>
        <v>0</v>
      </c>
      <c r="G128" s="185">
        <f t="shared" si="55"/>
        <v>0</v>
      </c>
      <c r="H128" s="185">
        <f t="shared" si="55"/>
        <v>0</v>
      </c>
      <c r="I128" s="185">
        <f t="shared" si="55"/>
        <v>0</v>
      </c>
      <c r="J128" s="185">
        <f t="shared" si="55"/>
        <v>320000</v>
      </c>
      <c r="K128" s="185">
        <f t="shared" si="55"/>
        <v>29824177.5</v>
      </c>
      <c r="L128" s="185">
        <f t="shared" si="55"/>
        <v>0</v>
      </c>
      <c r="M128" s="185">
        <f t="shared" si="55"/>
        <v>0</v>
      </c>
      <c r="N128" s="185">
        <f t="shared" si="55"/>
        <v>0</v>
      </c>
      <c r="O128" s="185">
        <f t="shared" si="55"/>
        <v>0</v>
      </c>
      <c r="P128" s="185">
        <f t="shared" si="55"/>
        <v>0</v>
      </c>
      <c r="Q128" s="185">
        <f>SUM(Q130:Q136)</f>
        <v>43989468</v>
      </c>
      <c r="R128" s="186">
        <f t="shared" ref="R128:Y128" si="56">SUM(R129:R136)</f>
        <v>0</v>
      </c>
      <c r="S128" s="185">
        <f t="shared" si="56"/>
        <v>0</v>
      </c>
      <c r="T128" s="184">
        <f t="shared" si="56"/>
        <v>0</v>
      </c>
      <c r="U128" s="185">
        <f t="shared" si="56"/>
        <v>0</v>
      </c>
      <c r="V128" s="185">
        <f t="shared" si="56"/>
        <v>150000</v>
      </c>
      <c r="W128" s="185">
        <f t="shared" si="56"/>
        <v>0</v>
      </c>
      <c r="X128" s="185">
        <f t="shared" si="56"/>
        <v>100000</v>
      </c>
      <c r="Y128" s="185">
        <f t="shared" si="56"/>
        <v>0</v>
      </c>
      <c r="Z128" s="187">
        <f>SUM(Z130:Z136)</f>
        <v>4050000</v>
      </c>
      <c r="AA128" s="185">
        <f>SUM(AA129:AA136)</f>
        <v>0</v>
      </c>
      <c r="AB128" s="185">
        <f>SUM(AB129:AB136)</f>
        <v>0</v>
      </c>
      <c r="AC128" s="185">
        <f>SUM(AC129:AC136)</f>
        <v>200000</v>
      </c>
      <c r="AD128" s="185">
        <f>SUM(AD129:AD136)</f>
        <v>3750000</v>
      </c>
      <c r="AE128" s="188">
        <f>SUM(AE129:AE136)</f>
        <v>100000</v>
      </c>
      <c r="AF128" s="225">
        <f>SUM(AF130:AF136)</f>
        <v>400000</v>
      </c>
      <c r="AG128" s="185">
        <f>SUM(AG129:AG136)</f>
        <v>0</v>
      </c>
      <c r="AH128" s="185">
        <f>SUM(AH129:AH136)</f>
        <v>0</v>
      </c>
      <c r="AI128" s="185">
        <f>SUM(AI129:AI136)</f>
        <v>0</v>
      </c>
      <c r="AJ128" s="186">
        <f>SUM(AJ129:AJ136)</f>
        <v>400000</v>
      </c>
      <c r="AK128" s="164">
        <f>SUM(AK130:AK136)</f>
        <v>6155412</v>
      </c>
      <c r="AL128" s="191">
        <f>SUM(AL129:AL136)</f>
        <v>6155412</v>
      </c>
      <c r="AM128" s="164">
        <f>SUM(AM130:AM136)</f>
        <v>0</v>
      </c>
      <c r="AN128" s="184">
        <f>SUM(AN129:AN136)</f>
        <v>0</v>
      </c>
      <c r="AO128" s="185">
        <f>SUM(AO129:AO136)</f>
        <v>0</v>
      </c>
      <c r="AP128" s="252">
        <f>SUM(AP129:AP136)</f>
        <v>0</v>
      </c>
      <c r="AQ128" s="66">
        <f t="shared" si="35"/>
        <v>84989057.5</v>
      </c>
      <c r="AR128" s="43">
        <f t="shared" si="36"/>
        <v>0</v>
      </c>
      <c r="AS128" s="44"/>
      <c r="AT128" s="44"/>
    </row>
    <row r="129" spans="1:46" x14ac:dyDescent="0.25">
      <c r="A129" s="250"/>
      <c r="B129" s="154"/>
      <c r="C129" s="228"/>
      <c r="D129" s="229"/>
      <c r="E129" s="93"/>
      <c r="F129" s="184"/>
      <c r="G129" s="185"/>
      <c r="H129" s="185"/>
      <c r="I129" s="185"/>
      <c r="J129" s="185"/>
      <c r="K129" s="231"/>
      <c r="L129" s="185"/>
      <c r="M129" s="185"/>
      <c r="N129" s="185"/>
      <c r="O129" s="185"/>
      <c r="P129" s="231"/>
      <c r="Q129" s="231"/>
      <c r="R129" s="233"/>
      <c r="S129" s="231"/>
      <c r="T129" s="236"/>
      <c r="U129" s="231"/>
      <c r="V129" s="231"/>
      <c r="W129" s="231"/>
      <c r="X129" s="231"/>
      <c r="Y129" s="231"/>
      <c r="Z129" s="232"/>
      <c r="AA129" s="231"/>
      <c r="AB129" s="231"/>
      <c r="AC129" s="231"/>
      <c r="AD129" s="231"/>
      <c r="AE129" s="230"/>
      <c r="AF129" s="225" t="s">
        <v>0</v>
      </c>
      <c r="AG129" s="231"/>
      <c r="AH129" s="231"/>
      <c r="AI129" s="231"/>
      <c r="AJ129" s="233"/>
      <c r="AK129" s="85"/>
      <c r="AL129" s="234"/>
      <c r="AM129" s="254" t="s">
        <v>0</v>
      </c>
      <c r="AN129" s="236"/>
      <c r="AO129" s="231"/>
      <c r="AP129" s="237"/>
      <c r="AQ129" s="66">
        <f t="shared" si="35"/>
        <v>0</v>
      </c>
      <c r="AR129" s="43">
        <f t="shared" si="36"/>
        <v>0</v>
      </c>
      <c r="AS129" s="44"/>
      <c r="AT129" s="44"/>
    </row>
    <row r="130" spans="1:46" x14ac:dyDescent="0.25">
      <c r="A130" s="222" t="s">
        <v>220</v>
      </c>
      <c r="B130" s="124" t="s">
        <v>221</v>
      </c>
      <c r="C130" s="228">
        <f t="shared" ref="C130:C136" si="57">+E130+Z130+AF130+AK130</f>
        <v>18100000</v>
      </c>
      <c r="D130" s="126">
        <f t="shared" ref="D130:D136" si="58">SUM(F130+G130+H130+I130+J130+K130+L130+M130+N130+O130+P130+Q130+R130+S130+T130+U130+V130+W130+X130+Y130+AA130+AB130+AC130+AD130+AE130+AG130+AH130+AI130+AJ130+AL130+AN130+AO130+AP130)</f>
        <v>18100000</v>
      </c>
      <c r="E130" s="127">
        <f t="shared" ref="E130:E136" si="59">SUM(F130:Y130)</f>
        <v>16371465</v>
      </c>
      <c r="F130" s="128"/>
      <c r="G130" s="129"/>
      <c r="H130" s="129"/>
      <c r="I130" s="129"/>
      <c r="J130" s="129"/>
      <c r="K130" s="101"/>
      <c r="L130" s="129">
        <v>0</v>
      </c>
      <c r="M130" s="129">
        <v>0</v>
      </c>
      <c r="N130" s="129"/>
      <c r="O130" s="129"/>
      <c r="P130" s="101"/>
      <c r="Q130" s="243">
        <f>68100000-50000000-'[2]Costeo SAP'!I18</f>
        <v>16371465</v>
      </c>
      <c r="R130" s="103"/>
      <c r="S130" s="101"/>
      <c r="T130" s="105"/>
      <c r="U130" s="101"/>
      <c r="V130" s="101"/>
      <c r="W130" s="101"/>
      <c r="X130" s="101"/>
      <c r="Y130" s="101"/>
      <c r="Z130" s="232">
        <f t="shared" ref="Z130:Z136" si="60">SUM(AA130:AE130)</f>
        <v>0</v>
      </c>
      <c r="AA130" s="101"/>
      <c r="AB130" s="101"/>
      <c r="AC130" s="101"/>
      <c r="AD130" s="101"/>
      <c r="AE130" s="244"/>
      <c r="AF130" s="248">
        <f t="shared" ref="AF130:AF136" si="61">SUM(AG130:AJ130)</f>
        <v>0</v>
      </c>
      <c r="AG130" s="101"/>
      <c r="AH130" s="101"/>
      <c r="AI130" s="101"/>
      <c r="AJ130" s="103"/>
      <c r="AK130" s="138">
        <f t="shared" ref="AK130:AK136" si="62">SUM(AL130+AM130)</f>
        <v>1728535</v>
      </c>
      <c r="AL130" s="110">
        <f>+'[2]Costeo SAP'!I18</f>
        <v>1728535</v>
      </c>
      <c r="AM130" s="138">
        <f t="shared" ref="AM130:AM140" si="63">SUM(AN130:AP130)</f>
        <v>0</v>
      </c>
      <c r="AN130" s="105"/>
      <c r="AO130" s="101"/>
      <c r="AP130" s="111"/>
      <c r="AQ130" s="66">
        <f t="shared" si="35"/>
        <v>18100000</v>
      </c>
      <c r="AR130" s="43">
        <f t="shared" si="36"/>
        <v>0</v>
      </c>
      <c r="AS130" s="44"/>
      <c r="AT130" s="44"/>
    </row>
    <row r="131" spans="1:46" x14ac:dyDescent="0.25">
      <c r="A131" s="222" t="s">
        <v>222</v>
      </c>
      <c r="B131" s="124" t="s">
        <v>223</v>
      </c>
      <c r="C131" s="228">
        <f t="shared" si="57"/>
        <v>2000000</v>
      </c>
      <c r="D131" s="126">
        <f t="shared" si="58"/>
        <v>2000000</v>
      </c>
      <c r="E131" s="127">
        <f t="shared" si="59"/>
        <v>2000000</v>
      </c>
      <c r="F131" s="128"/>
      <c r="G131" s="129"/>
      <c r="H131" s="129"/>
      <c r="I131" s="129"/>
      <c r="J131" s="129"/>
      <c r="K131" s="101"/>
      <c r="L131" s="129"/>
      <c r="M131" s="129"/>
      <c r="N131" s="129"/>
      <c r="O131" s="129"/>
      <c r="P131" s="101"/>
      <c r="Q131" s="243">
        <v>2000000</v>
      </c>
      <c r="R131" s="103"/>
      <c r="S131" s="101"/>
      <c r="T131" s="105"/>
      <c r="U131" s="101"/>
      <c r="V131" s="101"/>
      <c r="W131" s="101"/>
      <c r="X131" s="101"/>
      <c r="Y131" s="101"/>
      <c r="Z131" s="133">
        <f t="shared" si="60"/>
        <v>0</v>
      </c>
      <c r="AA131" s="101"/>
      <c r="AB131" s="101"/>
      <c r="AC131" s="101"/>
      <c r="AD131" s="101"/>
      <c r="AE131" s="244"/>
      <c r="AF131" s="248">
        <f t="shared" si="61"/>
        <v>0</v>
      </c>
      <c r="AG131" s="101"/>
      <c r="AH131" s="101"/>
      <c r="AI131" s="101"/>
      <c r="AJ131" s="103"/>
      <c r="AK131" s="138">
        <f t="shared" si="62"/>
        <v>0</v>
      </c>
      <c r="AL131" s="110"/>
      <c r="AM131" s="138">
        <f t="shared" si="63"/>
        <v>0</v>
      </c>
      <c r="AN131" s="105"/>
      <c r="AO131" s="101"/>
      <c r="AP131" s="111"/>
      <c r="AQ131" s="66">
        <f t="shared" si="35"/>
        <v>2000000</v>
      </c>
      <c r="AR131" s="43">
        <f t="shared" si="36"/>
        <v>0</v>
      </c>
      <c r="AS131" s="44"/>
      <c r="AT131" s="44"/>
    </row>
    <row r="132" spans="1:46" x14ac:dyDescent="0.25">
      <c r="A132" s="222" t="s">
        <v>224</v>
      </c>
      <c r="B132" s="124" t="s">
        <v>225</v>
      </c>
      <c r="C132" s="228">
        <f t="shared" si="57"/>
        <v>12000000</v>
      </c>
      <c r="D132" s="126">
        <f t="shared" si="58"/>
        <v>12000000</v>
      </c>
      <c r="E132" s="127">
        <f t="shared" si="59"/>
        <v>12000000</v>
      </c>
      <c r="F132" s="128"/>
      <c r="G132" s="129"/>
      <c r="H132" s="129"/>
      <c r="I132" s="129"/>
      <c r="J132" s="129">
        <v>0</v>
      </c>
      <c r="K132" s="101"/>
      <c r="L132" s="129">
        <v>0</v>
      </c>
      <c r="M132" s="129"/>
      <c r="N132" s="129"/>
      <c r="O132" s="129"/>
      <c r="P132" s="101"/>
      <c r="Q132" s="243">
        <v>12000000</v>
      </c>
      <c r="R132" s="103"/>
      <c r="S132" s="101"/>
      <c r="T132" s="105"/>
      <c r="U132" s="101"/>
      <c r="V132" s="101"/>
      <c r="W132" s="101"/>
      <c r="X132" s="101"/>
      <c r="Y132" s="101"/>
      <c r="Z132" s="133">
        <f t="shared" si="60"/>
        <v>0</v>
      </c>
      <c r="AA132" s="101"/>
      <c r="AB132" s="101"/>
      <c r="AC132" s="101"/>
      <c r="AD132" s="101"/>
      <c r="AE132" s="244"/>
      <c r="AF132" s="248">
        <f t="shared" si="61"/>
        <v>0</v>
      </c>
      <c r="AG132" s="101"/>
      <c r="AH132" s="101"/>
      <c r="AI132" s="101"/>
      <c r="AJ132" s="103"/>
      <c r="AK132" s="138">
        <f t="shared" si="62"/>
        <v>0</v>
      </c>
      <c r="AL132" s="110"/>
      <c r="AM132" s="138">
        <f t="shared" si="63"/>
        <v>0</v>
      </c>
      <c r="AN132" s="105"/>
      <c r="AO132" s="101"/>
      <c r="AP132" s="111"/>
      <c r="AQ132" s="66">
        <f t="shared" si="35"/>
        <v>12000000</v>
      </c>
      <c r="AR132" s="43">
        <f t="shared" si="36"/>
        <v>0</v>
      </c>
      <c r="AS132" s="44"/>
      <c r="AT132" s="44"/>
    </row>
    <row r="133" spans="1:46" ht="13.8" thickBot="1" x14ac:dyDescent="0.3">
      <c r="A133" s="222" t="s">
        <v>226</v>
      </c>
      <c r="B133" s="124" t="s">
        <v>227</v>
      </c>
      <c r="C133" s="228">
        <f t="shared" si="57"/>
        <v>5905742</v>
      </c>
      <c r="D133" s="126">
        <f t="shared" si="58"/>
        <v>5905742</v>
      </c>
      <c r="E133" s="127">
        <f t="shared" si="59"/>
        <v>5000000</v>
      </c>
      <c r="F133" s="128"/>
      <c r="G133" s="129"/>
      <c r="H133" s="129"/>
      <c r="I133" s="129"/>
      <c r="J133" s="129"/>
      <c r="K133" s="101"/>
      <c r="L133" s="129"/>
      <c r="M133" s="129"/>
      <c r="N133" s="129"/>
      <c r="O133" s="129"/>
      <c r="P133" s="101"/>
      <c r="Q133" s="243">
        <v>5000000</v>
      </c>
      <c r="R133" s="103"/>
      <c r="S133" s="101"/>
      <c r="T133" s="105"/>
      <c r="U133" s="101"/>
      <c r="V133" s="101"/>
      <c r="W133" s="101"/>
      <c r="X133" s="101"/>
      <c r="Y133" s="101"/>
      <c r="Z133" s="133">
        <f t="shared" si="60"/>
        <v>0</v>
      </c>
      <c r="AA133" s="101"/>
      <c r="AB133" s="101"/>
      <c r="AC133" s="101"/>
      <c r="AD133" s="101"/>
      <c r="AE133" s="244"/>
      <c r="AF133" s="248">
        <f t="shared" si="61"/>
        <v>200000</v>
      </c>
      <c r="AG133" s="101"/>
      <c r="AH133" s="101"/>
      <c r="AI133" s="101"/>
      <c r="AJ133" s="261">
        <v>200000</v>
      </c>
      <c r="AK133" s="138">
        <f t="shared" si="62"/>
        <v>705742</v>
      </c>
      <c r="AL133" s="110">
        <f>+'[2]Costeo SAP'!I19</f>
        <v>705742</v>
      </c>
      <c r="AM133" s="138">
        <f t="shared" si="63"/>
        <v>0</v>
      </c>
      <c r="AN133" s="105"/>
      <c r="AO133" s="101"/>
      <c r="AP133" s="111"/>
      <c r="AQ133" s="66">
        <f t="shared" si="35"/>
        <v>5905742</v>
      </c>
      <c r="AR133" s="43">
        <f t="shared" si="36"/>
        <v>0</v>
      </c>
      <c r="AS133" s="44"/>
      <c r="AT133" s="44"/>
    </row>
    <row r="134" spans="1:46" ht="14.4" thickTop="1" thickBot="1" x14ac:dyDescent="0.3">
      <c r="A134" s="222" t="s">
        <v>228</v>
      </c>
      <c r="B134" s="124" t="s">
        <v>229</v>
      </c>
      <c r="C134" s="228">
        <f>SUM(E134+Z134+AF134+AK134)</f>
        <v>8290028</v>
      </c>
      <c r="D134" s="126">
        <f t="shared" si="58"/>
        <v>8290028</v>
      </c>
      <c r="E134" s="127">
        <f>SUM(F134:Y134)</f>
        <v>6784286</v>
      </c>
      <c r="F134" s="128"/>
      <c r="G134" s="129"/>
      <c r="H134" s="129"/>
      <c r="I134" s="129"/>
      <c r="J134" s="129"/>
      <c r="K134" s="176">
        <f>3390028-323745</f>
        <v>3066283</v>
      </c>
      <c r="L134" s="129"/>
      <c r="M134" s="129"/>
      <c r="N134" s="129"/>
      <c r="O134" s="129"/>
      <c r="P134" s="101"/>
      <c r="Q134" s="243">
        <f>4000000-381997</f>
        <v>3618003</v>
      </c>
      <c r="R134" s="103"/>
      <c r="S134" s="283"/>
      <c r="T134" s="105"/>
      <c r="U134" s="101"/>
      <c r="V134" s="101"/>
      <c r="W134" s="101"/>
      <c r="X134" s="245">
        <v>100000</v>
      </c>
      <c r="Y134" s="101"/>
      <c r="Z134" s="133">
        <f>SUM(AA134:AE134)</f>
        <v>800000</v>
      </c>
      <c r="AA134" s="101"/>
      <c r="AB134" s="276">
        <f>1000000-1000000</f>
        <v>0</v>
      </c>
      <c r="AC134" s="257">
        <f>100000-100000</f>
        <v>0</v>
      </c>
      <c r="AD134" s="245">
        <v>750000</v>
      </c>
      <c r="AE134" s="259">
        <v>50000</v>
      </c>
      <c r="AF134" s="248">
        <f t="shared" si="61"/>
        <v>0</v>
      </c>
      <c r="AG134" s="101"/>
      <c r="AH134" s="101"/>
      <c r="AI134" s="101"/>
      <c r="AJ134" s="103"/>
      <c r="AK134" s="138">
        <f t="shared" si="62"/>
        <v>705742</v>
      </c>
      <c r="AL134" s="176">
        <f>323745+381997</f>
        <v>705742</v>
      </c>
      <c r="AM134" s="138">
        <f t="shared" si="63"/>
        <v>0</v>
      </c>
      <c r="AN134" s="105"/>
      <c r="AO134" s="101"/>
      <c r="AP134" s="111"/>
      <c r="AQ134" s="66">
        <f t="shared" si="35"/>
        <v>8290028</v>
      </c>
      <c r="AR134" s="43">
        <f t="shared" si="36"/>
        <v>0</v>
      </c>
      <c r="AS134" s="44"/>
      <c r="AT134" s="44"/>
    </row>
    <row r="135" spans="1:46" ht="14.4" thickTop="1" thickBot="1" x14ac:dyDescent="0.3">
      <c r="A135" s="222" t="s">
        <v>230</v>
      </c>
      <c r="B135" s="124" t="s">
        <v>231</v>
      </c>
      <c r="C135" s="228">
        <f t="shared" si="57"/>
        <v>32558287.5</v>
      </c>
      <c r="D135" s="126">
        <f t="shared" si="58"/>
        <v>32558287.5</v>
      </c>
      <c r="E135" s="127">
        <f t="shared" si="59"/>
        <v>28292894.5</v>
      </c>
      <c r="F135" s="128"/>
      <c r="G135" s="129"/>
      <c r="H135" s="129"/>
      <c r="I135" s="129"/>
      <c r="J135" s="129"/>
      <c r="K135" s="176">
        <f>28958287.8-'[2]Costeo SAP'!I20-0.3</f>
        <v>26192894.5</v>
      </c>
      <c r="L135" s="129"/>
      <c r="M135" s="129"/>
      <c r="N135" s="129"/>
      <c r="O135" s="129"/>
      <c r="P135" s="101"/>
      <c r="Q135" s="243">
        <v>2000000</v>
      </c>
      <c r="R135" s="103"/>
      <c r="S135" s="283"/>
      <c r="T135" s="105"/>
      <c r="U135" s="101"/>
      <c r="V135" s="104">
        <v>100000</v>
      </c>
      <c r="W135" s="101"/>
      <c r="X135" s="101"/>
      <c r="Y135" s="101"/>
      <c r="Z135" s="133">
        <f t="shared" si="60"/>
        <v>1250000</v>
      </c>
      <c r="AA135" s="101"/>
      <c r="AB135" s="101"/>
      <c r="AC135" s="285">
        <v>200000</v>
      </c>
      <c r="AD135" s="245">
        <f>1500000-500000</f>
        <v>1000000</v>
      </c>
      <c r="AE135" s="259">
        <v>50000</v>
      </c>
      <c r="AF135" s="248">
        <f t="shared" si="61"/>
        <v>0</v>
      </c>
      <c r="AG135" s="101"/>
      <c r="AH135" s="101"/>
      <c r="AI135" s="101"/>
      <c r="AJ135" s="103"/>
      <c r="AK135" s="138">
        <f t="shared" si="62"/>
        <v>3015393</v>
      </c>
      <c r="AL135" s="176">
        <f>250000+'[2]Costeo SAP'!I20</f>
        <v>3015393</v>
      </c>
      <c r="AM135" s="138">
        <f t="shared" si="63"/>
        <v>0</v>
      </c>
      <c r="AN135" s="105"/>
      <c r="AO135" s="101"/>
      <c r="AP135" s="111"/>
      <c r="AQ135" s="66">
        <f t="shared" si="35"/>
        <v>32558287.5</v>
      </c>
      <c r="AR135" s="43">
        <f t="shared" si="36"/>
        <v>0</v>
      </c>
      <c r="AS135" s="44"/>
      <c r="AT135" s="44"/>
    </row>
    <row r="136" spans="1:46" ht="13.8" thickTop="1" x14ac:dyDescent="0.25">
      <c r="A136" s="222" t="s">
        <v>232</v>
      </c>
      <c r="B136" s="124" t="s">
        <v>233</v>
      </c>
      <c r="C136" s="228">
        <f t="shared" si="57"/>
        <v>6135000</v>
      </c>
      <c r="D136" s="126">
        <f t="shared" si="58"/>
        <v>6135000</v>
      </c>
      <c r="E136" s="127">
        <f t="shared" si="59"/>
        <v>3935000</v>
      </c>
      <c r="F136" s="128"/>
      <c r="G136" s="129"/>
      <c r="H136" s="129"/>
      <c r="I136" s="129"/>
      <c r="J136" s="282">
        <v>320000</v>
      </c>
      <c r="K136" s="176">
        <f>500000*1.13</f>
        <v>565000</v>
      </c>
      <c r="L136" s="129"/>
      <c r="M136" s="129"/>
      <c r="N136" s="129"/>
      <c r="O136" s="129"/>
      <c r="P136" s="101"/>
      <c r="Q136" s="243">
        <v>3000000</v>
      </c>
      <c r="R136" s="103"/>
      <c r="S136" s="101"/>
      <c r="T136" s="105"/>
      <c r="U136" s="101"/>
      <c r="V136" s="104">
        <v>50000</v>
      </c>
      <c r="W136" s="101"/>
      <c r="X136" s="101"/>
      <c r="Y136" s="101"/>
      <c r="Z136" s="133">
        <f t="shared" si="60"/>
        <v>2000000</v>
      </c>
      <c r="AA136" s="101"/>
      <c r="AB136" s="101"/>
      <c r="AC136" s="101"/>
      <c r="AD136" s="245">
        <v>2000000</v>
      </c>
      <c r="AE136" s="244"/>
      <c r="AF136" s="248">
        <f t="shared" si="61"/>
        <v>200000</v>
      </c>
      <c r="AG136" s="101"/>
      <c r="AH136" s="101"/>
      <c r="AI136" s="101"/>
      <c r="AJ136" s="286">
        <f>400000-200000</f>
        <v>200000</v>
      </c>
      <c r="AK136" s="138">
        <f t="shared" si="62"/>
        <v>0</v>
      </c>
      <c r="AL136" s="110"/>
      <c r="AM136" s="138">
        <f t="shared" si="63"/>
        <v>0</v>
      </c>
      <c r="AN136" s="105"/>
      <c r="AO136" s="101"/>
      <c r="AP136" s="111"/>
      <c r="AQ136" s="66">
        <f t="shared" ref="AQ136:AQ199" si="64">+F136+G136+H136+I136+J136+K136+L136+M136+N136+O136+P136+Q136+R136+S136+T136+U136+V136+W136+X136+Y136+AA136+AB136+AC136+AD136+AE136+AG136+AH136+AI136+AJ136+AL136+AN136+AO136+AP136</f>
        <v>6135000</v>
      </c>
      <c r="AR136" s="43">
        <f t="shared" ref="AR136:AR199" si="65">+C136-AQ136</f>
        <v>0</v>
      </c>
      <c r="AS136" s="44"/>
      <c r="AT136" s="44"/>
    </row>
    <row r="137" spans="1:46" x14ac:dyDescent="0.25">
      <c r="A137" s="222"/>
      <c r="B137" s="124"/>
      <c r="C137" s="228"/>
      <c r="D137" s="229"/>
      <c r="E137" s="127"/>
      <c r="F137" s="128"/>
      <c r="G137" s="129"/>
      <c r="H137" s="129"/>
      <c r="I137" s="129"/>
      <c r="J137" s="129"/>
      <c r="K137" s="101"/>
      <c r="L137" s="129"/>
      <c r="M137" s="129"/>
      <c r="N137" s="129"/>
      <c r="O137" s="129"/>
      <c r="P137" s="101"/>
      <c r="Q137" s="101"/>
      <c r="R137" s="101"/>
      <c r="S137" s="101"/>
      <c r="T137" s="101"/>
      <c r="U137" s="101"/>
      <c r="V137" s="101"/>
      <c r="W137" s="101"/>
      <c r="X137" s="101"/>
      <c r="Y137" s="101"/>
      <c r="Z137" s="179"/>
      <c r="AA137" s="101"/>
      <c r="AB137" s="101"/>
      <c r="AC137" s="101"/>
      <c r="AD137" s="101"/>
      <c r="AE137" s="244"/>
      <c r="AF137" s="248" t="s">
        <v>0</v>
      </c>
      <c r="AG137" s="101"/>
      <c r="AH137" s="101"/>
      <c r="AI137" s="101"/>
      <c r="AJ137" s="103"/>
      <c r="AK137" s="96"/>
      <c r="AL137" s="110"/>
      <c r="AM137" s="138">
        <f t="shared" si="63"/>
        <v>0</v>
      </c>
      <c r="AN137" s="105"/>
      <c r="AO137" s="101"/>
      <c r="AP137" s="111"/>
      <c r="AQ137" s="66">
        <f t="shared" si="64"/>
        <v>0</v>
      </c>
      <c r="AR137" s="43">
        <f t="shared" si="65"/>
        <v>0</v>
      </c>
      <c r="AS137" s="44"/>
      <c r="AT137" s="44"/>
    </row>
    <row r="138" spans="1:46" x14ac:dyDescent="0.25">
      <c r="A138" s="250" t="s">
        <v>234</v>
      </c>
      <c r="B138" s="154" t="s">
        <v>235</v>
      </c>
      <c r="C138" s="239">
        <f>SUM(C139:C140)</f>
        <v>11112499</v>
      </c>
      <c r="D138" s="287">
        <f>SUM(D139:D140)</f>
        <v>11112499</v>
      </c>
      <c r="E138" s="93">
        <f>SUM(E140)</f>
        <v>6500000</v>
      </c>
      <c r="F138" s="231">
        <f t="shared" ref="F138:N138" si="66">SUM(F140)</f>
        <v>0</v>
      </c>
      <c r="G138" s="231">
        <f t="shared" si="66"/>
        <v>0</v>
      </c>
      <c r="H138" s="231">
        <f t="shared" si="66"/>
        <v>0</v>
      </c>
      <c r="I138" s="231">
        <f t="shared" si="66"/>
        <v>0</v>
      </c>
      <c r="J138" s="231">
        <f t="shared" si="66"/>
        <v>0</v>
      </c>
      <c r="K138" s="231">
        <f t="shared" si="66"/>
        <v>0</v>
      </c>
      <c r="L138" s="231">
        <f t="shared" si="66"/>
        <v>0</v>
      </c>
      <c r="M138" s="231">
        <f t="shared" si="66"/>
        <v>0</v>
      </c>
      <c r="N138" s="231">
        <f t="shared" si="66"/>
        <v>0</v>
      </c>
      <c r="O138" s="231">
        <f>SUM(O140)</f>
        <v>0</v>
      </c>
      <c r="P138" s="231">
        <f>SUM(P140)</f>
        <v>0</v>
      </c>
      <c r="Q138" s="231">
        <f>SUM(Q140)</f>
        <v>6500000</v>
      </c>
      <c r="R138" s="231">
        <f t="shared" ref="R138:AP138" si="67">SUM(R140)</f>
        <v>0</v>
      </c>
      <c r="S138" s="231">
        <f t="shared" si="67"/>
        <v>0</v>
      </c>
      <c r="T138" s="231">
        <f t="shared" si="67"/>
        <v>0</v>
      </c>
      <c r="U138" s="231">
        <f t="shared" si="67"/>
        <v>0</v>
      </c>
      <c r="V138" s="231">
        <f t="shared" si="67"/>
        <v>0</v>
      </c>
      <c r="W138" s="231">
        <f t="shared" si="67"/>
        <v>0</v>
      </c>
      <c r="X138" s="231">
        <f t="shared" si="67"/>
        <v>0</v>
      </c>
      <c r="Y138" s="231">
        <f t="shared" si="67"/>
        <v>0</v>
      </c>
      <c r="Z138" s="263">
        <f>SUM(Z140)</f>
        <v>0</v>
      </c>
      <c r="AA138" s="231">
        <f t="shared" si="67"/>
        <v>0</v>
      </c>
      <c r="AB138" s="231">
        <f t="shared" si="67"/>
        <v>0</v>
      </c>
      <c r="AC138" s="231">
        <f t="shared" si="67"/>
        <v>0</v>
      </c>
      <c r="AD138" s="231">
        <f t="shared" si="67"/>
        <v>0</v>
      </c>
      <c r="AE138" s="230">
        <f t="shared" si="67"/>
        <v>0</v>
      </c>
      <c r="AF138" s="109">
        <f>SUM(AF139:AF140)</f>
        <v>4612499</v>
      </c>
      <c r="AG138" s="231">
        <f t="shared" si="67"/>
        <v>0</v>
      </c>
      <c r="AH138" s="231">
        <f t="shared" si="67"/>
        <v>0</v>
      </c>
      <c r="AI138" s="231">
        <f t="shared" si="67"/>
        <v>0</v>
      </c>
      <c r="AJ138" s="233">
        <f>SUM(AJ139:AJ140)</f>
        <v>4612499</v>
      </c>
      <c r="AK138" s="164">
        <f>SUM(AK140:AK140)</f>
        <v>0</v>
      </c>
      <c r="AL138" s="234">
        <f t="shared" si="67"/>
        <v>0</v>
      </c>
      <c r="AM138" s="164">
        <f>SUM(AM140:AM140)</f>
        <v>0</v>
      </c>
      <c r="AN138" s="236">
        <f t="shared" si="67"/>
        <v>0</v>
      </c>
      <c r="AO138" s="231">
        <f t="shared" si="67"/>
        <v>0</v>
      </c>
      <c r="AP138" s="237">
        <f t="shared" si="67"/>
        <v>0</v>
      </c>
      <c r="AQ138" s="66">
        <f t="shared" si="64"/>
        <v>11112499</v>
      </c>
      <c r="AR138" s="43">
        <f t="shared" si="65"/>
        <v>0</v>
      </c>
      <c r="AS138" s="44"/>
      <c r="AT138" s="44"/>
    </row>
    <row r="139" spans="1:46" x14ac:dyDescent="0.25">
      <c r="A139" s="222" t="s">
        <v>236</v>
      </c>
      <c r="B139" s="124" t="s">
        <v>237</v>
      </c>
      <c r="C139" s="228">
        <f>+E139+Z139+AF139+AK139</f>
        <v>4612499</v>
      </c>
      <c r="D139" s="126">
        <f>SUM(F139+G139+H139+I139+J139+K139+L139+M139+N139+O139+P139+Q139+R139+S139+T139+U139+V139+W139+X139+Y139+AA139+AB139+AC139+AD139+AE139+AG139+AH139+AI139+AJ139+AL139+AN139+AO139+AP139)</f>
        <v>4612499</v>
      </c>
      <c r="E139" s="93"/>
      <c r="F139" s="236"/>
      <c r="G139" s="231"/>
      <c r="H139" s="231"/>
      <c r="I139" s="231"/>
      <c r="J139" s="231"/>
      <c r="K139" s="231"/>
      <c r="L139" s="231"/>
      <c r="M139" s="231"/>
      <c r="N139" s="231"/>
      <c r="O139" s="231"/>
      <c r="P139" s="231"/>
      <c r="Q139" s="231"/>
      <c r="R139" s="231"/>
      <c r="S139" s="231"/>
      <c r="T139" s="231"/>
      <c r="U139" s="231"/>
      <c r="V139" s="231"/>
      <c r="W139" s="231"/>
      <c r="X139" s="231"/>
      <c r="Y139" s="231"/>
      <c r="Z139" s="263"/>
      <c r="AA139" s="231"/>
      <c r="AB139" s="231"/>
      <c r="AC139" s="231"/>
      <c r="AD139" s="231"/>
      <c r="AE139" s="230"/>
      <c r="AF139" s="109">
        <f>SUM(AG139:AJ139)</f>
        <v>4612499</v>
      </c>
      <c r="AG139" s="231"/>
      <c r="AH139" s="231"/>
      <c r="AI139" s="231"/>
      <c r="AJ139" s="148">
        <f>4612500-1</f>
        <v>4612499</v>
      </c>
      <c r="AK139" s="164"/>
      <c r="AL139" s="234"/>
      <c r="AM139" s="164"/>
      <c r="AN139" s="236"/>
      <c r="AO139" s="231"/>
      <c r="AP139" s="237"/>
      <c r="AQ139" s="66">
        <f t="shared" si="64"/>
        <v>4612499</v>
      </c>
      <c r="AR139" s="43">
        <f t="shared" si="65"/>
        <v>0</v>
      </c>
      <c r="AS139" s="44"/>
      <c r="AT139" s="44"/>
    </row>
    <row r="140" spans="1:46" x14ac:dyDescent="0.25">
      <c r="A140" s="222" t="s">
        <v>238</v>
      </c>
      <c r="B140" s="124" t="s">
        <v>239</v>
      </c>
      <c r="C140" s="228">
        <f>+E140+Z140+AF140+AK140</f>
        <v>6500000</v>
      </c>
      <c r="D140" s="126">
        <f>SUM(F140+G140+H140+I140+J140+K140+L140+M140+N140+O140+P140+Q140+R140+S140+T140+U140+V140+W140+X140+Y140+AA140+AB140+AC140+AD140+AE140+AG140+AH140+AI140+AJ140+AL140+AN140+AO140+AP140)</f>
        <v>6500000</v>
      </c>
      <c r="E140" s="127">
        <f>SUM(F140:Y140)</f>
        <v>6500000</v>
      </c>
      <c r="F140" s="128"/>
      <c r="G140" s="129"/>
      <c r="H140" s="129"/>
      <c r="I140" s="129"/>
      <c r="J140" s="129"/>
      <c r="K140" s="101">
        <v>0</v>
      </c>
      <c r="L140" s="129"/>
      <c r="M140" s="129"/>
      <c r="N140" s="129"/>
      <c r="O140" s="129"/>
      <c r="P140" s="101"/>
      <c r="Q140" s="243">
        <v>6500000</v>
      </c>
      <c r="R140" s="101"/>
      <c r="S140" s="101"/>
      <c r="T140" s="101"/>
      <c r="U140" s="101"/>
      <c r="V140" s="101"/>
      <c r="W140" s="101"/>
      <c r="X140" s="101"/>
      <c r="Y140" s="101"/>
      <c r="Z140" s="133">
        <f>SUM(AA140:AE140)</f>
        <v>0</v>
      </c>
      <c r="AA140" s="101"/>
      <c r="AB140" s="101"/>
      <c r="AC140" s="101"/>
      <c r="AD140" s="101"/>
      <c r="AE140" s="244"/>
      <c r="AF140" s="109">
        <f>SUM(AF142)</f>
        <v>0</v>
      </c>
      <c r="AG140" s="101"/>
      <c r="AH140" s="101"/>
      <c r="AI140" s="101"/>
      <c r="AJ140" s="103"/>
      <c r="AK140" s="138">
        <f>SUM(AL140+AM140)</f>
        <v>0</v>
      </c>
      <c r="AL140" s="110"/>
      <c r="AM140" s="138">
        <f t="shared" si="63"/>
        <v>0</v>
      </c>
      <c r="AN140" s="105"/>
      <c r="AO140" s="101"/>
      <c r="AP140" s="111"/>
      <c r="AQ140" s="66">
        <f t="shared" si="64"/>
        <v>6500000</v>
      </c>
      <c r="AR140" s="43">
        <f t="shared" si="65"/>
        <v>0</v>
      </c>
      <c r="AS140" s="44"/>
      <c r="AT140" s="44"/>
    </row>
    <row r="141" spans="1:46" x14ac:dyDescent="0.25">
      <c r="A141" s="222"/>
      <c r="B141" s="124"/>
      <c r="C141" s="228"/>
      <c r="D141" s="229"/>
      <c r="E141" s="93">
        <f>SUM(F141:X141)</f>
        <v>0</v>
      </c>
      <c r="F141" s="128"/>
      <c r="G141" s="129"/>
      <c r="H141" s="129"/>
      <c r="I141" s="129"/>
      <c r="J141" s="129"/>
      <c r="K141" s="101"/>
      <c r="L141" s="129"/>
      <c r="M141" s="129"/>
      <c r="N141" s="129"/>
      <c r="O141" s="129"/>
      <c r="P141" s="101"/>
      <c r="Q141" s="101"/>
      <c r="R141" s="101"/>
      <c r="S141" s="101"/>
      <c r="T141" s="101"/>
      <c r="U141" s="101"/>
      <c r="V141" s="101"/>
      <c r="W141" s="101"/>
      <c r="X141" s="101"/>
      <c r="Y141" s="101"/>
      <c r="Z141" s="263"/>
      <c r="AA141" s="101"/>
      <c r="AB141" s="101"/>
      <c r="AC141" s="101"/>
      <c r="AD141" s="101"/>
      <c r="AE141" s="244"/>
      <c r="AF141" s="225" t="s">
        <v>0</v>
      </c>
      <c r="AG141" s="101"/>
      <c r="AH141" s="101"/>
      <c r="AI141" s="101"/>
      <c r="AJ141" s="103"/>
      <c r="AK141" s="164"/>
      <c r="AL141" s="110"/>
      <c r="AM141" s="288" t="s">
        <v>0</v>
      </c>
      <c r="AN141" s="105"/>
      <c r="AO141" s="101"/>
      <c r="AP141" s="111"/>
      <c r="AQ141" s="66">
        <f t="shared" si="64"/>
        <v>0</v>
      </c>
      <c r="AR141" s="43">
        <f t="shared" si="65"/>
        <v>0</v>
      </c>
      <c r="AS141" s="44"/>
      <c r="AT141" s="44"/>
    </row>
    <row r="142" spans="1:46" x14ac:dyDescent="0.25">
      <c r="A142" s="250" t="s">
        <v>240</v>
      </c>
      <c r="B142" s="154" t="s">
        <v>241</v>
      </c>
      <c r="C142" s="239">
        <f>SUM(C143:C145)</f>
        <v>1850000</v>
      </c>
      <c r="D142" s="240">
        <f>SUM(D143:D145)</f>
        <v>1850000</v>
      </c>
      <c r="E142" s="93">
        <f>SUM(E143:E145)</f>
        <v>1850000</v>
      </c>
      <c r="F142" s="128"/>
      <c r="G142" s="129"/>
      <c r="H142" s="129"/>
      <c r="I142" s="129"/>
      <c r="J142" s="129"/>
      <c r="K142" s="231">
        <f>+K143+K144+K145</f>
        <v>0</v>
      </c>
      <c r="L142" s="129"/>
      <c r="M142" s="129"/>
      <c r="N142" s="129"/>
      <c r="O142" s="129"/>
      <c r="P142" s="231">
        <f>+P143+P144+P145</f>
        <v>0</v>
      </c>
      <c r="Q142" s="231">
        <f>+Q143+Q144+Q145</f>
        <v>1850000</v>
      </c>
      <c r="R142" s="231">
        <f>+R143+R144+R145</f>
        <v>0</v>
      </c>
      <c r="S142" s="231">
        <f>+S143+S144+S145</f>
        <v>0</v>
      </c>
      <c r="T142" s="231">
        <f>+T143+T144+T145</f>
        <v>0</v>
      </c>
      <c r="U142" s="231">
        <f t="shared" ref="U142:Z142" si="68">SUM(U143:U145)</f>
        <v>0</v>
      </c>
      <c r="V142" s="231">
        <f t="shared" si="68"/>
        <v>0</v>
      </c>
      <c r="W142" s="231">
        <f t="shared" si="68"/>
        <v>0</v>
      </c>
      <c r="X142" s="231">
        <f t="shared" si="68"/>
        <v>0</v>
      </c>
      <c r="Y142" s="231">
        <f t="shared" si="68"/>
        <v>0</v>
      </c>
      <c r="Z142" s="263">
        <f t="shared" si="68"/>
        <v>0</v>
      </c>
      <c r="AA142" s="231">
        <f t="shared" ref="AA142:AN142" si="69">SUM(AA143:AA145)</f>
        <v>0</v>
      </c>
      <c r="AB142" s="231">
        <f t="shared" si="69"/>
        <v>0</v>
      </c>
      <c r="AC142" s="231">
        <f t="shared" si="69"/>
        <v>0</v>
      </c>
      <c r="AD142" s="231">
        <f t="shared" si="69"/>
        <v>0</v>
      </c>
      <c r="AE142" s="230">
        <f t="shared" si="69"/>
        <v>0</v>
      </c>
      <c r="AF142" s="225">
        <f t="shared" si="69"/>
        <v>0</v>
      </c>
      <c r="AG142" s="231">
        <f t="shared" si="69"/>
        <v>0</v>
      </c>
      <c r="AH142" s="231">
        <f t="shared" si="69"/>
        <v>0</v>
      </c>
      <c r="AI142" s="231">
        <f t="shared" si="69"/>
        <v>0</v>
      </c>
      <c r="AJ142" s="233">
        <f t="shared" si="69"/>
        <v>0</v>
      </c>
      <c r="AK142" s="164">
        <f>SUM(AK143:AK145)</f>
        <v>0</v>
      </c>
      <c r="AL142" s="234">
        <f t="shared" si="69"/>
        <v>0</v>
      </c>
      <c r="AM142" s="249">
        <f>SUM(AM143:AM145)</f>
        <v>0</v>
      </c>
      <c r="AN142" s="236">
        <f t="shared" si="69"/>
        <v>0</v>
      </c>
      <c r="AO142" s="231">
        <f>SUM(AO143:AO145)</f>
        <v>0</v>
      </c>
      <c r="AP142" s="237">
        <f>SUM(AP143:AP145)</f>
        <v>0</v>
      </c>
      <c r="AQ142" s="66">
        <f t="shared" si="64"/>
        <v>1850000</v>
      </c>
      <c r="AR142" s="43">
        <f t="shared" si="65"/>
        <v>0</v>
      </c>
      <c r="AS142" s="44"/>
      <c r="AT142" s="44"/>
    </row>
    <row r="143" spans="1:46" x14ac:dyDescent="0.25">
      <c r="A143" s="222" t="s">
        <v>242</v>
      </c>
      <c r="B143" s="124" t="s">
        <v>243</v>
      </c>
      <c r="C143" s="228">
        <f>+E143+Z143+AF143+AK143</f>
        <v>200000</v>
      </c>
      <c r="D143" s="126">
        <f>SUM(F143+G143+H143+I143+J143+K143+L143+M143+N143+O143+P143+Q143+R143+S143+T143+U143+V143+W143+X143+Y143+AA143+AB143+AC143+AD143+AE143+AG143+AH143+AI143+AJ143+AL143+AN143+AO143+AP143)</f>
        <v>200000</v>
      </c>
      <c r="E143" s="127">
        <f>SUM(F143:Y143)</f>
        <v>200000</v>
      </c>
      <c r="F143" s="128"/>
      <c r="G143" s="129"/>
      <c r="H143" s="129"/>
      <c r="I143" s="129"/>
      <c r="J143" s="129"/>
      <c r="K143" s="101">
        <v>0</v>
      </c>
      <c r="L143" s="129"/>
      <c r="M143" s="129"/>
      <c r="N143" s="129"/>
      <c r="O143" s="129"/>
      <c r="P143" s="101"/>
      <c r="Q143" s="243">
        <v>200000</v>
      </c>
      <c r="R143" s="101"/>
      <c r="S143" s="101"/>
      <c r="T143" s="101"/>
      <c r="U143" s="101"/>
      <c r="V143" s="101"/>
      <c r="W143" s="101"/>
      <c r="X143" s="101"/>
      <c r="Y143" s="101"/>
      <c r="Z143" s="133">
        <f>SUM(AA143:AE143)</f>
        <v>0</v>
      </c>
      <c r="AA143" s="101"/>
      <c r="AB143" s="101"/>
      <c r="AC143" s="101"/>
      <c r="AD143" s="101"/>
      <c r="AE143" s="244"/>
      <c r="AF143" s="248">
        <f>SUM(AG143:AJ143)</f>
        <v>0</v>
      </c>
      <c r="AG143" s="101"/>
      <c r="AH143" s="101"/>
      <c r="AI143" s="101"/>
      <c r="AJ143" s="103"/>
      <c r="AK143" s="138">
        <f>SUM(AL143+AM143)</f>
        <v>0</v>
      </c>
      <c r="AL143" s="110"/>
      <c r="AM143" s="138">
        <f>SUM(AN143:AP143)</f>
        <v>0</v>
      </c>
      <c r="AN143" s="105"/>
      <c r="AO143" s="101"/>
      <c r="AP143" s="111"/>
      <c r="AQ143" s="66">
        <f t="shared" si="64"/>
        <v>200000</v>
      </c>
      <c r="AR143" s="43">
        <f t="shared" si="65"/>
        <v>0</v>
      </c>
      <c r="AS143" s="44"/>
      <c r="AT143" s="44"/>
    </row>
    <row r="144" spans="1:46" x14ac:dyDescent="0.25">
      <c r="A144" s="222" t="s">
        <v>244</v>
      </c>
      <c r="B144" s="124" t="s">
        <v>245</v>
      </c>
      <c r="C144" s="228">
        <f>+E144+Z144+AF144+AK144</f>
        <v>1400000</v>
      </c>
      <c r="D144" s="126">
        <f>SUM(F144+G144+H144+I144+J144+K144+L144+M144+N144+O144+P144+Q144+R144+S144+T144+U144+V144+W144+X144+Y144+AA144+AB144+AC144+AD144+AE144+AG144+AH144+AI144+AJ144+AL144+AN144+AO144+AP144)</f>
        <v>1400000</v>
      </c>
      <c r="E144" s="127">
        <f>SUM(F144:Y144)</f>
        <v>1400000</v>
      </c>
      <c r="F144" s="128"/>
      <c r="G144" s="129"/>
      <c r="H144" s="129"/>
      <c r="I144" s="129"/>
      <c r="J144" s="129"/>
      <c r="K144" s="101">
        <v>0</v>
      </c>
      <c r="L144" s="129"/>
      <c r="M144" s="129"/>
      <c r="N144" s="129"/>
      <c r="O144" s="129"/>
      <c r="P144" s="101"/>
      <c r="Q144" s="243">
        <v>1400000</v>
      </c>
      <c r="R144" s="101"/>
      <c r="S144" s="101"/>
      <c r="T144" s="101"/>
      <c r="U144" s="101"/>
      <c r="V144" s="101"/>
      <c r="W144" s="101"/>
      <c r="X144" s="101"/>
      <c r="Y144" s="101"/>
      <c r="Z144" s="133">
        <f>SUM(AA144:AE144)</f>
        <v>0</v>
      </c>
      <c r="AA144" s="101"/>
      <c r="AB144" s="101"/>
      <c r="AC144" s="101"/>
      <c r="AD144" s="101"/>
      <c r="AE144" s="244"/>
      <c r="AF144" s="248">
        <f>SUM(AG144:AJ144)</f>
        <v>0</v>
      </c>
      <c r="AG144" s="101"/>
      <c r="AH144" s="101"/>
      <c r="AI144" s="101"/>
      <c r="AJ144" s="103"/>
      <c r="AK144" s="138">
        <f>SUM(AL144+AM144)</f>
        <v>0</v>
      </c>
      <c r="AL144" s="110"/>
      <c r="AM144" s="138">
        <f>SUM(AN144:AP144)</f>
        <v>0</v>
      </c>
      <c r="AN144" s="105"/>
      <c r="AO144" s="101"/>
      <c r="AP144" s="111"/>
      <c r="AQ144" s="66">
        <f t="shared" si="64"/>
        <v>1400000</v>
      </c>
      <c r="AR144" s="43">
        <f t="shared" si="65"/>
        <v>0</v>
      </c>
      <c r="AS144" s="44"/>
      <c r="AT144" s="44"/>
    </row>
    <row r="145" spans="1:46" x14ac:dyDescent="0.25">
      <c r="A145" s="222" t="s">
        <v>246</v>
      </c>
      <c r="B145" s="124" t="s">
        <v>247</v>
      </c>
      <c r="C145" s="228">
        <f>+E145+Z145+AF145+AK145</f>
        <v>250000</v>
      </c>
      <c r="D145" s="126">
        <f>SUM(F145+G145+H145+I145+J145+K145+L145+M145+N145+O145+P145+Q145+R145+S145+T145+U145+V145+W145+X145+Y145+AA145+AB145+AC145+AD145+AE145+AG145+AH145+AI145+AJ145+AL145+AN145+AO145+AP145)</f>
        <v>250000</v>
      </c>
      <c r="E145" s="127">
        <f>SUM(F145:Y145)</f>
        <v>250000</v>
      </c>
      <c r="F145" s="128"/>
      <c r="G145" s="129"/>
      <c r="H145" s="129"/>
      <c r="I145" s="129"/>
      <c r="J145" s="129"/>
      <c r="K145" s="101">
        <v>0</v>
      </c>
      <c r="L145" s="129"/>
      <c r="M145" s="129"/>
      <c r="N145" s="129"/>
      <c r="O145" s="129"/>
      <c r="P145" s="101"/>
      <c r="Q145" s="243">
        <v>250000</v>
      </c>
      <c r="R145" s="101"/>
      <c r="S145" s="101"/>
      <c r="T145" s="101"/>
      <c r="U145" s="101"/>
      <c r="V145" s="101"/>
      <c r="W145" s="101"/>
      <c r="X145" s="101"/>
      <c r="Y145" s="101"/>
      <c r="Z145" s="133">
        <f>SUM(AA145:AE145)</f>
        <v>0</v>
      </c>
      <c r="AA145" s="101"/>
      <c r="AB145" s="101"/>
      <c r="AC145" s="101"/>
      <c r="AD145" s="101"/>
      <c r="AE145" s="244"/>
      <c r="AF145" s="248">
        <f>SUM(AG145:AJ145)</f>
        <v>0</v>
      </c>
      <c r="AG145" s="101"/>
      <c r="AH145" s="101"/>
      <c r="AI145" s="101"/>
      <c r="AJ145" s="103"/>
      <c r="AK145" s="138">
        <f>SUM(AL145+AM145)</f>
        <v>0</v>
      </c>
      <c r="AL145" s="110"/>
      <c r="AM145" s="138">
        <f>SUM(AN145:AP145)</f>
        <v>0</v>
      </c>
      <c r="AN145" s="105"/>
      <c r="AO145" s="101"/>
      <c r="AP145" s="111"/>
      <c r="AQ145" s="66">
        <f t="shared" si="64"/>
        <v>250000</v>
      </c>
      <c r="AR145" s="43">
        <f t="shared" si="65"/>
        <v>0</v>
      </c>
      <c r="AS145" s="44"/>
      <c r="AT145" s="44"/>
    </row>
    <row r="146" spans="1:46" x14ac:dyDescent="0.25">
      <c r="A146" s="222"/>
      <c r="B146" s="124"/>
      <c r="C146" s="228"/>
      <c r="D146" s="229"/>
      <c r="E146" s="93"/>
      <c r="F146" s="128"/>
      <c r="G146" s="129"/>
      <c r="H146" s="129"/>
      <c r="I146" s="129"/>
      <c r="J146" s="129"/>
      <c r="K146" s="101"/>
      <c r="L146" s="129"/>
      <c r="M146" s="129"/>
      <c r="N146" s="129"/>
      <c r="O146" s="129"/>
      <c r="P146" s="101"/>
      <c r="Q146" s="101"/>
      <c r="R146" s="101"/>
      <c r="S146" s="101"/>
      <c r="T146" s="101"/>
      <c r="U146" s="101"/>
      <c r="V146" s="101"/>
      <c r="W146" s="101"/>
      <c r="X146" s="101"/>
      <c r="Y146" s="101"/>
      <c r="Z146" s="232"/>
      <c r="AA146" s="101"/>
      <c r="AB146" s="101"/>
      <c r="AC146" s="101"/>
      <c r="AD146" s="101"/>
      <c r="AE146" s="244"/>
      <c r="AF146" s="225">
        <f>SUM(AG146:AI146)</f>
        <v>0</v>
      </c>
      <c r="AG146" s="101"/>
      <c r="AH146" s="101"/>
      <c r="AI146" s="101"/>
      <c r="AJ146" s="103"/>
      <c r="AK146" s="164"/>
      <c r="AL146" s="110"/>
      <c r="AM146" s="235"/>
      <c r="AN146" s="105"/>
      <c r="AO146" s="101"/>
      <c r="AP146" s="111"/>
      <c r="AQ146" s="66">
        <f t="shared" si="64"/>
        <v>0</v>
      </c>
      <c r="AR146" s="43">
        <f t="shared" si="65"/>
        <v>0</v>
      </c>
      <c r="AS146" s="44"/>
      <c r="AT146" s="44"/>
    </row>
    <row r="147" spans="1:46" x14ac:dyDescent="0.25">
      <c r="A147" s="289">
        <v>2</v>
      </c>
      <c r="B147" s="154" t="s">
        <v>248</v>
      </c>
      <c r="C147" s="290">
        <f>SUM(C149+C156+C160+C169+C173)</f>
        <v>76738753.390000001</v>
      </c>
      <c r="D147" s="70">
        <f>SUM(D149+D156+D160+D169+D173)</f>
        <v>76738753.390000001</v>
      </c>
      <c r="E147" s="202">
        <f t="shared" ref="E147:Y147" si="70">E149+E160+E169+E173+E156</f>
        <v>59381733.390000001</v>
      </c>
      <c r="F147" s="203">
        <f t="shared" si="70"/>
        <v>1418000</v>
      </c>
      <c r="G147" s="204">
        <f t="shared" si="70"/>
        <v>0</v>
      </c>
      <c r="H147" s="204">
        <f t="shared" si="70"/>
        <v>800000</v>
      </c>
      <c r="I147" s="204">
        <f t="shared" si="70"/>
        <v>310000</v>
      </c>
      <c r="J147" s="204">
        <f t="shared" si="70"/>
        <v>3730000</v>
      </c>
      <c r="K147" s="204">
        <f t="shared" si="70"/>
        <v>13868388</v>
      </c>
      <c r="L147" s="204">
        <f t="shared" si="70"/>
        <v>200000</v>
      </c>
      <c r="M147" s="204">
        <f t="shared" si="70"/>
        <v>92628</v>
      </c>
      <c r="N147" s="204">
        <f t="shared" si="70"/>
        <v>236000</v>
      </c>
      <c r="O147" s="204">
        <f t="shared" si="70"/>
        <v>693927</v>
      </c>
      <c r="P147" s="204">
        <f t="shared" si="70"/>
        <v>171787</v>
      </c>
      <c r="Q147" s="204">
        <f>SUM(Q149+Q156+Q160+Q169+Q173)</f>
        <v>31289403.390000001</v>
      </c>
      <c r="R147" s="204">
        <f t="shared" si="70"/>
        <v>285000</v>
      </c>
      <c r="S147" s="204">
        <f t="shared" si="70"/>
        <v>120000</v>
      </c>
      <c r="T147" s="204">
        <f t="shared" si="70"/>
        <v>186600</v>
      </c>
      <c r="U147" s="204">
        <f t="shared" si="70"/>
        <v>1955000</v>
      </c>
      <c r="V147" s="204">
        <f t="shared" si="70"/>
        <v>425000</v>
      </c>
      <c r="W147" s="204">
        <f t="shared" si="70"/>
        <v>2400000</v>
      </c>
      <c r="X147" s="204">
        <f t="shared" si="70"/>
        <v>550000</v>
      </c>
      <c r="Y147" s="204">
        <f t="shared" si="70"/>
        <v>650000</v>
      </c>
      <c r="Z147" s="206">
        <f>SUM(Z149+Z156+Z160+Z169+Z173+Z18)</f>
        <v>5711900</v>
      </c>
      <c r="AA147" s="204">
        <f>AA149+AA160+AA169+AA173+AA156</f>
        <v>335900</v>
      </c>
      <c r="AB147" s="204">
        <f>AB149+AB160+AB169+AB173+AB156</f>
        <v>500000</v>
      </c>
      <c r="AC147" s="204">
        <f>AC149+AC160+AC169+AC173+AC156</f>
        <v>875000</v>
      </c>
      <c r="AD147" s="204">
        <f>AD149+AD160+AD169+AD173+AD156</f>
        <v>3310000</v>
      </c>
      <c r="AE147" s="204">
        <f>AE149+AE160+AE169+AE173+AE156</f>
        <v>691000</v>
      </c>
      <c r="AF147" s="225">
        <f>SUM(AF149+AF156+AF160+AF169+AF173)</f>
        <v>3234660</v>
      </c>
      <c r="AG147" s="204">
        <f>AG149+AG160+AG169+AG173+AG156</f>
        <v>403500</v>
      </c>
      <c r="AH147" s="204">
        <f>AH149+AH160+AH169+AH173+AH156</f>
        <v>654180</v>
      </c>
      <c r="AI147" s="204">
        <f>AI149+AI160+AI169+AI173+AI156</f>
        <v>337500</v>
      </c>
      <c r="AJ147" s="205">
        <f>AJ149+AJ160+AJ169+AJ173+AJ156</f>
        <v>1839480</v>
      </c>
      <c r="AK147" s="164">
        <f>AK149+AK156+AK160+AK169+AK173</f>
        <v>8410460</v>
      </c>
      <c r="AL147" s="280">
        <f>AL149+AL160+AL169+AL173+AL156</f>
        <v>6685460</v>
      </c>
      <c r="AM147" s="164">
        <f>AM149+AM156+AM160+AM169+AM173</f>
        <v>1725000</v>
      </c>
      <c r="AN147" s="203">
        <f>AN149+AN160+AN169+AN173+AN156</f>
        <v>420000</v>
      </c>
      <c r="AO147" s="204">
        <f>AO149+AO160+AO169+AO173+AO156</f>
        <v>600000</v>
      </c>
      <c r="AP147" s="281">
        <f>AP149+AP160+AP169+AP173+AP156</f>
        <v>705000</v>
      </c>
      <c r="AQ147" s="66">
        <f t="shared" si="64"/>
        <v>76738753.390000001</v>
      </c>
      <c r="AR147" s="43">
        <f t="shared" si="65"/>
        <v>0</v>
      </c>
      <c r="AS147" s="44"/>
      <c r="AT147" s="44"/>
    </row>
    <row r="148" spans="1:46" x14ac:dyDescent="0.25">
      <c r="A148" s="222"/>
      <c r="B148" s="124"/>
      <c r="C148" s="228"/>
      <c r="D148" s="229"/>
      <c r="E148" s="93"/>
      <c r="F148" s="128"/>
      <c r="G148" s="129"/>
      <c r="H148" s="129"/>
      <c r="I148" s="129"/>
      <c r="J148" s="129"/>
      <c r="K148" s="101"/>
      <c r="L148" s="129"/>
      <c r="M148" s="129"/>
      <c r="N148" s="129"/>
      <c r="O148" s="129"/>
      <c r="P148" s="101"/>
      <c r="Q148" s="101"/>
      <c r="R148" s="101"/>
      <c r="S148" s="101"/>
      <c r="T148" s="101"/>
      <c r="U148" s="101"/>
      <c r="V148" s="101"/>
      <c r="W148" s="101"/>
      <c r="X148" s="101"/>
      <c r="Y148" s="101"/>
      <c r="Z148" s="232"/>
      <c r="AA148" s="101"/>
      <c r="AB148" s="101"/>
      <c r="AC148" s="101"/>
      <c r="AD148" s="101"/>
      <c r="AE148" s="244"/>
      <c r="AF148" s="225" t="s">
        <v>0</v>
      </c>
      <c r="AG148" s="101"/>
      <c r="AH148" s="101"/>
      <c r="AI148" s="101"/>
      <c r="AJ148" s="103"/>
      <c r="AK148" s="164"/>
      <c r="AL148" s="110"/>
      <c r="AM148" s="235" t="s">
        <v>0</v>
      </c>
      <c r="AN148" s="105"/>
      <c r="AO148" s="101"/>
      <c r="AP148" s="111"/>
      <c r="AQ148" s="66">
        <f t="shared" si="64"/>
        <v>0</v>
      </c>
      <c r="AR148" s="43">
        <f t="shared" si="65"/>
        <v>0</v>
      </c>
      <c r="AS148" s="44"/>
      <c r="AT148" s="44"/>
    </row>
    <row r="149" spans="1:46" x14ac:dyDescent="0.25">
      <c r="A149" s="250" t="s">
        <v>249</v>
      </c>
      <c r="B149" s="154" t="s">
        <v>250</v>
      </c>
      <c r="C149" s="239">
        <f>SUM(C150:C154)</f>
        <v>24518729.699999999</v>
      </c>
      <c r="D149" s="240">
        <f>SUM(D150:D154)</f>
        <v>24518729.699999999</v>
      </c>
      <c r="E149" s="93">
        <f>SUM(E150:E154)</f>
        <v>15938496</v>
      </c>
      <c r="F149" s="184">
        <f t="shared" ref="F149:AM149" si="71">SUM(F150:F154)</f>
        <v>600000</v>
      </c>
      <c r="G149" s="185">
        <f t="shared" si="71"/>
        <v>0</v>
      </c>
      <c r="H149" s="185">
        <f t="shared" si="71"/>
        <v>500000</v>
      </c>
      <c r="I149" s="185">
        <f t="shared" si="71"/>
        <v>175000</v>
      </c>
      <c r="J149" s="185">
        <f t="shared" si="71"/>
        <v>1500000</v>
      </c>
      <c r="K149" s="185">
        <f t="shared" si="71"/>
        <v>1175200</v>
      </c>
      <c r="L149" s="185">
        <f t="shared" si="71"/>
        <v>100000</v>
      </c>
      <c r="M149" s="185">
        <f t="shared" si="71"/>
        <v>84078</v>
      </c>
      <c r="N149" s="185">
        <f t="shared" si="71"/>
        <v>112000</v>
      </c>
      <c r="O149" s="185">
        <f t="shared" si="71"/>
        <v>410614</v>
      </c>
      <c r="P149" s="185">
        <f t="shared" si="71"/>
        <v>111604</v>
      </c>
      <c r="Q149" s="185">
        <f t="shared" si="71"/>
        <v>8650000</v>
      </c>
      <c r="R149" s="185">
        <f t="shared" si="71"/>
        <v>175000</v>
      </c>
      <c r="S149" s="185">
        <f>SUM(S150:S154)</f>
        <v>60000</v>
      </c>
      <c r="T149" s="185">
        <f t="shared" si="71"/>
        <v>0</v>
      </c>
      <c r="U149" s="185">
        <f t="shared" si="71"/>
        <v>685000</v>
      </c>
      <c r="V149" s="185">
        <f t="shared" si="71"/>
        <v>250000</v>
      </c>
      <c r="W149" s="185">
        <f t="shared" si="71"/>
        <v>900000</v>
      </c>
      <c r="X149" s="185">
        <f t="shared" si="71"/>
        <v>250000</v>
      </c>
      <c r="Y149" s="185">
        <f t="shared" si="71"/>
        <v>200000</v>
      </c>
      <c r="Z149" s="187">
        <f t="shared" si="71"/>
        <v>3401000</v>
      </c>
      <c r="AA149" s="185">
        <f t="shared" si="71"/>
        <v>236000</v>
      </c>
      <c r="AB149" s="185">
        <f t="shared" si="71"/>
        <v>200000</v>
      </c>
      <c r="AC149" s="185">
        <f t="shared" si="71"/>
        <v>500000</v>
      </c>
      <c r="AD149" s="185">
        <f t="shared" si="71"/>
        <v>2000000</v>
      </c>
      <c r="AE149" s="188">
        <f t="shared" si="71"/>
        <v>465000</v>
      </c>
      <c r="AF149" s="225">
        <f t="shared" si="71"/>
        <v>2419233.7000000002</v>
      </c>
      <c r="AG149" s="185">
        <f>SUM(AG150:AG154)</f>
        <v>310000</v>
      </c>
      <c r="AH149" s="185">
        <f>SUM(AH150:AH154)</f>
        <v>560000</v>
      </c>
      <c r="AI149" s="185">
        <f>SUM(AI150:AI154)</f>
        <v>0</v>
      </c>
      <c r="AJ149" s="186">
        <f>SUM(AJ150:AJ154)</f>
        <v>1549233.7</v>
      </c>
      <c r="AK149" s="164">
        <f t="shared" si="71"/>
        <v>2760000</v>
      </c>
      <c r="AL149" s="191">
        <f>SUM(AL150:AL154)</f>
        <v>2000000</v>
      </c>
      <c r="AM149" s="164">
        <f t="shared" si="71"/>
        <v>760000</v>
      </c>
      <c r="AN149" s="184">
        <f>SUM(AN150:AN154)</f>
        <v>170000</v>
      </c>
      <c r="AO149" s="185">
        <f>SUM(AO150:AO154)</f>
        <v>250000</v>
      </c>
      <c r="AP149" s="252">
        <f>SUM(AP150:AP154)</f>
        <v>340000</v>
      </c>
      <c r="AQ149" s="66">
        <f t="shared" si="64"/>
        <v>24518729.699999999</v>
      </c>
      <c r="AR149" s="43">
        <f t="shared" si="65"/>
        <v>0</v>
      </c>
      <c r="AS149" s="44"/>
      <c r="AT149" s="44"/>
    </row>
    <row r="150" spans="1:46" x14ac:dyDescent="0.25">
      <c r="A150" s="222" t="s">
        <v>251</v>
      </c>
      <c r="B150" s="124" t="s">
        <v>252</v>
      </c>
      <c r="C150" s="228">
        <f>+E150+Z150+AF150+AK150</f>
        <v>7028250</v>
      </c>
      <c r="D150" s="126">
        <f>SUM(F150+G150+H150+I150+J150+K150+L150+M150+N150+O150+P150+Q150+R150+S150+T150+U150+V150+W150+X150+Y150+AA150+AB150+AC150+AD150+AE150+AG150+AH150+AI150+AJ150+AL150+AN150+AO150+AP150)</f>
        <v>7028250</v>
      </c>
      <c r="E150" s="127">
        <f>SUM(F150:Y150)</f>
        <v>7028250</v>
      </c>
      <c r="F150" s="128"/>
      <c r="G150" s="129"/>
      <c r="H150" s="129"/>
      <c r="I150" s="129"/>
      <c r="J150" s="129"/>
      <c r="K150" s="176">
        <f>25000*1.13</f>
        <v>28249.999999999996</v>
      </c>
      <c r="L150" s="129"/>
      <c r="M150" s="129"/>
      <c r="N150" s="129"/>
      <c r="O150" s="129"/>
      <c r="P150" s="101"/>
      <c r="Q150" s="243">
        <v>7000000</v>
      </c>
      <c r="R150" s="101"/>
      <c r="S150" s="101"/>
      <c r="T150" s="101"/>
      <c r="U150" s="101"/>
      <c r="V150" s="101"/>
      <c r="W150" s="101"/>
      <c r="X150" s="101"/>
      <c r="Y150" s="101"/>
      <c r="Z150" s="133">
        <f>SUM(AA150:AE150)</f>
        <v>0</v>
      </c>
      <c r="AA150" s="101"/>
      <c r="AB150" s="101"/>
      <c r="AC150" s="101"/>
      <c r="AD150" s="101"/>
      <c r="AE150" s="244"/>
      <c r="AF150" s="248">
        <f>SUM(AG150:AJ150)</f>
        <v>0</v>
      </c>
      <c r="AG150" s="101"/>
      <c r="AH150" s="101"/>
      <c r="AI150" s="101"/>
      <c r="AJ150" s="103"/>
      <c r="AK150" s="138">
        <f>SUM(AL150+AM150)</f>
        <v>0</v>
      </c>
      <c r="AL150" s="110"/>
      <c r="AM150" s="138">
        <f>SUM(AN150:AP150)</f>
        <v>0</v>
      </c>
      <c r="AN150" s="105"/>
      <c r="AO150" s="101"/>
      <c r="AP150" s="111"/>
      <c r="AQ150" s="66">
        <f t="shared" si="64"/>
        <v>7028250</v>
      </c>
      <c r="AR150" s="43">
        <f t="shared" si="65"/>
        <v>0</v>
      </c>
      <c r="AS150" s="44"/>
      <c r="AT150" s="44"/>
    </row>
    <row r="151" spans="1:46" x14ac:dyDescent="0.25">
      <c r="A151" s="222" t="s">
        <v>253</v>
      </c>
      <c r="B151" s="124" t="s">
        <v>254</v>
      </c>
      <c r="C151" s="228">
        <f>+E151+Z151+AF151+AK151</f>
        <v>1816950</v>
      </c>
      <c r="D151" s="126">
        <f>SUM(F151+G151+H151+I151+J151+K151+L151+M151+N151+O151+P151+Q151+R151+S151+T151+U151+V151+W151+X151+Y151+AA151+AB151+AC151+AD151+AE151+AG151+AH151+AI151+AJ151+AL151+AN151+AO151+AP151)</f>
        <v>1816950</v>
      </c>
      <c r="E151" s="127">
        <f>SUM(F151:Y151)</f>
        <v>1816950</v>
      </c>
      <c r="F151" s="128"/>
      <c r="G151" s="129"/>
      <c r="H151" s="129"/>
      <c r="I151" s="129"/>
      <c r="J151" s="291">
        <v>1500000</v>
      </c>
      <c r="K151" s="176">
        <f>15000*1.13</f>
        <v>16950</v>
      </c>
      <c r="L151" s="129"/>
      <c r="M151" s="129"/>
      <c r="N151" s="129"/>
      <c r="O151" s="129"/>
      <c r="P151" s="101"/>
      <c r="Q151" s="243">
        <v>200000</v>
      </c>
      <c r="R151" s="101"/>
      <c r="S151" s="101"/>
      <c r="T151" s="101"/>
      <c r="U151" s="101"/>
      <c r="V151" s="101"/>
      <c r="W151" s="101">
        <v>100000</v>
      </c>
      <c r="X151" s="101"/>
      <c r="Y151" s="101"/>
      <c r="Z151" s="133">
        <f>SUM(AA151:AE151)</f>
        <v>0</v>
      </c>
      <c r="AA151" s="101"/>
      <c r="AB151" s="101"/>
      <c r="AC151" s="101"/>
      <c r="AD151" s="101"/>
      <c r="AE151" s="244"/>
      <c r="AF151" s="292">
        <v>0</v>
      </c>
      <c r="AG151" s="101"/>
      <c r="AH151" s="101"/>
      <c r="AI151" s="101"/>
      <c r="AJ151" s="103"/>
      <c r="AK151" s="138">
        <f>SUM(AL151+AM151)</f>
        <v>0</v>
      </c>
      <c r="AL151" s="110"/>
      <c r="AM151" s="138">
        <f>SUM(AN151:AP151)</f>
        <v>0</v>
      </c>
      <c r="AN151" s="105"/>
      <c r="AO151" s="101"/>
      <c r="AP151" s="111"/>
      <c r="AQ151" s="66">
        <f t="shared" si="64"/>
        <v>1816950</v>
      </c>
      <c r="AR151" s="43">
        <f t="shared" si="65"/>
        <v>0</v>
      </c>
      <c r="AS151" s="44"/>
      <c r="AT151" s="44"/>
    </row>
    <row r="152" spans="1:46" ht="13.8" thickBot="1" x14ac:dyDescent="0.3">
      <c r="A152" s="222" t="s">
        <v>255</v>
      </c>
      <c r="B152" s="124" t="s">
        <v>256</v>
      </c>
      <c r="C152" s="228">
        <f>+E152+Z152+AF152+AK152</f>
        <v>150000</v>
      </c>
      <c r="D152" s="126">
        <f>SUM(F152+G152+H152+I152+J152+K152+L152+M152+N152+O152+P152+Q152+R152+S152+T152+U152+V152+W152+X152+Y152+AA152+AB152+AC152+AD152+AE152+AG152+AH152+AI152+AJ152+AL152+AN152+AO152+AP152)</f>
        <v>150000</v>
      </c>
      <c r="E152" s="127">
        <f>SUM(F152:Y152)</f>
        <v>150000</v>
      </c>
      <c r="F152" s="128"/>
      <c r="G152" s="129"/>
      <c r="H152" s="129"/>
      <c r="I152" s="129"/>
      <c r="J152" s="129"/>
      <c r="K152" s="101"/>
      <c r="L152" s="129"/>
      <c r="M152" s="129"/>
      <c r="N152" s="129"/>
      <c r="O152" s="129"/>
      <c r="P152" s="101"/>
      <c r="Q152" s="243">
        <v>150000</v>
      </c>
      <c r="R152" s="101"/>
      <c r="S152" s="101"/>
      <c r="T152" s="101"/>
      <c r="U152" s="101"/>
      <c r="V152" s="101"/>
      <c r="W152" s="101"/>
      <c r="X152" s="101"/>
      <c r="Y152" s="101"/>
      <c r="Z152" s="133">
        <f>SUM(AA152:AE152)</f>
        <v>0</v>
      </c>
      <c r="AA152" s="101"/>
      <c r="AB152" s="101"/>
      <c r="AC152" s="101"/>
      <c r="AD152" s="101"/>
      <c r="AE152" s="244"/>
      <c r="AF152" s="292"/>
      <c r="AG152" s="101"/>
      <c r="AH152" s="101"/>
      <c r="AI152" s="101"/>
      <c r="AJ152" s="103"/>
      <c r="AK152" s="138">
        <f>SUM(AL152+AM152)</f>
        <v>0</v>
      </c>
      <c r="AL152" s="110"/>
      <c r="AM152" s="138">
        <f>SUM(AN152:AP152)</f>
        <v>0</v>
      </c>
      <c r="AN152" s="105"/>
      <c r="AO152" s="101"/>
      <c r="AP152" s="111"/>
      <c r="AQ152" s="66">
        <f t="shared" si="64"/>
        <v>150000</v>
      </c>
      <c r="AR152" s="43">
        <f t="shared" si="65"/>
        <v>0</v>
      </c>
      <c r="AS152" s="44"/>
      <c r="AT152" s="44"/>
    </row>
    <row r="153" spans="1:46" ht="14.4" thickTop="1" thickBot="1" x14ac:dyDescent="0.3">
      <c r="A153" s="222" t="s">
        <v>257</v>
      </c>
      <c r="B153" s="124" t="s">
        <v>258</v>
      </c>
      <c r="C153" s="228">
        <f>+E153+Z153+AF153+AK153</f>
        <v>15078529.699999999</v>
      </c>
      <c r="D153" s="126">
        <f>SUM(F153+G153+H153+I153+J153+K153+L153+M153+N153+O153+P153+Q153+R153+S153+T153+U153+V153+W153+X153+Y153+AA153+AB153+AC153+AD153+AE153+AG153+AH153+AI153+AJ153+AL153+AN153+AO153+AP153)</f>
        <v>15078529.699999999</v>
      </c>
      <c r="E153" s="127">
        <f>SUM(F153:Y153)</f>
        <v>6518296</v>
      </c>
      <c r="F153" s="128">
        <v>600000</v>
      </c>
      <c r="G153" s="129"/>
      <c r="H153" s="245">
        <v>500000</v>
      </c>
      <c r="I153" s="183">
        <v>175000</v>
      </c>
      <c r="J153" s="129"/>
      <c r="K153" s="176">
        <f>1000000*1.13</f>
        <v>1130000</v>
      </c>
      <c r="L153" s="182">
        <f>200000-100000</f>
        <v>100000</v>
      </c>
      <c r="M153" s="245">
        <v>84078</v>
      </c>
      <c r="N153" s="129">
        <v>112000</v>
      </c>
      <c r="O153" s="129">
        <v>410614</v>
      </c>
      <c r="P153" s="245">
        <v>111604</v>
      </c>
      <c r="Q153" s="243">
        <v>1000000</v>
      </c>
      <c r="R153" s="245">
        <v>175000</v>
      </c>
      <c r="S153" s="245">
        <v>60000</v>
      </c>
      <c r="T153" s="101"/>
      <c r="U153" s="101">
        <v>685000</v>
      </c>
      <c r="V153" s="104">
        <v>250000</v>
      </c>
      <c r="W153" s="101">
        <v>800000</v>
      </c>
      <c r="X153" s="245">
        <v>125000</v>
      </c>
      <c r="Y153" s="245">
        <v>200000</v>
      </c>
      <c r="Z153" s="133">
        <f>SUM(AA153:AE153)</f>
        <v>3401000</v>
      </c>
      <c r="AA153" s="245">
        <v>236000</v>
      </c>
      <c r="AB153" s="245">
        <v>200000</v>
      </c>
      <c r="AC153" s="275">
        <v>500000</v>
      </c>
      <c r="AD153" s="245">
        <v>2000000</v>
      </c>
      <c r="AE153" s="259">
        <v>465000</v>
      </c>
      <c r="AF153" s="293">
        <f>SUM(AG153:AJ153)</f>
        <v>2419233.7000000002</v>
      </c>
      <c r="AG153" s="180">
        <v>310000</v>
      </c>
      <c r="AH153" s="286">
        <v>560000</v>
      </c>
      <c r="AI153" s="101"/>
      <c r="AJ153" s="286">
        <v>1549233.7</v>
      </c>
      <c r="AK153" s="138">
        <f>SUM(AL153+AM153)</f>
        <v>2740000</v>
      </c>
      <c r="AL153" s="176">
        <v>2000000</v>
      </c>
      <c r="AM153" s="138">
        <f>SUM(AN153:AP153)</f>
        <v>740000</v>
      </c>
      <c r="AN153" s="105">
        <v>150000</v>
      </c>
      <c r="AO153" s="176">
        <v>250000</v>
      </c>
      <c r="AP153" s="245">
        <v>340000</v>
      </c>
      <c r="AQ153" s="66">
        <f t="shared" si="64"/>
        <v>15078529.699999999</v>
      </c>
      <c r="AR153" s="43">
        <f t="shared" si="65"/>
        <v>0</v>
      </c>
      <c r="AS153" s="44"/>
      <c r="AT153" s="44"/>
    </row>
    <row r="154" spans="1:46" ht="13.8" thickTop="1" x14ac:dyDescent="0.25">
      <c r="A154" s="222" t="s">
        <v>259</v>
      </c>
      <c r="B154" s="124" t="s">
        <v>260</v>
      </c>
      <c r="C154" s="228">
        <f>+E154+Z154+AF154+AK154</f>
        <v>445000</v>
      </c>
      <c r="D154" s="126">
        <f>SUM(F154+G154+H154+I154+J154+K154+L154+M154+N154+O154+P154+Q154+R154+S154+T154+U154+V154+W154+X154+Y154+AA154+AB154+AC154+AD154+AE154+AG154+AH154+AI154+AJ154+AL154+AN154+AO154+AP154)</f>
        <v>445000</v>
      </c>
      <c r="E154" s="127">
        <f>SUM(F154:Y154)</f>
        <v>425000</v>
      </c>
      <c r="F154" s="128"/>
      <c r="G154" s="129"/>
      <c r="H154" s="129"/>
      <c r="I154" s="129"/>
      <c r="J154" s="129"/>
      <c r="K154" s="101"/>
      <c r="L154" s="129"/>
      <c r="M154" s="129"/>
      <c r="N154" s="129"/>
      <c r="O154" s="129"/>
      <c r="P154" s="101"/>
      <c r="Q154" s="243">
        <v>300000</v>
      </c>
      <c r="R154" s="101"/>
      <c r="S154" s="101"/>
      <c r="T154" s="101"/>
      <c r="U154" s="101"/>
      <c r="V154" s="101"/>
      <c r="W154" s="101"/>
      <c r="X154" s="101">
        <v>125000</v>
      </c>
      <c r="Y154" s="101"/>
      <c r="Z154" s="133">
        <f>SUM(AA154:AE154)</f>
        <v>0</v>
      </c>
      <c r="AA154" s="101"/>
      <c r="AB154" s="101"/>
      <c r="AC154" s="101"/>
      <c r="AD154" s="101"/>
      <c r="AE154" s="244"/>
      <c r="AF154" s="248">
        <f>SUM(AG154:AJ154)</f>
        <v>0</v>
      </c>
      <c r="AG154" s="101"/>
      <c r="AH154" s="101"/>
      <c r="AI154" s="101"/>
      <c r="AJ154" s="103"/>
      <c r="AK154" s="138">
        <f>SUM(AL154+AM154)</f>
        <v>20000</v>
      </c>
      <c r="AL154" s="110"/>
      <c r="AM154" s="138">
        <f>SUM(AN154:AP154)</f>
        <v>20000</v>
      </c>
      <c r="AN154" s="105">
        <v>20000</v>
      </c>
      <c r="AO154" s="101"/>
      <c r="AP154" s="111"/>
      <c r="AQ154" s="66">
        <f t="shared" si="64"/>
        <v>445000</v>
      </c>
      <c r="AR154" s="43">
        <f t="shared" si="65"/>
        <v>0</v>
      </c>
      <c r="AS154" s="44"/>
      <c r="AT154" s="44"/>
    </row>
    <row r="155" spans="1:46" x14ac:dyDescent="0.25">
      <c r="A155" s="222"/>
      <c r="B155" s="124"/>
      <c r="C155" s="228"/>
      <c r="D155" s="229"/>
      <c r="E155" s="93"/>
      <c r="F155" s="128"/>
      <c r="G155" s="129"/>
      <c r="H155" s="129"/>
      <c r="I155" s="129"/>
      <c r="J155" s="129"/>
      <c r="K155" s="101"/>
      <c r="L155" s="129"/>
      <c r="M155" s="129"/>
      <c r="N155" s="129"/>
      <c r="O155" s="129"/>
      <c r="P155" s="101"/>
      <c r="Q155" s="101"/>
      <c r="R155" s="101"/>
      <c r="S155" s="101"/>
      <c r="T155" s="101"/>
      <c r="U155" s="101"/>
      <c r="V155" s="101"/>
      <c r="W155" s="101"/>
      <c r="X155" s="101"/>
      <c r="Y155" s="101"/>
      <c r="Z155" s="232"/>
      <c r="AA155" s="101"/>
      <c r="AB155" s="101"/>
      <c r="AC155" s="101"/>
      <c r="AD155" s="101"/>
      <c r="AE155" s="244"/>
      <c r="AF155" s="225"/>
      <c r="AG155" s="101"/>
      <c r="AH155" s="101"/>
      <c r="AI155" s="101"/>
      <c r="AJ155" s="103"/>
      <c r="AK155" s="164"/>
      <c r="AL155" s="110"/>
      <c r="AM155" s="294"/>
      <c r="AN155" s="105"/>
      <c r="AO155" s="101"/>
      <c r="AP155" s="111"/>
      <c r="AQ155" s="66">
        <f t="shared" si="64"/>
        <v>0</v>
      </c>
      <c r="AR155" s="43">
        <f t="shared" si="65"/>
        <v>0</v>
      </c>
      <c r="AS155" s="44"/>
      <c r="AT155" s="44"/>
    </row>
    <row r="156" spans="1:46" x14ac:dyDescent="0.25">
      <c r="A156" s="250" t="s">
        <v>261</v>
      </c>
      <c r="B156" s="154" t="s">
        <v>262</v>
      </c>
      <c r="C156" s="239">
        <f>SUM(C157:C158)</f>
        <v>2780000</v>
      </c>
      <c r="D156" s="240">
        <f>SUM(D157:D158)</f>
        <v>2780000</v>
      </c>
      <c r="E156" s="93">
        <f>SUM(E157:E158)</f>
        <v>1280000</v>
      </c>
      <c r="F156" s="185">
        <f t="shared" ref="F156:T156" si="72">SUM(F157)</f>
        <v>720000</v>
      </c>
      <c r="G156" s="185">
        <f t="shared" si="72"/>
        <v>0</v>
      </c>
      <c r="H156" s="185">
        <f t="shared" si="72"/>
        <v>100000</v>
      </c>
      <c r="I156" s="185">
        <f t="shared" si="72"/>
        <v>0</v>
      </c>
      <c r="J156" s="185">
        <f t="shared" si="72"/>
        <v>0</v>
      </c>
      <c r="K156" s="185">
        <f t="shared" si="72"/>
        <v>0</v>
      </c>
      <c r="L156" s="185">
        <f t="shared" si="72"/>
        <v>0</v>
      </c>
      <c r="M156" s="185">
        <f t="shared" si="72"/>
        <v>0</v>
      </c>
      <c r="N156" s="185">
        <f t="shared" si="72"/>
        <v>0</v>
      </c>
      <c r="O156" s="185">
        <f t="shared" si="72"/>
        <v>0</v>
      </c>
      <c r="P156" s="185">
        <f t="shared" si="72"/>
        <v>0</v>
      </c>
      <c r="Q156" s="185">
        <f>SUM(Q157:Q158)</f>
        <v>360000</v>
      </c>
      <c r="R156" s="185">
        <f t="shared" si="72"/>
        <v>0</v>
      </c>
      <c r="S156" s="185">
        <f t="shared" si="72"/>
        <v>0</v>
      </c>
      <c r="T156" s="185">
        <f t="shared" si="72"/>
        <v>0</v>
      </c>
      <c r="U156" s="185">
        <f>SUM(U157)</f>
        <v>0</v>
      </c>
      <c r="V156" s="185">
        <f>SUM(V157)</f>
        <v>0</v>
      </c>
      <c r="W156" s="185">
        <f>SUM(W157)</f>
        <v>0</v>
      </c>
      <c r="X156" s="185">
        <f>SUM(X157)</f>
        <v>0</v>
      </c>
      <c r="Y156" s="185">
        <f>SUM(Y157)</f>
        <v>100000</v>
      </c>
      <c r="Z156" s="217">
        <f>SUM(Z157:Z158)</f>
        <v>1000000</v>
      </c>
      <c r="AA156" s="185">
        <f t="shared" ref="AA156:AN156" si="73">SUM(AA157)</f>
        <v>0</v>
      </c>
      <c r="AB156" s="185">
        <f t="shared" si="73"/>
        <v>0</v>
      </c>
      <c r="AC156" s="185">
        <f t="shared" si="73"/>
        <v>0</v>
      </c>
      <c r="AD156" s="185">
        <f t="shared" si="73"/>
        <v>1000000</v>
      </c>
      <c r="AE156" s="188">
        <f t="shared" si="73"/>
        <v>0</v>
      </c>
      <c r="AF156" s="225">
        <f t="shared" si="73"/>
        <v>0</v>
      </c>
      <c r="AG156" s="185">
        <f t="shared" si="73"/>
        <v>0</v>
      </c>
      <c r="AH156" s="185">
        <f t="shared" si="73"/>
        <v>0</v>
      </c>
      <c r="AI156" s="185">
        <f t="shared" si="73"/>
        <v>0</v>
      </c>
      <c r="AJ156" s="186">
        <f t="shared" si="73"/>
        <v>0</v>
      </c>
      <c r="AK156" s="164">
        <f>SUM(AK157)</f>
        <v>500000</v>
      </c>
      <c r="AL156" s="191">
        <f t="shared" si="73"/>
        <v>500000</v>
      </c>
      <c r="AM156" s="164">
        <f>SUM(AM157)</f>
        <v>0</v>
      </c>
      <c r="AN156" s="184">
        <f t="shared" si="73"/>
        <v>0</v>
      </c>
      <c r="AO156" s="185">
        <f>SUM(AO157)</f>
        <v>0</v>
      </c>
      <c r="AP156" s="252">
        <f>SUM(AP157)</f>
        <v>0</v>
      </c>
      <c r="AQ156" s="66">
        <f t="shared" si="64"/>
        <v>2780000</v>
      </c>
      <c r="AR156" s="43">
        <f t="shared" si="65"/>
        <v>0</v>
      </c>
      <c r="AS156" s="44"/>
      <c r="AT156" s="44"/>
    </row>
    <row r="157" spans="1:46" x14ac:dyDescent="0.25">
      <c r="A157" s="222" t="s">
        <v>263</v>
      </c>
      <c r="B157" s="124" t="s">
        <v>264</v>
      </c>
      <c r="C157" s="228">
        <f>+E157+Z157+AF157+AK157</f>
        <v>2420000</v>
      </c>
      <c r="D157" s="126">
        <f>SUM(F157+G157+H157+I157+J157+K157+L157+M157+N157+O157+P157+Q157+R157+S157+T157+U157+V157+W157+X157+Y157+AA157+AB157+AC157+AD157+AE157+AG157+AH157+AI157+AJ157+AL157+AN157+AO157+AP157)</f>
        <v>2420000</v>
      </c>
      <c r="E157" s="127">
        <f>SUM(F157:Y157)</f>
        <v>920000</v>
      </c>
      <c r="F157" s="128">
        <v>720000</v>
      </c>
      <c r="G157" s="129"/>
      <c r="H157" s="245">
        <v>100000</v>
      </c>
      <c r="I157" s="129"/>
      <c r="J157" s="129"/>
      <c r="K157" s="101"/>
      <c r="L157" s="129">
        <v>0</v>
      </c>
      <c r="M157" s="129"/>
      <c r="N157" s="129"/>
      <c r="O157" s="129"/>
      <c r="P157" s="101"/>
      <c r="Q157" s="101"/>
      <c r="R157" s="101"/>
      <c r="S157" s="101"/>
      <c r="T157" s="101"/>
      <c r="U157" s="101"/>
      <c r="V157" s="101"/>
      <c r="W157" s="101"/>
      <c r="X157" s="101"/>
      <c r="Y157" s="245">
        <v>100000</v>
      </c>
      <c r="Z157" s="133">
        <f>SUM(AA157:AE157)</f>
        <v>1000000</v>
      </c>
      <c r="AA157" s="101">
        <f>108000-108000</f>
        <v>0</v>
      </c>
      <c r="AB157" s="245">
        <f>100000-100000</f>
        <v>0</v>
      </c>
      <c r="AC157" s="101"/>
      <c r="AD157" s="276">
        <v>1000000</v>
      </c>
      <c r="AE157" s="244"/>
      <c r="AF157" s="248">
        <f>SUM(AG157:AI157)</f>
        <v>0</v>
      </c>
      <c r="AG157" s="101"/>
      <c r="AH157" s="101"/>
      <c r="AI157" s="101"/>
      <c r="AJ157" s="103"/>
      <c r="AK157" s="138">
        <f>SUM(AL157+AM157)</f>
        <v>500000</v>
      </c>
      <c r="AL157" s="176">
        <v>500000</v>
      </c>
      <c r="AM157" s="294">
        <f>SUM(AN157:AP157)</f>
        <v>0</v>
      </c>
      <c r="AN157" s="105">
        <v>0</v>
      </c>
      <c r="AO157" s="101">
        <v>0</v>
      </c>
      <c r="AP157" s="111">
        <v>0</v>
      </c>
      <c r="AQ157" s="66">
        <f t="shared" si="64"/>
        <v>2420000</v>
      </c>
      <c r="AR157" s="43">
        <f t="shared" si="65"/>
        <v>0</v>
      </c>
      <c r="AS157" s="44"/>
      <c r="AT157" s="44"/>
    </row>
    <row r="158" spans="1:46" x14ac:dyDescent="0.25">
      <c r="A158" s="222" t="s">
        <v>265</v>
      </c>
      <c r="B158" s="124" t="s">
        <v>266</v>
      </c>
      <c r="C158" s="228">
        <f>+E158+Z158+AF158+AK158</f>
        <v>360000</v>
      </c>
      <c r="D158" s="126">
        <f>SUM(F158+G158+H158+I158+J158+K158+L158+M158+N158+O158+P158+Q158+R158+S158+T158+U158+V158+W158+X158+Y158+AA158+AB158+AC158+AD158+AE158+AG158+AH158+AI158+AJ158+AL158+AN158+AO158+AP158)</f>
        <v>360000</v>
      </c>
      <c r="E158" s="127">
        <f>SUM(F158:Y158)</f>
        <v>360000</v>
      </c>
      <c r="F158" s="128"/>
      <c r="G158" s="129"/>
      <c r="H158" s="129"/>
      <c r="I158" s="129"/>
      <c r="J158" s="129"/>
      <c r="K158" s="101"/>
      <c r="L158" s="129"/>
      <c r="M158" s="129"/>
      <c r="N158" s="129"/>
      <c r="O158" s="129"/>
      <c r="P158" s="101"/>
      <c r="Q158" s="243">
        <f>30000*12</f>
        <v>360000</v>
      </c>
      <c r="R158" s="101"/>
      <c r="S158" s="101"/>
      <c r="T158" s="101"/>
      <c r="U158" s="101"/>
      <c r="V158" s="101"/>
      <c r="W158" s="101"/>
      <c r="X158" s="101"/>
      <c r="Y158" s="101"/>
      <c r="Z158" s="133">
        <v>0</v>
      </c>
      <c r="AA158" s="101"/>
      <c r="AB158" s="101"/>
      <c r="AC158" s="101"/>
      <c r="AD158" s="101"/>
      <c r="AE158" s="244"/>
      <c r="AF158" s="225">
        <v>0</v>
      </c>
      <c r="AG158" s="101"/>
      <c r="AH158" s="101"/>
      <c r="AI158" s="101"/>
      <c r="AJ158" s="103"/>
      <c r="AK158" s="138">
        <f>SUM(AL158+AM158)</f>
        <v>0</v>
      </c>
      <c r="AL158" s="110">
        <v>0</v>
      </c>
      <c r="AM158" s="294">
        <f>SUM(AN158:AP158)</f>
        <v>0</v>
      </c>
      <c r="AN158" s="105">
        <v>0</v>
      </c>
      <c r="AO158" s="101">
        <v>0</v>
      </c>
      <c r="AP158" s="111">
        <v>0</v>
      </c>
      <c r="AQ158" s="66">
        <f t="shared" si="64"/>
        <v>360000</v>
      </c>
      <c r="AR158" s="43">
        <f t="shared" si="65"/>
        <v>0</v>
      </c>
      <c r="AS158" s="44"/>
      <c r="AT158" s="44"/>
    </row>
    <row r="159" spans="1:46" x14ac:dyDescent="0.25">
      <c r="A159" s="222"/>
      <c r="B159" s="124"/>
      <c r="C159" s="228"/>
      <c r="D159" s="229"/>
      <c r="E159" s="93"/>
      <c r="F159" s="128"/>
      <c r="G159" s="129"/>
      <c r="H159" s="129"/>
      <c r="I159" s="129"/>
      <c r="J159" s="129"/>
      <c r="K159" s="101"/>
      <c r="L159" s="129"/>
      <c r="M159" s="129"/>
      <c r="N159" s="129"/>
      <c r="O159" s="129"/>
      <c r="P159" s="101"/>
      <c r="Q159" s="101"/>
      <c r="R159" s="101"/>
      <c r="S159" s="101"/>
      <c r="T159" s="101"/>
      <c r="U159" s="101"/>
      <c r="V159" s="101"/>
      <c r="W159" s="101"/>
      <c r="X159" s="101"/>
      <c r="Y159" s="101"/>
      <c r="Z159" s="232"/>
      <c r="AA159" s="101"/>
      <c r="AB159" s="101"/>
      <c r="AC159" s="101"/>
      <c r="AD159" s="101"/>
      <c r="AE159" s="244"/>
      <c r="AF159" s="225"/>
      <c r="AG159" s="101"/>
      <c r="AH159" s="101"/>
      <c r="AI159" s="101"/>
      <c r="AJ159" s="103"/>
      <c r="AK159" s="164"/>
      <c r="AL159" s="110"/>
      <c r="AM159" s="249"/>
      <c r="AN159" s="105"/>
      <c r="AO159" s="101"/>
      <c r="AP159" s="111"/>
      <c r="AQ159" s="66">
        <f t="shared" si="64"/>
        <v>0</v>
      </c>
      <c r="AR159" s="43">
        <f t="shared" si="65"/>
        <v>0</v>
      </c>
      <c r="AS159" s="44"/>
      <c r="AT159" s="44"/>
    </row>
    <row r="160" spans="1:46" x14ac:dyDescent="0.25">
      <c r="A160" s="250" t="s">
        <v>267</v>
      </c>
      <c r="B160" s="154" t="s">
        <v>268</v>
      </c>
      <c r="C160" s="239">
        <f t="shared" ref="C160:AP160" si="74">SUM(C161:C167)</f>
        <v>27335383.390000001</v>
      </c>
      <c r="D160" s="287">
        <f t="shared" si="74"/>
        <v>27335383.390000001</v>
      </c>
      <c r="E160" s="93">
        <f t="shared" si="74"/>
        <v>24739923.390000001</v>
      </c>
      <c r="F160" s="184">
        <f t="shared" si="74"/>
        <v>0</v>
      </c>
      <c r="G160" s="185">
        <f t="shared" si="74"/>
        <v>0</v>
      </c>
      <c r="H160" s="185">
        <f t="shared" si="74"/>
        <v>0</v>
      </c>
      <c r="I160" s="185">
        <f t="shared" si="74"/>
        <v>0</v>
      </c>
      <c r="J160" s="185">
        <f t="shared" si="74"/>
        <v>0</v>
      </c>
      <c r="K160" s="185">
        <f t="shared" si="74"/>
        <v>12400631</v>
      </c>
      <c r="L160" s="185">
        <f t="shared" si="74"/>
        <v>0</v>
      </c>
      <c r="M160" s="185">
        <f t="shared" si="74"/>
        <v>0</v>
      </c>
      <c r="N160" s="185">
        <f t="shared" si="74"/>
        <v>0</v>
      </c>
      <c r="O160" s="185">
        <f t="shared" si="74"/>
        <v>0</v>
      </c>
      <c r="P160" s="185">
        <f t="shared" si="74"/>
        <v>3289</v>
      </c>
      <c r="Q160" s="185">
        <f t="shared" si="74"/>
        <v>11949403.390000001</v>
      </c>
      <c r="R160" s="185">
        <f t="shared" si="74"/>
        <v>0</v>
      </c>
      <c r="S160" s="185">
        <f t="shared" si="74"/>
        <v>0</v>
      </c>
      <c r="T160" s="185">
        <f t="shared" si="74"/>
        <v>6600</v>
      </c>
      <c r="U160" s="185">
        <f t="shared" si="74"/>
        <v>30000</v>
      </c>
      <c r="V160" s="185">
        <f t="shared" si="74"/>
        <v>0</v>
      </c>
      <c r="W160" s="185">
        <f t="shared" si="74"/>
        <v>200000</v>
      </c>
      <c r="X160" s="185">
        <f t="shared" si="74"/>
        <v>150000</v>
      </c>
      <c r="Y160" s="185">
        <f t="shared" si="74"/>
        <v>0</v>
      </c>
      <c r="Z160" s="217">
        <f t="shared" si="74"/>
        <v>230000</v>
      </c>
      <c r="AA160" s="185">
        <f t="shared" si="74"/>
        <v>0</v>
      </c>
      <c r="AB160" s="185">
        <f t="shared" si="74"/>
        <v>0</v>
      </c>
      <c r="AC160" s="185">
        <f t="shared" si="74"/>
        <v>100000</v>
      </c>
      <c r="AD160" s="185">
        <f t="shared" si="74"/>
        <v>100000</v>
      </c>
      <c r="AE160" s="188">
        <f t="shared" si="74"/>
        <v>30000</v>
      </c>
      <c r="AF160" s="225">
        <f t="shared" si="74"/>
        <v>0</v>
      </c>
      <c r="AG160" s="185">
        <f t="shared" si="74"/>
        <v>0</v>
      </c>
      <c r="AH160" s="185">
        <f t="shared" si="74"/>
        <v>0</v>
      </c>
      <c r="AI160" s="185">
        <f t="shared" si="74"/>
        <v>0</v>
      </c>
      <c r="AJ160" s="186">
        <f t="shared" si="74"/>
        <v>0</v>
      </c>
      <c r="AK160" s="164">
        <f t="shared" si="74"/>
        <v>2365460</v>
      </c>
      <c r="AL160" s="191">
        <f t="shared" si="74"/>
        <v>2345460</v>
      </c>
      <c r="AM160" s="164">
        <f t="shared" si="74"/>
        <v>20000</v>
      </c>
      <c r="AN160" s="184">
        <f t="shared" si="74"/>
        <v>0</v>
      </c>
      <c r="AO160" s="185">
        <f t="shared" si="74"/>
        <v>0</v>
      </c>
      <c r="AP160" s="252">
        <f t="shared" si="74"/>
        <v>20000</v>
      </c>
      <c r="AQ160" s="66">
        <f t="shared" si="64"/>
        <v>27335383.390000001</v>
      </c>
      <c r="AR160" s="43">
        <f t="shared" si="65"/>
        <v>0</v>
      </c>
      <c r="AS160" s="44"/>
      <c r="AT160" s="44"/>
    </row>
    <row r="161" spans="1:46" x14ac:dyDescent="0.25">
      <c r="A161" s="222" t="s">
        <v>269</v>
      </c>
      <c r="B161" s="124" t="s">
        <v>270</v>
      </c>
      <c r="C161" s="228">
        <f t="shared" ref="C161:C167" si="75">+E161+Z161+AF161+AK161</f>
        <v>1135600</v>
      </c>
      <c r="D161" s="126">
        <f t="shared" ref="D161:D167" si="76">SUM(F161+G161+H161+I161+J161+K161+L161+M161+N161+O161+P161+Q161+R161+S161+T161+U161+V161+W161+X161+Y161+AA161+AB161+AC161+AD161+AE161+AG161+AH161+AI161+AJ161+AL161+AN161+AO161+AP161)</f>
        <v>1135600</v>
      </c>
      <c r="E161" s="127">
        <f t="shared" ref="E161:E167" si="77">SUM(F161:Y161)</f>
        <v>1040101</v>
      </c>
      <c r="F161" s="128"/>
      <c r="G161" s="129"/>
      <c r="H161" s="129"/>
      <c r="I161" s="129"/>
      <c r="J161" s="129"/>
      <c r="K161" s="176">
        <f>120000*1.13</f>
        <v>135600</v>
      </c>
      <c r="L161" s="129"/>
      <c r="M161" s="129"/>
      <c r="N161" s="129"/>
      <c r="O161" s="129"/>
      <c r="P161" s="101"/>
      <c r="Q161" s="243">
        <f>1000000-'[2]Costeo SAP'!I21</f>
        <v>904501</v>
      </c>
      <c r="R161" s="101"/>
      <c r="S161" s="101"/>
      <c r="T161" s="101"/>
      <c r="U161" s="101"/>
      <c r="V161" s="101"/>
      <c r="W161" s="101"/>
      <c r="X161" s="101"/>
      <c r="Y161" s="101"/>
      <c r="Z161" s="133">
        <f t="shared" ref="Z161:Z167" si="78">SUM(AA161:AE161)</f>
        <v>0</v>
      </c>
      <c r="AA161" s="101"/>
      <c r="AB161" s="101"/>
      <c r="AC161" s="101"/>
      <c r="AD161" s="101"/>
      <c r="AE161" s="244"/>
      <c r="AF161" s="248">
        <f t="shared" ref="AF161:AF167" si="79">SUM(AG161:AJ161)</f>
        <v>0</v>
      </c>
      <c r="AG161" s="101"/>
      <c r="AH161" s="101"/>
      <c r="AI161" s="101"/>
      <c r="AJ161" s="103"/>
      <c r="AK161" s="138">
        <f t="shared" ref="AK161:AK167" si="80">SUM(AL161+AM161)</f>
        <v>95499</v>
      </c>
      <c r="AL161" s="176">
        <f>'[2]Costeo SAP'!I21</f>
        <v>95499</v>
      </c>
      <c r="AM161" s="294">
        <f t="shared" ref="AM161:AM167" si="81">SUM(AN161:AP161)</f>
        <v>0</v>
      </c>
      <c r="AN161" s="105"/>
      <c r="AO161" s="101"/>
      <c r="AP161" s="111"/>
      <c r="AQ161" s="66">
        <f t="shared" si="64"/>
        <v>1135600</v>
      </c>
      <c r="AR161" s="43">
        <f t="shared" si="65"/>
        <v>0</v>
      </c>
      <c r="AS161" s="44"/>
      <c r="AT161" s="44"/>
    </row>
    <row r="162" spans="1:46" x14ac:dyDescent="0.25">
      <c r="A162" s="222" t="s">
        <v>271</v>
      </c>
      <c r="B162" s="124" t="s">
        <v>272</v>
      </c>
      <c r="C162" s="228">
        <f t="shared" si="75"/>
        <v>1000000</v>
      </c>
      <c r="D162" s="126">
        <f t="shared" si="76"/>
        <v>1000000</v>
      </c>
      <c r="E162" s="127">
        <f t="shared" si="77"/>
        <v>904501</v>
      </c>
      <c r="F162" s="128"/>
      <c r="G162" s="129"/>
      <c r="H162" s="129"/>
      <c r="I162" s="129"/>
      <c r="J162" s="129"/>
      <c r="K162" s="101"/>
      <c r="L162" s="129"/>
      <c r="M162" s="129"/>
      <c r="N162" s="129"/>
      <c r="O162" s="129"/>
      <c r="P162" s="101"/>
      <c r="Q162" s="243">
        <f>1000000-'[2]Costeo SAP'!I22</f>
        <v>904501</v>
      </c>
      <c r="R162" s="101"/>
      <c r="S162" s="101"/>
      <c r="T162" s="101"/>
      <c r="U162" s="101"/>
      <c r="V162" s="101"/>
      <c r="W162" s="101"/>
      <c r="X162" s="101"/>
      <c r="Y162" s="101"/>
      <c r="Z162" s="133">
        <f t="shared" si="78"/>
        <v>0</v>
      </c>
      <c r="AA162" s="101"/>
      <c r="AB162" s="101"/>
      <c r="AC162" s="101"/>
      <c r="AD162" s="101"/>
      <c r="AE162" s="244"/>
      <c r="AF162" s="248">
        <f t="shared" si="79"/>
        <v>0</v>
      </c>
      <c r="AG162" s="101"/>
      <c r="AH162" s="101"/>
      <c r="AI162" s="101"/>
      <c r="AJ162" s="103"/>
      <c r="AK162" s="138">
        <f t="shared" si="80"/>
        <v>95499</v>
      </c>
      <c r="AL162" s="110">
        <f>+'[2]Costeo SAP'!I22</f>
        <v>95499</v>
      </c>
      <c r="AM162" s="294">
        <f t="shared" si="81"/>
        <v>0</v>
      </c>
      <c r="AN162" s="105"/>
      <c r="AO162" s="101"/>
      <c r="AP162" s="111"/>
      <c r="AQ162" s="66">
        <f t="shared" si="64"/>
        <v>1000000</v>
      </c>
      <c r="AR162" s="43">
        <f t="shared" si="65"/>
        <v>0</v>
      </c>
      <c r="AS162" s="44"/>
      <c r="AT162" s="44"/>
    </row>
    <row r="163" spans="1:46" ht="13.8" thickBot="1" x14ac:dyDescent="0.3">
      <c r="A163" s="222" t="s">
        <v>273</v>
      </c>
      <c r="B163" s="124" t="s">
        <v>274</v>
      </c>
      <c r="C163" s="228">
        <f t="shared" si="75"/>
        <v>1000000</v>
      </c>
      <c r="D163" s="126">
        <f t="shared" si="76"/>
        <v>1000000</v>
      </c>
      <c r="E163" s="127">
        <f t="shared" si="77"/>
        <v>904501</v>
      </c>
      <c r="F163" s="128"/>
      <c r="G163" s="129"/>
      <c r="H163" s="129"/>
      <c r="I163" s="129"/>
      <c r="J163" s="129"/>
      <c r="K163" s="101"/>
      <c r="L163" s="129"/>
      <c r="M163" s="129"/>
      <c r="N163" s="129"/>
      <c r="O163" s="129"/>
      <c r="P163" s="101"/>
      <c r="Q163" s="243">
        <f>1000000-'[2]Costeo SAP'!I23</f>
        <v>904501</v>
      </c>
      <c r="R163" s="101"/>
      <c r="S163" s="101"/>
      <c r="T163" s="101"/>
      <c r="U163" s="101"/>
      <c r="V163" s="101"/>
      <c r="W163" s="101"/>
      <c r="X163" s="101"/>
      <c r="Y163" s="101"/>
      <c r="Z163" s="133">
        <f t="shared" si="78"/>
        <v>0</v>
      </c>
      <c r="AA163" s="101"/>
      <c r="AB163" s="101"/>
      <c r="AC163" s="101"/>
      <c r="AD163" s="101"/>
      <c r="AE163" s="244"/>
      <c r="AF163" s="248">
        <f t="shared" si="79"/>
        <v>0</v>
      </c>
      <c r="AG163" s="101"/>
      <c r="AH163" s="101"/>
      <c r="AI163" s="101"/>
      <c r="AJ163" s="103"/>
      <c r="AK163" s="138">
        <f>+AL163+AM163</f>
        <v>95499</v>
      </c>
      <c r="AL163" s="176">
        <f>'[2]Costeo SAP'!I23</f>
        <v>95499</v>
      </c>
      <c r="AM163" s="294">
        <f t="shared" si="81"/>
        <v>0</v>
      </c>
      <c r="AN163" s="105"/>
      <c r="AO163" s="101"/>
      <c r="AP163" s="111"/>
      <c r="AQ163" s="66">
        <f t="shared" si="64"/>
        <v>1000000</v>
      </c>
      <c r="AR163" s="43">
        <f t="shared" si="65"/>
        <v>0</v>
      </c>
      <c r="AS163" s="44"/>
      <c r="AT163" s="44"/>
    </row>
    <row r="164" spans="1:46" ht="14.4" thickTop="1" thickBot="1" x14ac:dyDescent="0.3">
      <c r="A164" s="295" t="s">
        <v>275</v>
      </c>
      <c r="B164" s="124" t="s">
        <v>276</v>
      </c>
      <c r="C164" s="228">
        <f t="shared" si="75"/>
        <v>22349783.390000001</v>
      </c>
      <c r="D164" s="126">
        <f t="shared" si="76"/>
        <v>22349783.390000001</v>
      </c>
      <c r="E164" s="127">
        <f t="shared" si="77"/>
        <v>20040820.390000001</v>
      </c>
      <c r="F164" s="128"/>
      <c r="G164" s="129"/>
      <c r="H164" s="129"/>
      <c r="I164" s="129"/>
      <c r="J164" s="129"/>
      <c r="K164" s="176">
        <f>13560000-1294969</f>
        <v>12265031</v>
      </c>
      <c r="L164" s="129"/>
      <c r="M164" s="129"/>
      <c r="N164" s="129"/>
      <c r="O164" s="129"/>
      <c r="P164" s="245">
        <v>3289</v>
      </c>
      <c r="Q164" s="243">
        <f>8000000-763994+299894.39</f>
        <v>7535900.3899999997</v>
      </c>
      <c r="R164" s="101"/>
      <c r="S164" s="274"/>
      <c r="T164" s="245">
        <v>6600</v>
      </c>
      <c r="U164" s="101">
        <v>30000</v>
      </c>
      <c r="V164" s="101"/>
      <c r="W164" s="101">
        <v>200000</v>
      </c>
      <c r="X164" s="101"/>
      <c r="Y164" s="101"/>
      <c r="Z164" s="133">
        <f t="shared" si="78"/>
        <v>230000</v>
      </c>
      <c r="AA164" s="245">
        <f>58000-58000</f>
        <v>0</v>
      </c>
      <c r="AB164" s="245">
        <f>100000-100000</f>
        <v>0</v>
      </c>
      <c r="AC164" s="296">
        <f>400000-300000</f>
        <v>100000</v>
      </c>
      <c r="AD164" s="276">
        <v>100000</v>
      </c>
      <c r="AE164" s="259">
        <v>30000</v>
      </c>
      <c r="AF164" s="248">
        <f t="shared" si="79"/>
        <v>0</v>
      </c>
      <c r="AG164" s="129">
        <f>100000-100000</f>
        <v>0</v>
      </c>
      <c r="AH164" s="101"/>
      <c r="AI164" s="101"/>
      <c r="AJ164" s="103"/>
      <c r="AK164" s="138">
        <f>+AL164+AM164</f>
        <v>2078963</v>
      </c>
      <c r="AL164" s="176">
        <f>1294969+763994</f>
        <v>2058963</v>
      </c>
      <c r="AM164" s="294">
        <f t="shared" si="81"/>
        <v>20000</v>
      </c>
      <c r="AN164" s="105"/>
      <c r="AO164" s="101">
        <f>118389-118389</f>
        <v>0</v>
      </c>
      <c r="AP164" s="245">
        <v>20000</v>
      </c>
      <c r="AQ164" s="66">
        <f t="shared" si="64"/>
        <v>22349783.390000001</v>
      </c>
      <c r="AR164" s="43">
        <f t="shared" si="65"/>
        <v>0</v>
      </c>
      <c r="AS164" s="44"/>
      <c r="AT164" s="44"/>
    </row>
    <row r="165" spans="1:46" ht="13.8" thickTop="1" x14ac:dyDescent="0.25">
      <c r="A165" s="222" t="s">
        <v>277</v>
      </c>
      <c r="B165" s="124" t="s">
        <v>278</v>
      </c>
      <c r="C165" s="228">
        <f t="shared" si="75"/>
        <v>500000</v>
      </c>
      <c r="D165" s="126">
        <f t="shared" si="76"/>
        <v>500000</v>
      </c>
      <c r="E165" s="127">
        <f t="shared" si="77"/>
        <v>500000</v>
      </c>
      <c r="F165" s="128"/>
      <c r="G165" s="129"/>
      <c r="H165" s="129"/>
      <c r="I165" s="129"/>
      <c r="J165" s="129"/>
      <c r="K165" s="101"/>
      <c r="L165" s="129"/>
      <c r="M165" s="129"/>
      <c r="N165" s="129"/>
      <c r="O165" s="129"/>
      <c r="P165" s="101"/>
      <c r="Q165" s="243">
        <v>500000</v>
      </c>
      <c r="R165" s="101"/>
      <c r="S165" s="101"/>
      <c r="T165" s="101"/>
      <c r="U165" s="101"/>
      <c r="V165" s="101"/>
      <c r="W165" s="101"/>
      <c r="X165" s="101"/>
      <c r="Y165" s="101"/>
      <c r="Z165" s="133">
        <f t="shared" si="78"/>
        <v>0</v>
      </c>
      <c r="AA165" s="101"/>
      <c r="AB165" s="101"/>
      <c r="AC165" s="101"/>
      <c r="AD165" s="101"/>
      <c r="AE165" s="244"/>
      <c r="AF165" s="248">
        <f t="shared" si="79"/>
        <v>0</v>
      </c>
      <c r="AG165" s="101"/>
      <c r="AH165" s="101"/>
      <c r="AI165" s="101"/>
      <c r="AJ165" s="103"/>
      <c r="AK165" s="138">
        <f t="shared" si="80"/>
        <v>0</v>
      </c>
      <c r="AL165" s="110"/>
      <c r="AM165" s="294">
        <f t="shared" si="81"/>
        <v>0</v>
      </c>
      <c r="AN165" s="105"/>
      <c r="AO165" s="101"/>
      <c r="AP165" s="111"/>
      <c r="AQ165" s="66">
        <f t="shared" si="64"/>
        <v>500000</v>
      </c>
      <c r="AR165" s="43">
        <f t="shared" si="65"/>
        <v>0</v>
      </c>
      <c r="AS165" s="44"/>
      <c r="AT165" s="44"/>
    </row>
    <row r="166" spans="1:46" x14ac:dyDescent="0.25">
      <c r="A166" s="222" t="s">
        <v>279</v>
      </c>
      <c r="B166" s="124" t="s">
        <v>280</v>
      </c>
      <c r="C166" s="228">
        <f t="shared" si="75"/>
        <v>700000</v>
      </c>
      <c r="D166" s="126">
        <f t="shared" si="76"/>
        <v>700000</v>
      </c>
      <c r="E166" s="127">
        <f t="shared" si="77"/>
        <v>700000</v>
      </c>
      <c r="F166" s="128"/>
      <c r="G166" s="129"/>
      <c r="H166" s="129"/>
      <c r="I166" s="129"/>
      <c r="J166" s="129"/>
      <c r="K166" s="101"/>
      <c r="L166" s="129"/>
      <c r="M166" s="129"/>
      <c r="N166" s="129"/>
      <c r="O166" s="129"/>
      <c r="P166" s="101"/>
      <c r="Q166" s="243">
        <v>700000</v>
      </c>
      <c r="R166" s="101"/>
      <c r="S166" s="101"/>
      <c r="T166" s="101"/>
      <c r="U166" s="101"/>
      <c r="V166" s="101"/>
      <c r="W166" s="101"/>
      <c r="X166" s="101"/>
      <c r="Y166" s="101"/>
      <c r="Z166" s="133">
        <f t="shared" si="78"/>
        <v>0</v>
      </c>
      <c r="AA166" s="101"/>
      <c r="AB166" s="101"/>
      <c r="AC166" s="101"/>
      <c r="AD166" s="101"/>
      <c r="AE166" s="244"/>
      <c r="AF166" s="248">
        <f t="shared" si="79"/>
        <v>0</v>
      </c>
      <c r="AG166" s="101"/>
      <c r="AH166" s="101"/>
      <c r="AI166" s="101"/>
      <c r="AJ166" s="103"/>
      <c r="AK166" s="138">
        <f t="shared" si="80"/>
        <v>0</v>
      </c>
      <c r="AL166" s="176"/>
      <c r="AM166" s="294">
        <f t="shared" si="81"/>
        <v>0</v>
      </c>
      <c r="AN166" s="105"/>
      <c r="AO166" s="101"/>
      <c r="AP166" s="111"/>
      <c r="AQ166" s="66">
        <f t="shared" si="64"/>
        <v>700000</v>
      </c>
      <c r="AR166" s="43">
        <f t="shared" si="65"/>
        <v>0</v>
      </c>
      <c r="AS166" s="44"/>
      <c r="AT166" s="44"/>
    </row>
    <row r="167" spans="1:46" x14ac:dyDescent="0.25">
      <c r="A167" s="222" t="s">
        <v>281</v>
      </c>
      <c r="B167" s="124" t="s">
        <v>282</v>
      </c>
      <c r="C167" s="228">
        <f t="shared" si="75"/>
        <v>650000</v>
      </c>
      <c r="D167" s="126">
        <f t="shared" si="76"/>
        <v>650000</v>
      </c>
      <c r="E167" s="127">
        <f t="shared" si="77"/>
        <v>650000</v>
      </c>
      <c r="F167" s="128"/>
      <c r="G167" s="129"/>
      <c r="H167" s="129"/>
      <c r="I167" s="129"/>
      <c r="J167" s="129"/>
      <c r="K167" s="101"/>
      <c r="L167" s="129"/>
      <c r="M167" s="129"/>
      <c r="N167" s="129"/>
      <c r="O167" s="129"/>
      <c r="P167" s="101"/>
      <c r="Q167" s="243">
        <v>500000</v>
      </c>
      <c r="R167" s="101"/>
      <c r="S167" s="101"/>
      <c r="T167" s="101"/>
      <c r="U167" s="101"/>
      <c r="V167" s="101"/>
      <c r="W167" s="101"/>
      <c r="X167" s="245">
        <v>150000</v>
      </c>
      <c r="Y167" s="101"/>
      <c r="Z167" s="133">
        <f t="shared" si="78"/>
        <v>0</v>
      </c>
      <c r="AA167" s="101"/>
      <c r="AB167" s="101"/>
      <c r="AC167" s="101"/>
      <c r="AD167" s="101"/>
      <c r="AE167" s="244"/>
      <c r="AF167" s="248">
        <f t="shared" si="79"/>
        <v>0</v>
      </c>
      <c r="AG167" s="101"/>
      <c r="AH167" s="101"/>
      <c r="AI167" s="101"/>
      <c r="AJ167" s="103"/>
      <c r="AK167" s="138">
        <f t="shared" si="80"/>
        <v>0</v>
      </c>
      <c r="AL167" s="176"/>
      <c r="AM167" s="294">
        <f t="shared" si="81"/>
        <v>0</v>
      </c>
      <c r="AN167" s="105"/>
      <c r="AO167" s="101"/>
      <c r="AP167" s="111"/>
      <c r="AQ167" s="66">
        <f t="shared" si="64"/>
        <v>650000</v>
      </c>
      <c r="AR167" s="43">
        <f t="shared" si="65"/>
        <v>0</v>
      </c>
      <c r="AS167" s="44"/>
      <c r="AT167" s="44"/>
    </row>
    <row r="168" spans="1:46" x14ac:dyDescent="0.25">
      <c r="A168" s="222"/>
      <c r="B168" s="124"/>
      <c r="C168" s="228"/>
      <c r="D168" s="229"/>
      <c r="E168" s="127">
        <f>SUM(F168:Y168)</f>
        <v>0</v>
      </c>
      <c r="F168" s="128"/>
      <c r="G168" s="129"/>
      <c r="H168" s="129"/>
      <c r="I168" s="129"/>
      <c r="J168" s="129"/>
      <c r="K168" s="101"/>
      <c r="L168" s="129"/>
      <c r="M168" s="129"/>
      <c r="N168" s="129"/>
      <c r="O168" s="129"/>
      <c r="P168" s="101"/>
      <c r="Q168" s="101"/>
      <c r="R168" s="101"/>
      <c r="S168" s="101"/>
      <c r="T168" s="101"/>
      <c r="U168" s="101"/>
      <c r="V168" s="101"/>
      <c r="W168" s="101"/>
      <c r="X168" s="101"/>
      <c r="Y168" s="101"/>
      <c r="Z168" s="263"/>
      <c r="AA168" s="101"/>
      <c r="AB168" s="101"/>
      <c r="AC168" s="101"/>
      <c r="AD168" s="101"/>
      <c r="AE168" s="244"/>
      <c r="AF168" s="225" t="s">
        <v>0</v>
      </c>
      <c r="AG168" s="101"/>
      <c r="AH168" s="101"/>
      <c r="AI168" s="101"/>
      <c r="AJ168" s="103"/>
      <c r="AK168" s="164"/>
      <c r="AL168" s="110"/>
      <c r="AM168" s="254"/>
      <c r="AN168" s="105"/>
      <c r="AO168" s="101"/>
      <c r="AP168" s="111"/>
      <c r="AQ168" s="66">
        <f t="shared" si="64"/>
        <v>0</v>
      </c>
      <c r="AR168" s="43">
        <f t="shared" si="65"/>
        <v>0</v>
      </c>
      <c r="AS168" s="44"/>
      <c r="AT168" s="44"/>
    </row>
    <row r="169" spans="1:46" x14ac:dyDescent="0.25">
      <c r="A169" s="250" t="s">
        <v>283</v>
      </c>
      <c r="B169" s="154" t="s">
        <v>284</v>
      </c>
      <c r="C169" s="239">
        <f>SUM(C170:C171)</f>
        <v>4286500</v>
      </c>
      <c r="D169" s="240">
        <f>SUM(D170:D171)</f>
        <v>4286500</v>
      </c>
      <c r="E169" s="93">
        <f>SUM(E170:E171)</f>
        <v>4256500</v>
      </c>
      <c r="F169" s="184">
        <f t="shared" ref="F169:AM169" si="82">SUM(F170:F171)</f>
        <v>0</v>
      </c>
      <c r="G169" s="185">
        <f t="shared" si="82"/>
        <v>0</v>
      </c>
      <c r="H169" s="185">
        <f t="shared" si="82"/>
        <v>0</v>
      </c>
      <c r="I169" s="185">
        <f t="shared" si="82"/>
        <v>0</v>
      </c>
      <c r="J169" s="185">
        <f t="shared" si="82"/>
        <v>200000</v>
      </c>
      <c r="K169" s="185">
        <f t="shared" si="82"/>
        <v>56499.999999999993</v>
      </c>
      <c r="L169" s="185">
        <f t="shared" si="82"/>
        <v>0</v>
      </c>
      <c r="M169" s="185">
        <f t="shared" si="82"/>
        <v>0</v>
      </c>
      <c r="N169" s="185">
        <f t="shared" si="82"/>
        <v>0</v>
      </c>
      <c r="O169" s="185">
        <f t="shared" si="82"/>
        <v>0</v>
      </c>
      <c r="P169" s="185">
        <f t="shared" si="82"/>
        <v>0</v>
      </c>
      <c r="Q169" s="185">
        <f t="shared" si="82"/>
        <v>4000000</v>
      </c>
      <c r="R169" s="185">
        <f t="shared" si="82"/>
        <v>0</v>
      </c>
      <c r="S169" s="185">
        <f>SUM(S170:S171)</f>
        <v>0</v>
      </c>
      <c r="T169" s="185">
        <f t="shared" si="82"/>
        <v>0</v>
      </c>
      <c r="U169" s="185">
        <f t="shared" si="82"/>
        <v>0</v>
      </c>
      <c r="V169" s="185">
        <f t="shared" si="82"/>
        <v>0</v>
      </c>
      <c r="W169" s="185">
        <f t="shared" si="82"/>
        <v>0</v>
      </c>
      <c r="X169" s="185">
        <f t="shared" si="82"/>
        <v>0</v>
      </c>
      <c r="Y169" s="185">
        <f t="shared" si="82"/>
        <v>0</v>
      </c>
      <c r="Z169" s="217">
        <f t="shared" si="82"/>
        <v>30000</v>
      </c>
      <c r="AA169" s="185">
        <f t="shared" si="82"/>
        <v>0</v>
      </c>
      <c r="AB169" s="185">
        <f t="shared" si="82"/>
        <v>0</v>
      </c>
      <c r="AC169" s="185">
        <f t="shared" si="82"/>
        <v>0</v>
      </c>
      <c r="AD169" s="185">
        <f t="shared" si="82"/>
        <v>0</v>
      </c>
      <c r="AE169" s="188">
        <f t="shared" si="82"/>
        <v>30000</v>
      </c>
      <c r="AF169" s="225">
        <f t="shared" si="82"/>
        <v>0</v>
      </c>
      <c r="AG169" s="185">
        <f>SUM(AG170:AG171)</f>
        <v>0</v>
      </c>
      <c r="AH169" s="185">
        <f>SUM(AH170:AH171)</f>
        <v>0</v>
      </c>
      <c r="AI169" s="185">
        <f>SUM(AI170:AI171)</f>
        <v>0</v>
      </c>
      <c r="AJ169" s="186">
        <f>SUM(AJ170:AJ171)</f>
        <v>0</v>
      </c>
      <c r="AK169" s="164">
        <f t="shared" si="82"/>
        <v>0</v>
      </c>
      <c r="AL169" s="191">
        <f>SUM(AL170:AL171)</f>
        <v>0</v>
      </c>
      <c r="AM169" s="164">
        <f t="shared" si="82"/>
        <v>0</v>
      </c>
      <c r="AN169" s="184">
        <f>SUM(AN170:AN171)</f>
        <v>0</v>
      </c>
      <c r="AO169" s="185">
        <f>SUM(AO170:AO171)</f>
        <v>0</v>
      </c>
      <c r="AP169" s="252">
        <f>SUM(AP170:AP171)</f>
        <v>0</v>
      </c>
      <c r="AQ169" s="66">
        <f t="shared" si="64"/>
        <v>4286500</v>
      </c>
      <c r="AR169" s="43">
        <f t="shared" si="65"/>
        <v>0</v>
      </c>
      <c r="AS169" s="44"/>
      <c r="AT169" s="44"/>
    </row>
    <row r="170" spans="1:46" ht="13.8" thickBot="1" x14ac:dyDescent="0.3">
      <c r="A170" s="222" t="s">
        <v>285</v>
      </c>
      <c r="B170" s="124" t="s">
        <v>286</v>
      </c>
      <c r="C170" s="228">
        <f>+E170+Z170+AF170+AK170</f>
        <v>1056500</v>
      </c>
      <c r="D170" s="126">
        <f>SUM(F170+G170+H170+I170+J170+K170+L170+M170+N170+O170+P170+Q170+R170+S170+T170+U170+V170+W170+X170+Y170+AA170+AB170+AC170+AD170+AE170+AG170+AH170+AI170+AJ170+AL170+AN170+AO170+AP170)</f>
        <v>1056500</v>
      </c>
      <c r="E170" s="127">
        <f>SUM(F170:Y170)</f>
        <v>1056500</v>
      </c>
      <c r="F170" s="128"/>
      <c r="G170" s="129"/>
      <c r="H170" s="129"/>
      <c r="I170" s="129"/>
      <c r="J170" s="129"/>
      <c r="K170" s="176">
        <f>50000*1.13</f>
        <v>56499.999999999993</v>
      </c>
      <c r="L170" s="129"/>
      <c r="M170" s="129"/>
      <c r="N170" s="129"/>
      <c r="O170" s="129"/>
      <c r="P170" s="101"/>
      <c r="Q170" s="243">
        <v>1000000</v>
      </c>
      <c r="R170" s="101"/>
      <c r="S170" s="101"/>
      <c r="T170" s="101"/>
      <c r="U170" s="101"/>
      <c r="V170" s="101"/>
      <c r="W170" s="101"/>
      <c r="X170" s="101"/>
      <c r="Y170" s="101"/>
      <c r="Z170" s="133">
        <f>SUM(AA170:AE170)</f>
        <v>0</v>
      </c>
      <c r="AA170" s="101"/>
      <c r="AB170" s="101"/>
      <c r="AC170" s="101"/>
      <c r="AD170" s="101"/>
      <c r="AE170" s="244"/>
      <c r="AF170" s="248">
        <f>SUM(AG170:AJ170)</f>
        <v>0</v>
      </c>
      <c r="AG170" s="101"/>
      <c r="AH170" s="101"/>
      <c r="AI170" s="101"/>
      <c r="AJ170" s="103"/>
      <c r="AK170" s="138">
        <f>SUM(AL170+AM170)</f>
        <v>0</v>
      </c>
      <c r="AL170" s="176"/>
      <c r="AM170" s="294">
        <f>SUM(AN170:AP170)</f>
        <v>0</v>
      </c>
      <c r="AN170" s="105"/>
      <c r="AO170" s="101"/>
      <c r="AP170" s="111"/>
      <c r="AQ170" s="66">
        <f t="shared" si="64"/>
        <v>1056500</v>
      </c>
      <c r="AR170" s="43">
        <f t="shared" si="65"/>
        <v>0</v>
      </c>
      <c r="AS170" s="44"/>
      <c r="AT170" s="44"/>
    </row>
    <row r="171" spans="1:46" ht="14.4" thickTop="1" thickBot="1" x14ac:dyDescent="0.3">
      <c r="A171" s="222" t="s">
        <v>287</v>
      </c>
      <c r="B171" s="124" t="s">
        <v>288</v>
      </c>
      <c r="C171" s="228">
        <f>+E171+Z171+AF171+AK171</f>
        <v>3230000</v>
      </c>
      <c r="D171" s="126">
        <f>SUM(F171+G171+H171+I171+J171+K171+L171+M171+N171+O171+P171+Q171+R171+S171+T171+U171+V171+W171+X171+Y171+AA171+AB171+AC171+AD171+AE171+AG171+AH171+AI171+AJ171+AL171+AN171+AO171+AP171)</f>
        <v>3230000</v>
      </c>
      <c r="E171" s="127">
        <f>SUM(F171:Y171)</f>
        <v>3200000</v>
      </c>
      <c r="F171" s="128">
        <v>0</v>
      </c>
      <c r="G171" s="129"/>
      <c r="H171" s="129"/>
      <c r="I171" s="129"/>
      <c r="J171" s="245">
        <f>300000-100000</f>
        <v>200000</v>
      </c>
      <c r="K171" s="101"/>
      <c r="L171" s="129"/>
      <c r="M171" s="129"/>
      <c r="N171" s="129"/>
      <c r="O171" s="129"/>
      <c r="P171" s="101"/>
      <c r="Q171" s="243">
        <v>3000000</v>
      </c>
      <c r="R171" s="101"/>
      <c r="S171" s="274"/>
      <c r="T171" s="101"/>
      <c r="U171" s="101"/>
      <c r="V171" s="101"/>
      <c r="W171" s="101"/>
      <c r="X171" s="101"/>
      <c r="Y171" s="101"/>
      <c r="Z171" s="133">
        <f>SUM(AA171:AE171)</f>
        <v>30000</v>
      </c>
      <c r="AA171" s="101"/>
      <c r="AB171" s="101"/>
      <c r="AC171" s="101"/>
      <c r="AD171" s="101"/>
      <c r="AE171" s="259">
        <v>30000</v>
      </c>
      <c r="AF171" s="248">
        <f>SUM(AG171:AJ171)</f>
        <v>0</v>
      </c>
      <c r="AG171" s="101"/>
      <c r="AH171" s="101"/>
      <c r="AI171" s="101"/>
      <c r="AJ171" s="103"/>
      <c r="AK171" s="138">
        <f>SUM(AL171+AM171)</f>
        <v>0</v>
      </c>
      <c r="AL171" s="176"/>
      <c r="AM171" s="294">
        <f>SUM(AN171:AP171)</f>
        <v>0</v>
      </c>
      <c r="AN171" s="105"/>
      <c r="AO171" s="101"/>
      <c r="AP171" s="111"/>
      <c r="AQ171" s="66">
        <f t="shared" si="64"/>
        <v>3230000</v>
      </c>
      <c r="AR171" s="43">
        <f t="shared" si="65"/>
        <v>0</v>
      </c>
      <c r="AS171" s="44"/>
      <c r="AT171" s="44"/>
    </row>
    <row r="172" spans="1:46" ht="13.8" thickTop="1" x14ac:dyDescent="0.25">
      <c r="A172" s="222"/>
      <c r="B172" s="124"/>
      <c r="C172" s="228"/>
      <c r="D172" s="229"/>
      <c r="E172" s="93"/>
      <c r="F172" s="128"/>
      <c r="G172" s="129"/>
      <c r="H172" s="129"/>
      <c r="I172" s="129"/>
      <c r="J172" s="129"/>
      <c r="K172" s="101"/>
      <c r="L172" s="129"/>
      <c r="M172" s="129"/>
      <c r="N172" s="129"/>
      <c r="O172" s="129"/>
      <c r="P172" s="101"/>
      <c r="Q172" s="101"/>
      <c r="R172" s="101"/>
      <c r="S172" s="101"/>
      <c r="T172" s="101"/>
      <c r="U172" s="101"/>
      <c r="V172" s="101"/>
      <c r="W172" s="101"/>
      <c r="X172" s="101"/>
      <c r="Y172" s="101"/>
      <c r="Z172" s="263"/>
      <c r="AA172" s="101"/>
      <c r="AB172" s="101"/>
      <c r="AC172" s="101"/>
      <c r="AD172" s="101"/>
      <c r="AE172" s="244"/>
      <c r="AF172" s="225" t="s">
        <v>0</v>
      </c>
      <c r="AG172" s="101"/>
      <c r="AH172" s="101"/>
      <c r="AI172" s="101"/>
      <c r="AJ172" s="103"/>
      <c r="AK172" s="164"/>
      <c r="AL172" s="110"/>
      <c r="AM172" s="254"/>
      <c r="AN172" s="105"/>
      <c r="AO172" s="101"/>
      <c r="AP172" s="111"/>
      <c r="AQ172" s="66">
        <f t="shared" si="64"/>
        <v>0</v>
      </c>
      <c r="AR172" s="43">
        <f t="shared" si="65"/>
        <v>0</v>
      </c>
      <c r="AS172" s="44"/>
      <c r="AT172" s="44"/>
    </row>
    <row r="173" spans="1:46" ht="13.8" thickBot="1" x14ac:dyDescent="0.3">
      <c r="A173" s="250" t="s">
        <v>289</v>
      </c>
      <c r="B173" s="154" t="s">
        <v>290</v>
      </c>
      <c r="C173" s="239">
        <f>SUM(C174:C181)</f>
        <v>17818140.300000001</v>
      </c>
      <c r="D173" s="240">
        <f>SUM(D174:D181)</f>
        <v>17818140.300000001</v>
      </c>
      <c r="E173" s="93">
        <f>SUM(E174:E181)</f>
        <v>13166814</v>
      </c>
      <c r="F173" s="184">
        <f t="shared" ref="F173:AP173" si="83">SUM(F174:F181)</f>
        <v>98000</v>
      </c>
      <c r="G173" s="185">
        <f t="shared" si="83"/>
        <v>0</v>
      </c>
      <c r="H173" s="185">
        <f t="shared" si="83"/>
        <v>200000</v>
      </c>
      <c r="I173" s="185">
        <f t="shared" si="83"/>
        <v>135000</v>
      </c>
      <c r="J173" s="185">
        <f t="shared" si="83"/>
        <v>2030000</v>
      </c>
      <c r="K173" s="185">
        <f t="shared" si="83"/>
        <v>236056.99999999997</v>
      </c>
      <c r="L173" s="185">
        <f t="shared" si="83"/>
        <v>100000</v>
      </c>
      <c r="M173" s="185">
        <f t="shared" si="83"/>
        <v>8550</v>
      </c>
      <c r="N173" s="185">
        <f t="shared" si="83"/>
        <v>124000</v>
      </c>
      <c r="O173" s="185">
        <f t="shared" si="83"/>
        <v>283313</v>
      </c>
      <c r="P173" s="185">
        <f t="shared" si="83"/>
        <v>56894</v>
      </c>
      <c r="Q173" s="185">
        <f t="shared" si="83"/>
        <v>6330000</v>
      </c>
      <c r="R173" s="185">
        <f t="shared" si="83"/>
        <v>110000</v>
      </c>
      <c r="S173" s="185">
        <f>SUM(S174:S181)</f>
        <v>60000</v>
      </c>
      <c r="T173" s="185">
        <f t="shared" si="83"/>
        <v>180000</v>
      </c>
      <c r="U173" s="185">
        <f t="shared" si="83"/>
        <v>1240000</v>
      </c>
      <c r="V173" s="185">
        <f t="shared" si="83"/>
        <v>175000</v>
      </c>
      <c r="W173" s="185">
        <f t="shared" si="83"/>
        <v>1300000</v>
      </c>
      <c r="X173" s="185">
        <f t="shared" si="83"/>
        <v>150000</v>
      </c>
      <c r="Y173" s="185">
        <f t="shared" si="83"/>
        <v>350000</v>
      </c>
      <c r="Z173" s="217">
        <f t="shared" si="83"/>
        <v>1050900</v>
      </c>
      <c r="AA173" s="185">
        <f t="shared" si="83"/>
        <v>99900</v>
      </c>
      <c r="AB173" s="185">
        <f t="shared" si="83"/>
        <v>300000</v>
      </c>
      <c r="AC173" s="185">
        <f t="shared" si="83"/>
        <v>275000</v>
      </c>
      <c r="AD173" s="185">
        <f t="shared" si="83"/>
        <v>210000</v>
      </c>
      <c r="AE173" s="188">
        <f t="shared" si="83"/>
        <v>166000</v>
      </c>
      <c r="AF173" s="225">
        <f t="shared" si="83"/>
        <v>815426.3</v>
      </c>
      <c r="AG173" s="185">
        <f t="shared" si="83"/>
        <v>93500</v>
      </c>
      <c r="AH173" s="185">
        <f t="shared" si="83"/>
        <v>94180</v>
      </c>
      <c r="AI173" s="185">
        <f t="shared" si="83"/>
        <v>337500</v>
      </c>
      <c r="AJ173" s="186">
        <f t="shared" si="83"/>
        <v>290246.30000000005</v>
      </c>
      <c r="AK173" s="164">
        <f t="shared" si="83"/>
        <v>2785000</v>
      </c>
      <c r="AL173" s="191">
        <f t="shared" si="83"/>
        <v>1840000</v>
      </c>
      <c r="AM173" s="164">
        <f t="shared" si="83"/>
        <v>945000</v>
      </c>
      <c r="AN173" s="184">
        <f t="shared" si="83"/>
        <v>250000</v>
      </c>
      <c r="AO173" s="185">
        <f t="shared" si="83"/>
        <v>350000</v>
      </c>
      <c r="AP173" s="252">
        <f t="shared" si="83"/>
        <v>345000</v>
      </c>
      <c r="AQ173" s="66">
        <f t="shared" si="64"/>
        <v>17818140.300000001</v>
      </c>
      <c r="AR173" s="43">
        <f t="shared" si="65"/>
        <v>0</v>
      </c>
      <c r="AS173" s="44"/>
      <c r="AT173" s="44"/>
    </row>
    <row r="174" spans="1:46" ht="14.4" thickTop="1" thickBot="1" x14ac:dyDescent="0.3">
      <c r="A174" s="222" t="s">
        <v>291</v>
      </c>
      <c r="B174" s="124" t="s">
        <v>292</v>
      </c>
      <c r="C174" s="228">
        <f t="shared" ref="C174:C181" si="84">+E174+Z174+AF174+AK174</f>
        <v>2887155</v>
      </c>
      <c r="D174" s="126">
        <f t="shared" ref="D174:D181" si="85">SUM(F174+G174+H174+I174+J174+K174+L174+M174+N174+O174+P174+Q174+R174+S174+T174+U174+V174+W174+X174+Y174+AA174+AB174+AC174+AD174+AE174+AG174+AH174+AI174+AJ174+AL174+AN174+AO174+AP174)</f>
        <v>2887155</v>
      </c>
      <c r="E174" s="127">
        <f t="shared" ref="E174:E181" si="86">SUM(F174:Y174)</f>
        <v>1579818</v>
      </c>
      <c r="F174" s="128">
        <f>60000-45000</f>
        <v>15000</v>
      </c>
      <c r="G174" s="129"/>
      <c r="H174" s="245">
        <v>50000</v>
      </c>
      <c r="I174" s="183">
        <v>60000</v>
      </c>
      <c r="J174" s="245">
        <v>150000</v>
      </c>
      <c r="K174" s="176">
        <f>100000*1.13</f>
        <v>112999.99999999999</v>
      </c>
      <c r="L174" s="182">
        <v>40000</v>
      </c>
      <c r="M174" s="245">
        <v>4937</v>
      </c>
      <c r="N174" s="129">
        <v>24000</v>
      </c>
      <c r="O174" s="129">
        <v>87865</v>
      </c>
      <c r="P174" s="245">
        <v>15016</v>
      </c>
      <c r="Q174" s="243">
        <v>100000</v>
      </c>
      <c r="R174" s="245">
        <v>30000</v>
      </c>
      <c r="S174" s="245">
        <v>10000</v>
      </c>
      <c r="T174" s="245">
        <v>90000</v>
      </c>
      <c r="U174" s="101">
        <v>90000</v>
      </c>
      <c r="V174" s="104">
        <v>75000</v>
      </c>
      <c r="W174" s="101">
        <v>500000</v>
      </c>
      <c r="X174" s="245">
        <v>75000</v>
      </c>
      <c r="Y174" s="245">
        <v>50000</v>
      </c>
      <c r="Z174" s="133">
        <f t="shared" ref="Z174:Z181" si="87">SUM(AA174:AE174)</f>
        <v>326500</v>
      </c>
      <c r="AA174" s="245">
        <v>19500</v>
      </c>
      <c r="AB174" s="245">
        <v>100000</v>
      </c>
      <c r="AC174" s="275">
        <v>125000</v>
      </c>
      <c r="AD174" s="245">
        <v>50000</v>
      </c>
      <c r="AE174" s="259">
        <v>32000</v>
      </c>
      <c r="AF174" s="248">
        <f t="shared" ref="AF174:AF181" si="88">SUM(AG174:AJ174)</f>
        <v>390837</v>
      </c>
      <c r="AG174" s="260">
        <f>1500+30000+15000</f>
        <v>46500</v>
      </c>
      <c r="AH174" s="261">
        <f>+'[6]Egresos -2020'!$C$112+2.27</f>
        <v>15110.000000000002</v>
      </c>
      <c r="AI174" s="297">
        <v>242500</v>
      </c>
      <c r="AJ174" s="261">
        <v>86727</v>
      </c>
      <c r="AK174" s="138">
        <f t="shared" ref="AK174:AK181" si="89">SUM(AL174+AM174)</f>
        <v>590000</v>
      </c>
      <c r="AL174" s="176">
        <v>145000</v>
      </c>
      <c r="AM174" s="294">
        <f>SUM(AN174:AP174)</f>
        <v>445000</v>
      </c>
      <c r="AN174" s="105">
        <v>100000</v>
      </c>
      <c r="AO174" s="176">
        <v>200000</v>
      </c>
      <c r="AP174" s="245">
        <v>145000</v>
      </c>
      <c r="AQ174" s="66">
        <f t="shared" si="64"/>
        <v>2887155</v>
      </c>
      <c r="AR174" s="43">
        <f t="shared" si="65"/>
        <v>0</v>
      </c>
      <c r="AS174" s="44"/>
      <c r="AT174" s="44"/>
    </row>
    <row r="175" spans="1:46" ht="14.4" thickTop="1" thickBot="1" x14ac:dyDescent="0.3">
      <c r="A175" s="222" t="s">
        <v>293</v>
      </c>
      <c r="B175" s="124" t="s">
        <v>294</v>
      </c>
      <c r="C175" s="228">
        <f t="shared" si="84"/>
        <v>150000</v>
      </c>
      <c r="D175" s="126">
        <f t="shared" si="85"/>
        <v>150000</v>
      </c>
      <c r="E175" s="127">
        <f t="shared" si="86"/>
        <v>150000</v>
      </c>
      <c r="F175" s="128"/>
      <c r="G175" s="129"/>
      <c r="H175" s="129"/>
      <c r="I175" s="129"/>
      <c r="J175" s="245">
        <v>150000</v>
      </c>
      <c r="K175" s="101"/>
      <c r="L175" s="129"/>
      <c r="M175" s="129"/>
      <c r="N175" s="129"/>
      <c r="O175" s="129"/>
      <c r="P175" s="101"/>
      <c r="Q175" s="101"/>
      <c r="R175" s="101"/>
      <c r="S175" s="101"/>
      <c r="T175" s="101"/>
      <c r="U175" s="101"/>
      <c r="V175" s="101"/>
      <c r="W175" s="101"/>
      <c r="X175" s="101"/>
      <c r="Y175" s="101"/>
      <c r="Z175" s="133">
        <f t="shared" si="87"/>
        <v>0</v>
      </c>
      <c r="AA175" s="101"/>
      <c r="AB175" s="101"/>
      <c r="AC175" s="101"/>
      <c r="AD175" s="101"/>
      <c r="AE175" s="244"/>
      <c r="AF175" s="248">
        <f t="shared" si="88"/>
        <v>0</v>
      </c>
      <c r="AG175" s="101"/>
      <c r="AH175" s="101"/>
      <c r="AI175" s="101"/>
      <c r="AJ175" s="103"/>
      <c r="AK175" s="138">
        <f t="shared" si="89"/>
        <v>0</v>
      </c>
      <c r="AL175" s="110"/>
      <c r="AM175" s="294">
        <f t="shared" ref="AM175:AM181" si="90">SUM(AN175:AP175)</f>
        <v>0</v>
      </c>
      <c r="AN175" s="105"/>
      <c r="AO175" s="101"/>
      <c r="AP175" s="111"/>
      <c r="AQ175" s="66">
        <f t="shared" si="64"/>
        <v>150000</v>
      </c>
      <c r="AR175" s="43">
        <f t="shared" si="65"/>
        <v>0</v>
      </c>
      <c r="AS175" s="44"/>
      <c r="AT175" s="44"/>
    </row>
    <row r="176" spans="1:46" ht="14.4" thickTop="1" thickBot="1" x14ac:dyDescent="0.3">
      <c r="A176" s="222" t="s">
        <v>295</v>
      </c>
      <c r="B176" s="124" t="s">
        <v>296</v>
      </c>
      <c r="C176" s="228">
        <f t="shared" si="84"/>
        <v>6922678.2999999998</v>
      </c>
      <c r="D176" s="126">
        <f t="shared" si="85"/>
        <v>6922678.2999999998</v>
      </c>
      <c r="E176" s="127">
        <f t="shared" si="86"/>
        <v>4060689</v>
      </c>
      <c r="F176" s="128">
        <f>100000-20000</f>
        <v>80000</v>
      </c>
      <c r="G176" s="129"/>
      <c r="H176" s="245">
        <f>300000-150000</f>
        <v>150000</v>
      </c>
      <c r="I176" s="183">
        <v>75000</v>
      </c>
      <c r="J176" s="129"/>
      <c r="K176" s="176">
        <f>75000*1.13</f>
        <v>84749.999999999985</v>
      </c>
      <c r="L176" s="129">
        <v>60000</v>
      </c>
      <c r="M176" s="245">
        <v>3613</v>
      </c>
      <c r="N176" s="129">
        <v>100000</v>
      </c>
      <c r="O176" s="129">
        <v>195448</v>
      </c>
      <c r="P176" s="245">
        <v>41878</v>
      </c>
      <c r="Q176" s="243">
        <f>2300000-1000000</f>
        <v>1300000</v>
      </c>
      <c r="R176" s="245">
        <v>30000</v>
      </c>
      <c r="S176" s="245">
        <v>50000</v>
      </c>
      <c r="T176" s="245">
        <v>90000</v>
      </c>
      <c r="U176" s="101">
        <v>1125000</v>
      </c>
      <c r="V176" s="101">
        <v>100000</v>
      </c>
      <c r="W176" s="101">
        <f>500000-250000</f>
        <v>250000</v>
      </c>
      <c r="X176" s="245">
        <v>75000</v>
      </c>
      <c r="Y176" s="245">
        <v>250000</v>
      </c>
      <c r="Z176" s="133">
        <f t="shared" si="87"/>
        <v>449400</v>
      </c>
      <c r="AA176" s="245">
        <v>65400</v>
      </c>
      <c r="AB176" s="101">
        <v>100000</v>
      </c>
      <c r="AC176" s="275">
        <v>150000</v>
      </c>
      <c r="AD176" s="245">
        <v>60000</v>
      </c>
      <c r="AE176" s="259">
        <v>74000</v>
      </c>
      <c r="AF176" s="248">
        <f t="shared" si="88"/>
        <v>412589.30000000005</v>
      </c>
      <c r="AG176" s="277">
        <v>35000</v>
      </c>
      <c r="AH176" s="298">
        <f>+'[7]RESUMEN 2021'!$E$18</f>
        <v>79070</v>
      </c>
      <c r="AI176" s="299">
        <v>95000</v>
      </c>
      <c r="AJ176" s="298">
        <f>853519.3-650000</f>
        <v>203519.30000000005</v>
      </c>
      <c r="AK176" s="138">
        <f t="shared" si="89"/>
        <v>2000000</v>
      </c>
      <c r="AL176" s="176">
        <v>1500000</v>
      </c>
      <c r="AM176" s="294">
        <f t="shared" si="90"/>
        <v>500000</v>
      </c>
      <c r="AN176" s="105">
        <f>200000-50000</f>
        <v>150000</v>
      </c>
      <c r="AO176" s="176">
        <f>250000-100000</f>
        <v>150000</v>
      </c>
      <c r="AP176" s="245">
        <v>200000</v>
      </c>
      <c r="AQ176" s="66">
        <f t="shared" si="64"/>
        <v>6922678.2999999998</v>
      </c>
      <c r="AR176" s="43">
        <f t="shared" si="65"/>
        <v>0</v>
      </c>
      <c r="AS176" s="44"/>
      <c r="AT176" s="44"/>
    </row>
    <row r="177" spans="1:46" ht="14.4" thickTop="1" thickBot="1" x14ac:dyDescent="0.3">
      <c r="A177" s="222" t="s">
        <v>297</v>
      </c>
      <c r="B177" s="124" t="s">
        <v>298</v>
      </c>
      <c r="C177" s="228">
        <f t="shared" si="84"/>
        <v>1300000</v>
      </c>
      <c r="D177" s="126">
        <f t="shared" si="85"/>
        <v>1300000</v>
      </c>
      <c r="E177" s="127">
        <f t="shared" si="86"/>
        <v>950000</v>
      </c>
      <c r="F177" s="128"/>
      <c r="G177" s="129"/>
      <c r="H177" s="129"/>
      <c r="I177" s="129"/>
      <c r="J177" s="245">
        <v>200000</v>
      </c>
      <c r="K177" s="101"/>
      <c r="L177" s="129"/>
      <c r="M177" s="129"/>
      <c r="N177" s="129"/>
      <c r="O177" s="129"/>
      <c r="P177" s="101"/>
      <c r="Q177" s="243">
        <v>250000</v>
      </c>
      <c r="R177" s="101"/>
      <c r="S177" s="274"/>
      <c r="T177" s="101"/>
      <c r="U177" s="101"/>
      <c r="V177" s="101"/>
      <c r="W177" s="101">
        <v>500000</v>
      </c>
      <c r="X177" s="101"/>
      <c r="Y177" s="101"/>
      <c r="Z177" s="133">
        <f t="shared" si="87"/>
        <v>230000</v>
      </c>
      <c r="AA177" s="101"/>
      <c r="AB177" s="101">
        <v>100000</v>
      </c>
      <c r="AC177" s="101"/>
      <c r="AD177" s="245">
        <v>100000</v>
      </c>
      <c r="AE177" s="259">
        <v>30000</v>
      </c>
      <c r="AF177" s="248">
        <f t="shared" si="88"/>
        <v>0</v>
      </c>
      <c r="AG177" s="101"/>
      <c r="AH177" s="101"/>
      <c r="AI177" s="101"/>
      <c r="AJ177" s="103"/>
      <c r="AK177" s="138">
        <f t="shared" si="89"/>
        <v>120000</v>
      </c>
      <c r="AL177" s="176">
        <v>120000</v>
      </c>
      <c r="AM177" s="294">
        <f t="shared" si="90"/>
        <v>0</v>
      </c>
      <c r="AN177" s="105"/>
      <c r="AO177" s="101"/>
      <c r="AP177" s="111"/>
      <c r="AQ177" s="66">
        <f t="shared" si="64"/>
        <v>1300000</v>
      </c>
      <c r="AR177" s="43">
        <f t="shared" si="65"/>
        <v>0</v>
      </c>
      <c r="AS177" s="44"/>
      <c r="AT177" s="44"/>
    </row>
    <row r="178" spans="1:46" ht="13.8" thickTop="1" x14ac:dyDescent="0.25">
      <c r="A178" s="222" t="s">
        <v>299</v>
      </c>
      <c r="B178" s="124" t="s">
        <v>300</v>
      </c>
      <c r="C178" s="228">
        <f t="shared" si="84"/>
        <v>3868307</v>
      </c>
      <c r="D178" s="126">
        <f t="shared" si="85"/>
        <v>3868307</v>
      </c>
      <c r="E178" s="127">
        <f t="shared" si="86"/>
        <v>3868307</v>
      </c>
      <c r="F178" s="128"/>
      <c r="G178" s="129"/>
      <c r="H178" s="129"/>
      <c r="I178" s="129"/>
      <c r="J178" s="129"/>
      <c r="K178" s="176">
        <f>33900*1.13</f>
        <v>38307</v>
      </c>
      <c r="L178" s="129"/>
      <c r="M178" s="129"/>
      <c r="N178" s="129"/>
      <c r="O178" s="129"/>
      <c r="P178" s="101"/>
      <c r="Q178" s="243">
        <v>3830000</v>
      </c>
      <c r="R178" s="101"/>
      <c r="S178" s="101"/>
      <c r="T178" s="101"/>
      <c r="U178" s="101"/>
      <c r="V178" s="101"/>
      <c r="W178" s="101"/>
      <c r="X178" s="101"/>
      <c r="Y178" s="101"/>
      <c r="Z178" s="133">
        <f t="shared" si="87"/>
        <v>0</v>
      </c>
      <c r="AA178" s="101"/>
      <c r="AB178" s="101"/>
      <c r="AC178" s="101"/>
      <c r="AD178" s="101"/>
      <c r="AE178" s="244"/>
      <c r="AF178" s="248">
        <f t="shared" si="88"/>
        <v>0</v>
      </c>
      <c r="AG178" s="101"/>
      <c r="AH178" s="101"/>
      <c r="AI178" s="101"/>
      <c r="AJ178" s="103"/>
      <c r="AK178" s="138">
        <f t="shared" si="89"/>
        <v>0</v>
      </c>
      <c r="AL178" s="110"/>
      <c r="AM178" s="294">
        <f t="shared" si="90"/>
        <v>0</v>
      </c>
      <c r="AN178" s="105"/>
      <c r="AO178" s="101"/>
      <c r="AP178" s="111"/>
      <c r="AQ178" s="66">
        <f t="shared" si="64"/>
        <v>3868307</v>
      </c>
      <c r="AR178" s="43">
        <f t="shared" si="65"/>
        <v>0</v>
      </c>
      <c r="AS178" s="44"/>
      <c r="AT178" s="44"/>
    </row>
    <row r="179" spans="1:46" x14ac:dyDescent="0.25">
      <c r="A179" s="222" t="s">
        <v>301</v>
      </c>
      <c r="B179" s="124" t="s">
        <v>302</v>
      </c>
      <c r="C179" s="228">
        <f t="shared" si="84"/>
        <v>2250000</v>
      </c>
      <c r="D179" s="126">
        <f t="shared" si="85"/>
        <v>2250000</v>
      </c>
      <c r="E179" s="127">
        <f t="shared" si="86"/>
        <v>2250000</v>
      </c>
      <c r="F179" s="128"/>
      <c r="G179" s="129"/>
      <c r="H179" s="129"/>
      <c r="I179" s="129"/>
      <c r="J179" s="300">
        <f>2000000-500000</f>
        <v>1500000</v>
      </c>
      <c r="K179" s="101"/>
      <c r="L179" s="129"/>
      <c r="M179" s="129"/>
      <c r="N179" s="129"/>
      <c r="O179" s="129"/>
      <c r="P179" s="101"/>
      <c r="Q179" s="243">
        <v>750000</v>
      </c>
      <c r="R179" s="101"/>
      <c r="S179" s="101"/>
      <c r="T179" s="101"/>
      <c r="U179" s="101"/>
      <c r="V179" s="101"/>
      <c r="W179" s="101"/>
      <c r="X179" s="101"/>
      <c r="Y179" s="101"/>
      <c r="Z179" s="133">
        <f t="shared" si="87"/>
        <v>0</v>
      </c>
      <c r="AA179" s="101"/>
      <c r="AB179" s="101"/>
      <c r="AC179" s="101"/>
      <c r="AD179" s="101"/>
      <c r="AE179" s="244"/>
      <c r="AF179" s="248">
        <f t="shared" si="88"/>
        <v>0</v>
      </c>
      <c r="AG179" s="101"/>
      <c r="AH179" s="101"/>
      <c r="AI179" s="101"/>
      <c r="AJ179" s="103"/>
      <c r="AK179" s="138">
        <f t="shared" si="89"/>
        <v>0</v>
      </c>
      <c r="AL179" s="110"/>
      <c r="AM179" s="294">
        <f t="shared" si="90"/>
        <v>0</v>
      </c>
      <c r="AN179" s="105"/>
      <c r="AO179" s="101"/>
      <c r="AP179" s="111"/>
      <c r="AQ179" s="66">
        <f t="shared" si="64"/>
        <v>2250000</v>
      </c>
      <c r="AR179" s="43">
        <f t="shared" si="65"/>
        <v>0</v>
      </c>
      <c r="AS179" s="44"/>
      <c r="AT179" s="44"/>
    </row>
    <row r="180" spans="1:46" ht="13.8" thickBot="1" x14ac:dyDescent="0.3">
      <c r="A180" s="222" t="s">
        <v>303</v>
      </c>
      <c r="B180" s="124" t="s">
        <v>304</v>
      </c>
      <c r="C180" s="228">
        <f t="shared" si="84"/>
        <v>3000</v>
      </c>
      <c r="D180" s="126">
        <f t="shared" si="85"/>
        <v>3000</v>
      </c>
      <c r="E180" s="127">
        <f t="shared" si="86"/>
        <v>3000</v>
      </c>
      <c r="F180" s="128">
        <f>10000-7000</f>
        <v>3000</v>
      </c>
      <c r="G180" s="129"/>
      <c r="H180" s="129"/>
      <c r="I180" s="129"/>
      <c r="J180" s="129"/>
      <c r="K180" s="101"/>
      <c r="L180" s="129"/>
      <c r="M180" s="129"/>
      <c r="N180" s="129"/>
      <c r="O180" s="129"/>
      <c r="P180" s="101"/>
      <c r="Q180" s="243"/>
      <c r="R180" s="101"/>
      <c r="S180" s="101"/>
      <c r="T180" s="101"/>
      <c r="U180" s="101"/>
      <c r="V180" s="101"/>
      <c r="W180" s="101"/>
      <c r="X180" s="101"/>
      <c r="Y180" s="101"/>
      <c r="Z180" s="133">
        <f t="shared" si="87"/>
        <v>0</v>
      </c>
      <c r="AA180" s="101"/>
      <c r="AB180" s="101"/>
      <c r="AC180" s="101"/>
      <c r="AD180" s="101"/>
      <c r="AE180" s="244"/>
      <c r="AF180" s="248">
        <f t="shared" si="88"/>
        <v>0</v>
      </c>
      <c r="AG180" s="101"/>
      <c r="AH180" s="101"/>
      <c r="AI180" s="101"/>
      <c r="AJ180" s="103"/>
      <c r="AK180" s="138">
        <f t="shared" si="89"/>
        <v>0</v>
      </c>
      <c r="AL180" s="110"/>
      <c r="AM180" s="294">
        <f t="shared" si="90"/>
        <v>0</v>
      </c>
      <c r="AN180" s="105"/>
      <c r="AO180" s="101"/>
      <c r="AP180" s="111"/>
      <c r="AQ180" s="66">
        <f t="shared" si="64"/>
        <v>3000</v>
      </c>
      <c r="AR180" s="43">
        <f t="shared" si="65"/>
        <v>0</v>
      </c>
      <c r="AS180" s="44"/>
      <c r="AT180" s="44"/>
    </row>
    <row r="181" spans="1:46" ht="14.4" thickTop="1" thickBot="1" x14ac:dyDescent="0.3">
      <c r="A181" s="222" t="s">
        <v>305</v>
      </c>
      <c r="B181" s="124" t="s">
        <v>306</v>
      </c>
      <c r="C181" s="228">
        <f t="shared" si="84"/>
        <v>437000</v>
      </c>
      <c r="D181" s="126">
        <f t="shared" si="85"/>
        <v>437000</v>
      </c>
      <c r="E181" s="127">
        <f t="shared" si="86"/>
        <v>305000</v>
      </c>
      <c r="F181" s="128"/>
      <c r="G181" s="129">
        <v>0</v>
      </c>
      <c r="H181" s="129"/>
      <c r="I181" s="129"/>
      <c r="J181" s="245">
        <v>30000</v>
      </c>
      <c r="K181" s="101"/>
      <c r="L181" s="129"/>
      <c r="M181" s="129"/>
      <c r="N181" s="129"/>
      <c r="O181" s="129"/>
      <c r="P181" s="101"/>
      <c r="Q181" s="243">
        <f>500000-400000</f>
        <v>100000</v>
      </c>
      <c r="R181" s="245">
        <f>450000-400000</f>
        <v>50000</v>
      </c>
      <c r="S181" s="101"/>
      <c r="T181" s="101"/>
      <c r="U181" s="101">
        <v>25000</v>
      </c>
      <c r="V181" s="101"/>
      <c r="W181" s="101">
        <v>50000</v>
      </c>
      <c r="X181" s="101"/>
      <c r="Y181" s="245">
        <v>50000</v>
      </c>
      <c r="Z181" s="133">
        <f t="shared" si="87"/>
        <v>45000</v>
      </c>
      <c r="AA181" s="245">
        <v>15000</v>
      </c>
      <c r="AB181" s="101"/>
      <c r="AC181" s="101"/>
      <c r="AD181" s="101"/>
      <c r="AE181" s="259">
        <v>30000</v>
      </c>
      <c r="AF181" s="248">
        <f t="shared" si="88"/>
        <v>12000</v>
      </c>
      <c r="AG181" s="129">
        <v>12000</v>
      </c>
      <c r="AH181" s="101"/>
      <c r="AI181" s="101"/>
      <c r="AJ181" s="103"/>
      <c r="AK181" s="138">
        <f t="shared" si="89"/>
        <v>75000</v>
      </c>
      <c r="AL181" s="176">
        <v>75000</v>
      </c>
      <c r="AM181" s="294">
        <f t="shared" si="90"/>
        <v>0</v>
      </c>
      <c r="AN181" s="105"/>
      <c r="AO181" s="101"/>
      <c r="AP181" s="111"/>
      <c r="AQ181" s="66">
        <f t="shared" si="64"/>
        <v>437000</v>
      </c>
      <c r="AR181" s="43">
        <f t="shared" si="65"/>
        <v>0</v>
      </c>
      <c r="AS181" s="44"/>
      <c r="AT181" s="44"/>
    </row>
    <row r="182" spans="1:46" ht="13.8" thickTop="1" x14ac:dyDescent="0.25">
      <c r="A182" s="222"/>
      <c r="B182" s="124"/>
      <c r="C182" s="228"/>
      <c r="D182" s="229"/>
      <c r="E182" s="93"/>
      <c r="F182" s="128"/>
      <c r="G182" s="129"/>
      <c r="H182" s="129"/>
      <c r="I182" s="129"/>
      <c r="J182" s="129"/>
      <c r="K182" s="101"/>
      <c r="L182" s="129"/>
      <c r="M182" s="129"/>
      <c r="N182" s="129"/>
      <c r="O182" s="129"/>
      <c r="P182" s="101"/>
      <c r="Q182" s="101"/>
      <c r="R182" s="101"/>
      <c r="S182" s="101"/>
      <c r="T182" s="101"/>
      <c r="U182" s="101"/>
      <c r="V182" s="101"/>
      <c r="W182" s="101"/>
      <c r="X182" s="101"/>
      <c r="Y182" s="101"/>
      <c r="Z182" s="263"/>
      <c r="AA182" s="101"/>
      <c r="AB182" s="101"/>
      <c r="AC182" s="101"/>
      <c r="AD182" s="101"/>
      <c r="AE182" s="244"/>
      <c r="AF182" s="225"/>
      <c r="AG182" s="101"/>
      <c r="AH182" s="101"/>
      <c r="AI182" s="101"/>
      <c r="AJ182" s="103"/>
      <c r="AK182" s="164"/>
      <c r="AL182" s="110"/>
      <c r="AM182" s="249"/>
      <c r="AN182" s="105"/>
      <c r="AO182" s="101"/>
      <c r="AP182" s="111"/>
      <c r="AQ182" s="66">
        <f t="shared" si="64"/>
        <v>0</v>
      </c>
      <c r="AR182" s="43">
        <f t="shared" si="65"/>
        <v>0</v>
      </c>
      <c r="AS182" s="44"/>
      <c r="AT182" s="44"/>
    </row>
    <row r="183" spans="1:46" x14ac:dyDescent="0.25">
      <c r="A183" s="301">
        <v>3</v>
      </c>
      <c r="B183" s="91" t="s">
        <v>307</v>
      </c>
      <c r="C183" s="302">
        <f>C185</f>
        <v>118076937</v>
      </c>
      <c r="D183" s="70">
        <f>SUM(D185)</f>
        <v>118076937</v>
      </c>
      <c r="E183" s="202">
        <f>SUM(E185)</f>
        <v>0</v>
      </c>
      <c r="F183" s="203">
        <f t="shared" ref="F183:R183" si="91">F185</f>
        <v>0</v>
      </c>
      <c r="G183" s="204">
        <f t="shared" si="91"/>
        <v>0</v>
      </c>
      <c r="H183" s="204">
        <f t="shared" si="91"/>
        <v>0</v>
      </c>
      <c r="I183" s="204">
        <f t="shared" si="91"/>
        <v>0</v>
      </c>
      <c r="J183" s="204">
        <f t="shared" si="91"/>
        <v>0</v>
      </c>
      <c r="K183" s="204">
        <f t="shared" si="91"/>
        <v>0</v>
      </c>
      <c r="L183" s="204">
        <f t="shared" si="91"/>
        <v>0</v>
      </c>
      <c r="M183" s="204">
        <f t="shared" si="91"/>
        <v>0</v>
      </c>
      <c r="N183" s="204">
        <f t="shared" si="91"/>
        <v>0</v>
      </c>
      <c r="O183" s="204">
        <f t="shared" si="91"/>
        <v>0</v>
      </c>
      <c r="P183" s="204">
        <f t="shared" si="91"/>
        <v>0</v>
      </c>
      <c r="Q183" s="204">
        <f t="shared" si="91"/>
        <v>0</v>
      </c>
      <c r="R183" s="204">
        <f t="shared" si="91"/>
        <v>0</v>
      </c>
      <c r="S183" s="204">
        <f>S185</f>
        <v>0</v>
      </c>
      <c r="T183" s="204">
        <f t="shared" ref="T183:Y183" si="92">T185+T194</f>
        <v>0</v>
      </c>
      <c r="U183" s="204">
        <f t="shared" si="92"/>
        <v>0</v>
      </c>
      <c r="V183" s="204">
        <f t="shared" si="92"/>
        <v>0</v>
      </c>
      <c r="W183" s="204">
        <f t="shared" si="92"/>
        <v>0</v>
      </c>
      <c r="X183" s="204">
        <f t="shared" si="92"/>
        <v>0</v>
      </c>
      <c r="Y183" s="204">
        <f t="shared" si="92"/>
        <v>0</v>
      </c>
      <c r="Z183" s="206">
        <f>SUM(Z185)</f>
        <v>0</v>
      </c>
      <c r="AA183" s="204">
        <f>AA185+AA194</f>
        <v>0</v>
      </c>
      <c r="AB183" s="204">
        <f>AB185+AB194</f>
        <v>0</v>
      </c>
      <c r="AC183" s="204">
        <f>AC185+AC194</f>
        <v>0</v>
      </c>
      <c r="AD183" s="204">
        <f>AD185+AD194</f>
        <v>0</v>
      </c>
      <c r="AE183" s="204">
        <f>AE185+AE194</f>
        <v>0</v>
      </c>
      <c r="AF183" s="225">
        <f>SUM(AF185)</f>
        <v>0</v>
      </c>
      <c r="AG183" s="204">
        <f t="shared" ref="AG183:AL183" si="93">AG185+AG194</f>
        <v>0</v>
      </c>
      <c r="AH183" s="204">
        <f t="shared" si="93"/>
        <v>0</v>
      </c>
      <c r="AI183" s="204">
        <f t="shared" si="93"/>
        <v>0</v>
      </c>
      <c r="AJ183" s="205">
        <f t="shared" si="93"/>
        <v>0</v>
      </c>
      <c r="AK183" s="164">
        <f t="shared" si="93"/>
        <v>118076937</v>
      </c>
      <c r="AL183" s="280">
        <f t="shared" si="93"/>
        <v>118076937</v>
      </c>
      <c r="AM183" s="164">
        <f>SUM(AM185)</f>
        <v>0</v>
      </c>
      <c r="AN183" s="203">
        <f>AN185+AN194</f>
        <v>0</v>
      </c>
      <c r="AO183" s="204">
        <f>AO185+AO194</f>
        <v>0</v>
      </c>
      <c r="AP183" s="281">
        <f>AP185+AP194</f>
        <v>0</v>
      </c>
      <c r="AQ183" s="66">
        <f t="shared" si="64"/>
        <v>118076937</v>
      </c>
      <c r="AR183" s="43">
        <f t="shared" si="65"/>
        <v>0</v>
      </c>
      <c r="AS183" s="44"/>
      <c r="AT183" s="44"/>
    </row>
    <row r="184" spans="1:46" x14ac:dyDescent="0.25">
      <c r="A184" s="295"/>
      <c r="B184" s="124"/>
      <c r="C184" s="303"/>
      <c r="D184" s="229"/>
      <c r="E184" s="93"/>
      <c r="F184" s="210"/>
      <c r="G184" s="213"/>
      <c r="H184" s="213"/>
      <c r="I184" s="213"/>
      <c r="J184" s="213"/>
      <c r="K184" s="101"/>
      <c r="L184" s="213"/>
      <c r="M184" s="213"/>
      <c r="N184" s="213"/>
      <c r="O184" s="213"/>
      <c r="P184" s="101"/>
      <c r="Q184" s="101"/>
      <c r="R184" s="101"/>
      <c r="S184" s="101"/>
      <c r="T184" s="101"/>
      <c r="U184" s="101"/>
      <c r="V184" s="101"/>
      <c r="W184" s="101"/>
      <c r="X184" s="101"/>
      <c r="Y184" s="101"/>
      <c r="Z184" s="263"/>
      <c r="AA184" s="101"/>
      <c r="AB184" s="101"/>
      <c r="AC184" s="101"/>
      <c r="AD184" s="101"/>
      <c r="AE184" s="244"/>
      <c r="AF184" s="225" t="s">
        <v>0</v>
      </c>
      <c r="AG184" s="101"/>
      <c r="AH184" s="101"/>
      <c r="AI184" s="101"/>
      <c r="AJ184" s="103"/>
      <c r="AK184" s="164"/>
      <c r="AL184" s="110"/>
      <c r="AM184" s="249" t="s">
        <v>0</v>
      </c>
      <c r="AN184" s="105"/>
      <c r="AO184" s="101"/>
      <c r="AP184" s="111"/>
      <c r="AQ184" s="66">
        <f t="shared" si="64"/>
        <v>0</v>
      </c>
      <c r="AR184" s="43">
        <f t="shared" si="65"/>
        <v>0</v>
      </c>
      <c r="AS184" s="44"/>
      <c r="AT184" s="44"/>
    </row>
    <row r="185" spans="1:46" x14ac:dyDescent="0.25">
      <c r="A185" s="250" t="s">
        <v>308</v>
      </c>
      <c r="B185" s="154" t="s">
        <v>309</v>
      </c>
      <c r="C185" s="302">
        <f>SUM(C186:C192)</f>
        <v>118076937</v>
      </c>
      <c r="D185" s="240">
        <f>SUM(E185+Z185+AF185+AK185)</f>
        <v>118076937</v>
      </c>
      <c r="E185" s="127">
        <f>SUM(E191)</f>
        <v>0</v>
      </c>
      <c r="F185" s="184">
        <f t="shared" ref="F185:T185" si="94">SUM(F186:F192)</f>
        <v>0</v>
      </c>
      <c r="G185" s="185">
        <f t="shared" si="94"/>
        <v>0</v>
      </c>
      <c r="H185" s="185">
        <f t="shared" si="94"/>
        <v>0</v>
      </c>
      <c r="I185" s="185">
        <f t="shared" si="94"/>
        <v>0</v>
      </c>
      <c r="J185" s="185">
        <f t="shared" si="94"/>
        <v>0</v>
      </c>
      <c r="K185" s="185">
        <f t="shared" si="94"/>
        <v>0</v>
      </c>
      <c r="L185" s="185">
        <f t="shared" si="94"/>
        <v>0</v>
      </c>
      <c r="M185" s="185">
        <f t="shared" si="94"/>
        <v>0</v>
      </c>
      <c r="N185" s="185">
        <f t="shared" si="94"/>
        <v>0</v>
      </c>
      <c r="O185" s="185">
        <f t="shared" si="94"/>
        <v>0</v>
      </c>
      <c r="P185" s="185">
        <f t="shared" si="94"/>
        <v>0</v>
      </c>
      <c r="Q185" s="185">
        <f t="shared" si="94"/>
        <v>0</v>
      </c>
      <c r="R185" s="185">
        <f t="shared" si="94"/>
        <v>0</v>
      </c>
      <c r="S185" s="185">
        <f>SUM(S186:S192)</f>
        <v>0</v>
      </c>
      <c r="T185" s="185">
        <f t="shared" si="94"/>
        <v>0</v>
      </c>
      <c r="U185" s="185">
        <f>SUM(U186:U192)</f>
        <v>0</v>
      </c>
      <c r="V185" s="185">
        <f>SUM(V186:V192)</f>
        <v>0</v>
      </c>
      <c r="W185" s="185">
        <f>SUM(W186:W192)</f>
        <v>0</v>
      </c>
      <c r="X185" s="185">
        <f>SUM(X186:X192)</f>
        <v>0</v>
      </c>
      <c r="Y185" s="185">
        <f>SUM(Y186:Y192)</f>
        <v>0</v>
      </c>
      <c r="Z185" s="217">
        <f>SUM(Z191)</f>
        <v>0</v>
      </c>
      <c r="AA185" s="185">
        <f>SUM(AA186:AA192)</f>
        <v>0</v>
      </c>
      <c r="AB185" s="185">
        <f>SUM(AB186:AB192)</f>
        <v>0</v>
      </c>
      <c r="AC185" s="185">
        <f>SUM(AC186:AC192)</f>
        <v>0</v>
      </c>
      <c r="AD185" s="185">
        <f>SUM(AD186:AD192)</f>
        <v>0</v>
      </c>
      <c r="AE185" s="188">
        <f>SUM(AE186:AE192)</f>
        <v>0</v>
      </c>
      <c r="AF185" s="225">
        <f>SUM(AF191)</f>
        <v>0</v>
      </c>
      <c r="AG185" s="185">
        <f t="shared" ref="AG185:AL185" si="95">SUM(AG186:AG192)</f>
        <v>0</v>
      </c>
      <c r="AH185" s="185">
        <f t="shared" si="95"/>
        <v>0</v>
      </c>
      <c r="AI185" s="185">
        <f t="shared" si="95"/>
        <v>0</v>
      </c>
      <c r="AJ185" s="186">
        <f t="shared" si="95"/>
        <v>0</v>
      </c>
      <c r="AK185" s="164">
        <f t="shared" si="95"/>
        <v>118076937</v>
      </c>
      <c r="AL185" s="191">
        <f t="shared" si="95"/>
        <v>118076937</v>
      </c>
      <c r="AM185" s="164">
        <f>SUM(AM191)</f>
        <v>0</v>
      </c>
      <c r="AN185" s="184">
        <f>SUM(AN186:AN192)</f>
        <v>0</v>
      </c>
      <c r="AO185" s="185">
        <f>SUM(AO186:AO192)</f>
        <v>0</v>
      </c>
      <c r="AP185" s="252">
        <f>SUM(AP186:AP192)</f>
        <v>0</v>
      </c>
      <c r="AQ185" s="66">
        <f t="shared" si="64"/>
        <v>118076937</v>
      </c>
      <c r="AR185" s="43">
        <f t="shared" si="65"/>
        <v>0</v>
      </c>
      <c r="AS185" s="44"/>
      <c r="AT185" s="44"/>
    </row>
    <row r="186" spans="1:46" hidden="1" x14ac:dyDescent="0.25">
      <c r="A186" s="222" t="s">
        <v>310</v>
      </c>
      <c r="B186" s="124" t="s">
        <v>311</v>
      </c>
      <c r="C186" s="303">
        <f t="shared" ref="C186:C192" si="96">+E186+Z186+AF186+AK186</f>
        <v>0</v>
      </c>
      <c r="D186" s="126">
        <f t="shared" ref="D186:D192" si="97">SUM(F186+G186+H186+I186+J186+K186+L186+M186+N186+O186+P186+Q186+R186+S186+T186+U186+V186+W186+X186+Y186+AA186+AB186+AC186+AD186+AE186+AG186+AH186+AI186+AJ186+AL186+AN186+AO186+AP186)</f>
        <v>0</v>
      </c>
      <c r="E186" s="93">
        <f t="shared" ref="E186:E192" si="98">SUM(F186:X186)</f>
        <v>0</v>
      </c>
      <c r="F186" s="128"/>
      <c r="G186" s="129"/>
      <c r="H186" s="129"/>
      <c r="I186" s="129"/>
      <c r="J186" s="129"/>
      <c r="K186" s="101"/>
      <c r="L186" s="129"/>
      <c r="M186" s="129"/>
      <c r="N186" s="129"/>
      <c r="O186" s="129"/>
      <c r="P186" s="101"/>
      <c r="Q186" s="101"/>
      <c r="R186" s="101"/>
      <c r="S186" s="101"/>
      <c r="T186" s="101">
        <v>0</v>
      </c>
      <c r="U186" s="101">
        <v>0</v>
      </c>
      <c r="V186" s="101">
        <v>0</v>
      </c>
      <c r="W186" s="101">
        <v>0</v>
      </c>
      <c r="X186" s="101">
        <v>0</v>
      </c>
      <c r="Y186" s="101">
        <v>0</v>
      </c>
      <c r="Z186" s="263"/>
      <c r="AA186" s="101">
        <v>0</v>
      </c>
      <c r="AB186" s="101">
        <v>0</v>
      </c>
      <c r="AC186" s="101">
        <v>0</v>
      </c>
      <c r="AD186" s="101">
        <v>0</v>
      </c>
      <c r="AE186" s="244">
        <v>0</v>
      </c>
      <c r="AF186" s="225">
        <f t="shared" ref="AF186:AF192" si="99">SUM(AG186:AI186)</f>
        <v>0</v>
      </c>
      <c r="AG186" s="101">
        <v>0</v>
      </c>
      <c r="AH186" s="101">
        <v>0</v>
      </c>
      <c r="AI186" s="101">
        <v>0</v>
      </c>
      <c r="AJ186" s="103">
        <v>0</v>
      </c>
      <c r="AK186" s="164">
        <v>0</v>
      </c>
      <c r="AL186" s="110">
        <v>0</v>
      </c>
      <c r="AM186" s="164">
        <v>0</v>
      </c>
      <c r="AN186" s="105">
        <v>0</v>
      </c>
      <c r="AO186" s="101">
        <v>0</v>
      </c>
      <c r="AP186" s="111">
        <v>0</v>
      </c>
      <c r="AQ186" s="66">
        <f t="shared" si="64"/>
        <v>0</v>
      </c>
      <c r="AR186" s="43">
        <f t="shared" si="65"/>
        <v>0</v>
      </c>
      <c r="AS186" s="44"/>
      <c r="AT186" s="44"/>
    </row>
    <row r="187" spans="1:46" hidden="1" x14ac:dyDescent="0.25">
      <c r="A187" s="222" t="s">
        <v>312</v>
      </c>
      <c r="B187" s="124" t="s">
        <v>313</v>
      </c>
      <c r="C187" s="303">
        <f t="shared" si="96"/>
        <v>0</v>
      </c>
      <c r="D187" s="126">
        <f t="shared" si="97"/>
        <v>0</v>
      </c>
      <c r="E187" s="93">
        <f t="shared" si="98"/>
        <v>0</v>
      </c>
      <c r="F187" s="128"/>
      <c r="G187" s="129"/>
      <c r="H187" s="129"/>
      <c r="I187" s="129"/>
      <c r="J187" s="129"/>
      <c r="K187" s="101"/>
      <c r="L187" s="129"/>
      <c r="M187" s="129"/>
      <c r="N187" s="129"/>
      <c r="O187" s="129"/>
      <c r="P187" s="101"/>
      <c r="Q187" s="101"/>
      <c r="R187" s="101"/>
      <c r="S187" s="101"/>
      <c r="T187" s="101"/>
      <c r="U187" s="101"/>
      <c r="V187" s="101"/>
      <c r="W187" s="101"/>
      <c r="X187" s="101"/>
      <c r="Y187" s="101"/>
      <c r="Z187" s="263"/>
      <c r="AA187" s="101"/>
      <c r="AB187" s="101"/>
      <c r="AC187" s="101"/>
      <c r="AD187" s="101"/>
      <c r="AE187" s="244"/>
      <c r="AF187" s="225">
        <f t="shared" si="99"/>
        <v>0</v>
      </c>
      <c r="AG187" s="101"/>
      <c r="AH187" s="101"/>
      <c r="AI187" s="101"/>
      <c r="AJ187" s="103"/>
      <c r="AK187" s="164">
        <v>0</v>
      </c>
      <c r="AL187" s="110"/>
      <c r="AM187" s="164">
        <v>0</v>
      </c>
      <c r="AN187" s="105"/>
      <c r="AO187" s="101"/>
      <c r="AP187" s="111"/>
      <c r="AQ187" s="66">
        <f t="shared" si="64"/>
        <v>0</v>
      </c>
      <c r="AR187" s="43">
        <f t="shared" si="65"/>
        <v>0</v>
      </c>
      <c r="AS187" s="44"/>
      <c r="AT187" s="44"/>
    </row>
    <row r="188" spans="1:46" hidden="1" x14ac:dyDescent="0.25">
      <c r="A188" s="222" t="s">
        <v>314</v>
      </c>
      <c r="B188" s="124" t="s">
        <v>315</v>
      </c>
      <c r="C188" s="303">
        <f t="shared" si="96"/>
        <v>0</v>
      </c>
      <c r="D188" s="126">
        <f t="shared" si="97"/>
        <v>0</v>
      </c>
      <c r="E188" s="93">
        <f t="shared" si="98"/>
        <v>0</v>
      </c>
      <c r="F188" s="128"/>
      <c r="G188" s="129"/>
      <c r="H188" s="129"/>
      <c r="I188" s="129"/>
      <c r="J188" s="129"/>
      <c r="K188" s="101"/>
      <c r="L188" s="129"/>
      <c r="M188" s="129"/>
      <c r="N188" s="129"/>
      <c r="O188" s="129"/>
      <c r="P188" s="101"/>
      <c r="Q188" s="101"/>
      <c r="R188" s="101"/>
      <c r="S188" s="101"/>
      <c r="T188" s="101"/>
      <c r="U188" s="101"/>
      <c r="V188" s="101"/>
      <c r="W188" s="101"/>
      <c r="X188" s="101"/>
      <c r="Y188" s="101"/>
      <c r="Z188" s="263"/>
      <c r="AA188" s="101"/>
      <c r="AB188" s="101"/>
      <c r="AC188" s="101"/>
      <c r="AD188" s="101"/>
      <c r="AE188" s="244"/>
      <c r="AF188" s="225">
        <f t="shared" si="99"/>
        <v>0</v>
      </c>
      <c r="AG188" s="101"/>
      <c r="AH188" s="101"/>
      <c r="AI188" s="101"/>
      <c r="AJ188" s="103"/>
      <c r="AK188" s="164">
        <v>0</v>
      </c>
      <c r="AL188" s="110"/>
      <c r="AM188" s="164">
        <v>0</v>
      </c>
      <c r="AN188" s="105"/>
      <c r="AO188" s="101"/>
      <c r="AP188" s="111"/>
      <c r="AQ188" s="66">
        <f t="shared" si="64"/>
        <v>0</v>
      </c>
      <c r="AR188" s="43">
        <f t="shared" si="65"/>
        <v>0</v>
      </c>
      <c r="AS188" s="44"/>
      <c r="AT188" s="44"/>
    </row>
    <row r="189" spans="1:46" hidden="1" x14ac:dyDescent="0.25">
      <c r="A189" s="222" t="s">
        <v>316</v>
      </c>
      <c r="B189" s="124" t="s">
        <v>317</v>
      </c>
      <c r="C189" s="303">
        <f t="shared" si="96"/>
        <v>0</v>
      </c>
      <c r="D189" s="126">
        <f t="shared" si="97"/>
        <v>0</v>
      </c>
      <c r="E189" s="93">
        <f t="shared" si="98"/>
        <v>0</v>
      </c>
      <c r="F189" s="128"/>
      <c r="G189" s="129"/>
      <c r="H189" s="129"/>
      <c r="I189" s="129"/>
      <c r="J189" s="129"/>
      <c r="K189" s="101"/>
      <c r="L189" s="129"/>
      <c r="M189" s="129"/>
      <c r="N189" s="129"/>
      <c r="O189" s="129"/>
      <c r="P189" s="101"/>
      <c r="Q189" s="101"/>
      <c r="R189" s="101"/>
      <c r="S189" s="101"/>
      <c r="T189" s="101"/>
      <c r="U189" s="101"/>
      <c r="V189" s="101"/>
      <c r="W189" s="101"/>
      <c r="X189" s="101"/>
      <c r="Y189" s="101"/>
      <c r="Z189" s="263"/>
      <c r="AA189" s="101"/>
      <c r="AB189" s="101"/>
      <c r="AC189" s="101"/>
      <c r="AD189" s="101"/>
      <c r="AE189" s="244"/>
      <c r="AF189" s="225">
        <f t="shared" si="99"/>
        <v>0</v>
      </c>
      <c r="AG189" s="101"/>
      <c r="AH189" s="101"/>
      <c r="AI189" s="101"/>
      <c r="AJ189" s="103"/>
      <c r="AK189" s="164">
        <v>0</v>
      </c>
      <c r="AL189" s="110"/>
      <c r="AM189" s="164">
        <v>0</v>
      </c>
      <c r="AN189" s="105"/>
      <c r="AO189" s="101"/>
      <c r="AP189" s="111"/>
      <c r="AQ189" s="66">
        <f t="shared" si="64"/>
        <v>0</v>
      </c>
      <c r="AR189" s="43">
        <f t="shared" si="65"/>
        <v>0</v>
      </c>
      <c r="AS189" s="44"/>
      <c r="AT189" s="44"/>
    </row>
    <row r="190" spans="1:46" hidden="1" x14ac:dyDescent="0.25">
      <c r="A190" s="222" t="s">
        <v>318</v>
      </c>
      <c r="B190" s="124" t="s">
        <v>319</v>
      </c>
      <c r="C190" s="303">
        <f t="shared" si="96"/>
        <v>0</v>
      </c>
      <c r="D190" s="126">
        <f t="shared" si="97"/>
        <v>0</v>
      </c>
      <c r="E190" s="93">
        <f t="shared" si="98"/>
        <v>0</v>
      </c>
      <c r="F190" s="128"/>
      <c r="G190" s="129"/>
      <c r="H190" s="129"/>
      <c r="I190" s="129"/>
      <c r="J190" s="129"/>
      <c r="K190" s="101"/>
      <c r="L190" s="129"/>
      <c r="M190" s="129"/>
      <c r="N190" s="129"/>
      <c r="O190" s="129"/>
      <c r="P190" s="101"/>
      <c r="Q190" s="101"/>
      <c r="R190" s="101"/>
      <c r="S190" s="101"/>
      <c r="T190" s="101">
        <v>0</v>
      </c>
      <c r="U190" s="101">
        <v>0</v>
      </c>
      <c r="V190" s="101">
        <v>0</v>
      </c>
      <c r="W190" s="101">
        <v>0</v>
      </c>
      <c r="X190" s="101">
        <v>0</v>
      </c>
      <c r="Y190" s="101">
        <v>0</v>
      </c>
      <c r="Z190" s="263"/>
      <c r="AA190" s="101">
        <v>0</v>
      </c>
      <c r="AB190" s="101">
        <v>0</v>
      </c>
      <c r="AC190" s="101">
        <v>0</v>
      </c>
      <c r="AD190" s="101">
        <v>0</v>
      </c>
      <c r="AE190" s="244">
        <v>0</v>
      </c>
      <c r="AF190" s="225">
        <f t="shared" si="99"/>
        <v>0</v>
      </c>
      <c r="AG190" s="101">
        <v>0</v>
      </c>
      <c r="AH190" s="101">
        <v>0</v>
      </c>
      <c r="AI190" s="101">
        <v>0</v>
      </c>
      <c r="AJ190" s="103">
        <v>0</v>
      </c>
      <c r="AK190" s="164">
        <v>0</v>
      </c>
      <c r="AL190" s="110">
        <v>0</v>
      </c>
      <c r="AM190" s="164">
        <v>0</v>
      </c>
      <c r="AN190" s="105">
        <v>0</v>
      </c>
      <c r="AO190" s="101">
        <v>0</v>
      </c>
      <c r="AP190" s="111">
        <v>0</v>
      </c>
      <c r="AQ190" s="66">
        <f t="shared" si="64"/>
        <v>0</v>
      </c>
      <c r="AR190" s="43">
        <f t="shared" si="65"/>
        <v>0</v>
      </c>
      <c r="AS190" s="44"/>
      <c r="AT190" s="44"/>
    </row>
    <row r="191" spans="1:46" x14ac:dyDescent="0.25">
      <c r="A191" s="222" t="s">
        <v>320</v>
      </c>
      <c r="B191" s="124" t="s">
        <v>321</v>
      </c>
      <c r="C191" s="303">
        <f t="shared" si="96"/>
        <v>118076937</v>
      </c>
      <c r="D191" s="126">
        <f t="shared" si="97"/>
        <v>118076937</v>
      </c>
      <c r="E191" s="127">
        <f>SUM(F191:Y191)</f>
        <v>0</v>
      </c>
      <c r="F191" s="128"/>
      <c r="G191" s="129"/>
      <c r="H191" s="129"/>
      <c r="I191" s="129"/>
      <c r="J191" s="129"/>
      <c r="K191" s="101"/>
      <c r="L191" s="129"/>
      <c r="M191" s="129"/>
      <c r="N191" s="129"/>
      <c r="O191" s="129"/>
      <c r="P191" s="101"/>
      <c r="Q191" s="101"/>
      <c r="R191" s="101"/>
      <c r="S191" s="101"/>
      <c r="T191" s="101"/>
      <c r="U191" s="101"/>
      <c r="V191" s="101"/>
      <c r="W191" s="101"/>
      <c r="X191" s="101"/>
      <c r="Y191" s="101"/>
      <c r="Z191" s="232">
        <f>SUM(AA191:AE191)</f>
        <v>0</v>
      </c>
      <c r="AA191" s="101"/>
      <c r="AB191" s="101"/>
      <c r="AC191" s="101"/>
      <c r="AD191" s="101"/>
      <c r="AE191" s="244"/>
      <c r="AF191" s="225">
        <f>SUM(AG191:AJ191)</f>
        <v>0</v>
      </c>
      <c r="AG191" s="101"/>
      <c r="AH191" s="101"/>
      <c r="AI191" s="101"/>
      <c r="AJ191" s="103"/>
      <c r="AK191" s="138">
        <f>SUM(AL191+AM191)</f>
        <v>118076937</v>
      </c>
      <c r="AL191" s="176">
        <v>118076937</v>
      </c>
      <c r="AM191" s="294">
        <f>SUM(AN191:AP191)</f>
        <v>0</v>
      </c>
      <c r="AN191" s="105"/>
      <c r="AO191" s="101"/>
      <c r="AP191" s="111"/>
      <c r="AQ191" s="66">
        <f t="shared" si="64"/>
        <v>118076937</v>
      </c>
      <c r="AR191" s="43">
        <f t="shared" si="65"/>
        <v>0</v>
      </c>
      <c r="AS191" s="44"/>
      <c r="AT191" s="44"/>
    </row>
    <row r="192" spans="1:46" hidden="1" x14ac:dyDescent="0.25">
      <c r="A192" s="222" t="s">
        <v>322</v>
      </c>
      <c r="B192" s="124" t="s">
        <v>323</v>
      </c>
      <c r="C192" s="303">
        <f t="shared" si="96"/>
        <v>0</v>
      </c>
      <c r="D192" s="126">
        <f t="shared" si="97"/>
        <v>0</v>
      </c>
      <c r="E192" s="93">
        <f t="shared" si="98"/>
        <v>0</v>
      </c>
      <c r="F192" s="128"/>
      <c r="G192" s="129"/>
      <c r="H192" s="129"/>
      <c r="I192" s="129"/>
      <c r="J192" s="129"/>
      <c r="K192" s="101"/>
      <c r="L192" s="129"/>
      <c r="M192" s="129"/>
      <c r="N192" s="129"/>
      <c r="O192" s="129"/>
      <c r="P192" s="101"/>
      <c r="Q192" s="101"/>
      <c r="R192" s="101"/>
      <c r="S192" s="101"/>
      <c r="T192" s="101"/>
      <c r="U192" s="101"/>
      <c r="V192" s="101"/>
      <c r="W192" s="101"/>
      <c r="X192" s="101"/>
      <c r="Y192" s="101"/>
      <c r="Z192" s="263"/>
      <c r="AA192" s="101"/>
      <c r="AB192" s="101"/>
      <c r="AC192" s="101"/>
      <c r="AD192" s="101"/>
      <c r="AE192" s="244"/>
      <c r="AF192" s="225">
        <f t="shared" si="99"/>
        <v>0</v>
      </c>
      <c r="AG192" s="101"/>
      <c r="AH192" s="101"/>
      <c r="AI192" s="101"/>
      <c r="AJ192" s="103"/>
      <c r="AK192" s="164">
        <v>0</v>
      </c>
      <c r="AL192" s="110"/>
      <c r="AM192" s="109">
        <f>SUM(AM193:AM197)</f>
        <v>1800000000</v>
      </c>
      <c r="AN192" s="105"/>
      <c r="AO192" s="101"/>
      <c r="AP192" s="111"/>
      <c r="AQ192" s="66">
        <f t="shared" si="64"/>
        <v>0</v>
      </c>
      <c r="AR192" s="43">
        <f t="shared" si="65"/>
        <v>0</v>
      </c>
      <c r="AS192" s="44"/>
      <c r="AT192" s="44"/>
    </row>
    <row r="193" spans="1:46" hidden="1" x14ac:dyDescent="0.25">
      <c r="A193" s="222"/>
      <c r="B193" s="124"/>
      <c r="C193" s="303"/>
      <c r="D193" s="229"/>
      <c r="E193" s="93"/>
      <c r="F193" s="128"/>
      <c r="G193" s="129"/>
      <c r="H193" s="129"/>
      <c r="I193" s="129"/>
      <c r="J193" s="129"/>
      <c r="K193" s="101"/>
      <c r="L193" s="129"/>
      <c r="M193" s="129"/>
      <c r="N193" s="129"/>
      <c r="O193" s="129"/>
      <c r="P193" s="101"/>
      <c r="Q193" s="101"/>
      <c r="R193" s="101"/>
      <c r="S193" s="101"/>
      <c r="T193" s="101"/>
      <c r="U193" s="101"/>
      <c r="V193" s="101"/>
      <c r="W193" s="101"/>
      <c r="X193" s="101"/>
      <c r="Y193" s="101"/>
      <c r="Z193" s="263"/>
      <c r="AA193" s="101"/>
      <c r="AB193" s="101"/>
      <c r="AC193" s="101"/>
      <c r="AD193" s="101"/>
      <c r="AE193" s="244"/>
      <c r="AF193" s="225" t="s">
        <v>0</v>
      </c>
      <c r="AG193" s="101"/>
      <c r="AH193" s="101"/>
      <c r="AI193" s="101"/>
      <c r="AJ193" s="103"/>
      <c r="AK193" s="164"/>
      <c r="AL193" s="110"/>
      <c r="AM193" s="249"/>
      <c r="AN193" s="105"/>
      <c r="AO193" s="101"/>
      <c r="AP193" s="111"/>
      <c r="AQ193" s="66">
        <f t="shared" si="64"/>
        <v>0</v>
      </c>
      <c r="AR193" s="43">
        <f t="shared" si="65"/>
        <v>0</v>
      </c>
      <c r="AS193" s="44"/>
      <c r="AT193" s="44"/>
    </row>
    <row r="194" spans="1:46" hidden="1" x14ac:dyDescent="0.25">
      <c r="A194" s="250" t="s">
        <v>324</v>
      </c>
      <c r="B194" s="154" t="s">
        <v>325</v>
      </c>
      <c r="C194" s="303">
        <f>SUM(C195)</f>
        <v>0</v>
      </c>
      <c r="D194" s="229">
        <f>SUM(E194+Z194+AF194+AK194)</f>
        <v>0</v>
      </c>
      <c r="E194" s="93">
        <f>SUM(F194:X194)</f>
        <v>0</v>
      </c>
      <c r="F194" s="128"/>
      <c r="G194" s="129"/>
      <c r="H194" s="129"/>
      <c r="I194" s="129"/>
      <c r="J194" s="129"/>
      <c r="K194" s="101"/>
      <c r="L194" s="129"/>
      <c r="M194" s="129"/>
      <c r="N194" s="129"/>
      <c r="O194" s="129"/>
      <c r="P194" s="101"/>
      <c r="Q194" s="101"/>
      <c r="R194" s="101"/>
      <c r="S194" s="101"/>
      <c r="T194" s="231">
        <f t="shared" ref="T194:Y194" si="100">+T195</f>
        <v>0</v>
      </c>
      <c r="U194" s="231">
        <f t="shared" si="100"/>
        <v>0</v>
      </c>
      <c r="V194" s="231">
        <f t="shared" si="100"/>
        <v>0</v>
      </c>
      <c r="W194" s="231">
        <f t="shared" si="100"/>
        <v>0</v>
      </c>
      <c r="X194" s="231">
        <f t="shared" si="100"/>
        <v>0</v>
      </c>
      <c r="Y194" s="231">
        <f t="shared" si="100"/>
        <v>0</v>
      </c>
      <c r="Z194" s="263"/>
      <c r="AA194" s="231">
        <f>+AA195</f>
        <v>0</v>
      </c>
      <c r="AB194" s="231">
        <f>+AB195</f>
        <v>0</v>
      </c>
      <c r="AC194" s="231">
        <f>+AC195</f>
        <v>0</v>
      </c>
      <c r="AD194" s="231">
        <f>+AD195</f>
        <v>0</v>
      </c>
      <c r="AE194" s="230">
        <f>+AE195</f>
        <v>0</v>
      </c>
      <c r="AF194" s="225">
        <f>SUM(AG194:AI194)</f>
        <v>0</v>
      </c>
      <c r="AG194" s="231">
        <f>+AG195</f>
        <v>0</v>
      </c>
      <c r="AH194" s="231">
        <f>+AH195</f>
        <v>0</v>
      </c>
      <c r="AI194" s="231">
        <f>+AI195</f>
        <v>0</v>
      </c>
      <c r="AJ194" s="233">
        <f>+AJ195</f>
        <v>0</v>
      </c>
      <c r="AK194" s="164">
        <f>SUM(AK195)</f>
        <v>0</v>
      </c>
      <c r="AL194" s="234">
        <f>+AL195</f>
        <v>0</v>
      </c>
      <c r="AM194" s="164">
        <f>SUM(AM195)</f>
        <v>0</v>
      </c>
      <c r="AN194" s="236">
        <f>+AN195</f>
        <v>0</v>
      </c>
      <c r="AO194" s="231">
        <f>+AO195</f>
        <v>0</v>
      </c>
      <c r="AP194" s="237">
        <f>+AP195</f>
        <v>0</v>
      </c>
      <c r="AQ194" s="66">
        <f t="shared" si="64"/>
        <v>0</v>
      </c>
      <c r="AR194" s="43">
        <f t="shared" si="65"/>
        <v>0</v>
      </c>
      <c r="AS194" s="44"/>
      <c r="AT194" s="44"/>
    </row>
    <row r="195" spans="1:46" hidden="1" x14ac:dyDescent="0.25">
      <c r="A195" s="222" t="s">
        <v>326</v>
      </c>
      <c r="B195" s="124" t="s">
        <v>327</v>
      </c>
      <c r="C195" s="303">
        <f>+E195+Z195+AF195+AK195</f>
        <v>0</v>
      </c>
      <c r="D195" s="126">
        <f>SUM(F195+G195+H195+I195+J195+K195+L195+M195+N195+O195+P195+Q195+R195+S195+T195+U195+V195+W195+X195+Y195+AA195+AB195+AC195+AD195+AE195+AG195+AH195+AI195+AJ195+AL195+AN195+AO195+AP195)</f>
        <v>0</v>
      </c>
      <c r="E195" s="93">
        <f>SUM(F195:X195)</f>
        <v>0</v>
      </c>
      <c r="F195" s="128"/>
      <c r="G195" s="129"/>
      <c r="H195" s="129"/>
      <c r="I195" s="129"/>
      <c r="J195" s="129"/>
      <c r="K195" s="101"/>
      <c r="L195" s="129"/>
      <c r="M195" s="129"/>
      <c r="N195" s="129"/>
      <c r="O195" s="129"/>
      <c r="P195" s="101"/>
      <c r="Q195" s="101"/>
      <c r="R195" s="101"/>
      <c r="S195" s="101"/>
      <c r="T195" s="101">
        <v>0</v>
      </c>
      <c r="U195" s="101">
        <v>0</v>
      </c>
      <c r="V195" s="101">
        <v>0</v>
      </c>
      <c r="W195" s="101">
        <v>0</v>
      </c>
      <c r="X195" s="101">
        <v>0</v>
      </c>
      <c r="Y195" s="101">
        <v>0</v>
      </c>
      <c r="Z195" s="263"/>
      <c r="AA195" s="101">
        <v>0</v>
      </c>
      <c r="AB195" s="101">
        <v>0</v>
      </c>
      <c r="AC195" s="101">
        <v>0</v>
      </c>
      <c r="AD195" s="101">
        <v>0</v>
      </c>
      <c r="AE195" s="244">
        <v>0</v>
      </c>
      <c r="AF195" s="225">
        <f>SUM(AG195:AI195)</f>
        <v>0</v>
      </c>
      <c r="AG195" s="101">
        <v>0</v>
      </c>
      <c r="AH195" s="101">
        <v>0</v>
      </c>
      <c r="AI195" s="101">
        <v>0</v>
      </c>
      <c r="AJ195" s="103">
        <v>0</v>
      </c>
      <c r="AK195" s="164"/>
      <c r="AL195" s="110">
        <v>0</v>
      </c>
      <c r="AM195" s="249">
        <v>0</v>
      </c>
      <c r="AN195" s="105">
        <v>0</v>
      </c>
      <c r="AO195" s="101">
        <v>0</v>
      </c>
      <c r="AP195" s="111">
        <v>0</v>
      </c>
      <c r="AQ195" s="66">
        <f t="shared" si="64"/>
        <v>0</v>
      </c>
      <c r="AR195" s="43">
        <f t="shared" si="65"/>
        <v>0</v>
      </c>
      <c r="AS195" s="44"/>
      <c r="AT195" s="44"/>
    </row>
    <row r="196" spans="1:46" x14ac:dyDescent="0.25">
      <c r="A196" s="222"/>
      <c r="B196" s="124"/>
      <c r="C196" s="303"/>
      <c r="D196" s="229"/>
      <c r="E196" s="93"/>
      <c r="F196" s="128"/>
      <c r="G196" s="129"/>
      <c r="H196" s="129"/>
      <c r="I196" s="129"/>
      <c r="J196" s="129"/>
      <c r="K196" s="101"/>
      <c r="L196" s="129"/>
      <c r="M196" s="129"/>
      <c r="N196" s="129"/>
      <c r="O196" s="129"/>
      <c r="P196" s="101"/>
      <c r="Q196" s="101"/>
      <c r="R196" s="101"/>
      <c r="S196" s="101"/>
      <c r="T196" s="101"/>
      <c r="U196" s="101"/>
      <c r="V196" s="101"/>
      <c r="W196" s="101"/>
      <c r="X196" s="101"/>
      <c r="Y196" s="101"/>
      <c r="Z196" s="263"/>
      <c r="AA196" s="101"/>
      <c r="AB196" s="101"/>
      <c r="AC196" s="101"/>
      <c r="AD196" s="101"/>
      <c r="AE196" s="244"/>
      <c r="AF196" s="225" t="s">
        <v>0</v>
      </c>
      <c r="AG196" s="101"/>
      <c r="AH196" s="101"/>
      <c r="AI196" s="101"/>
      <c r="AJ196" s="103"/>
      <c r="AK196" s="164"/>
      <c r="AL196" s="110"/>
      <c r="AM196" s="249"/>
      <c r="AN196" s="105"/>
      <c r="AO196" s="101"/>
      <c r="AP196" s="111"/>
      <c r="AQ196" s="66">
        <f t="shared" si="64"/>
        <v>0</v>
      </c>
      <c r="AR196" s="43">
        <f t="shared" si="65"/>
        <v>0</v>
      </c>
      <c r="AS196" s="44"/>
      <c r="AT196" s="44"/>
    </row>
    <row r="197" spans="1:46" x14ac:dyDescent="0.25">
      <c r="A197" s="289">
        <v>4</v>
      </c>
      <c r="B197" s="91" t="s">
        <v>328</v>
      </c>
      <c r="C197" s="302">
        <f>+C199</f>
        <v>20625221782</v>
      </c>
      <c r="D197" s="240">
        <f>SUM(D199)</f>
        <v>20625221782</v>
      </c>
      <c r="E197" s="93">
        <f>+E199</f>
        <v>0</v>
      </c>
      <c r="F197" s="184">
        <f t="shared" ref="F197:T197" si="101">F199</f>
        <v>0</v>
      </c>
      <c r="G197" s="185">
        <f t="shared" si="101"/>
        <v>0</v>
      </c>
      <c r="H197" s="185">
        <f t="shared" si="101"/>
        <v>0</v>
      </c>
      <c r="I197" s="185">
        <f t="shared" si="101"/>
        <v>0</v>
      </c>
      <c r="J197" s="185">
        <f t="shared" si="101"/>
        <v>0</v>
      </c>
      <c r="K197" s="185">
        <f t="shared" si="101"/>
        <v>0</v>
      </c>
      <c r="L197" s="185">
        <f t="shared" si="101"/>
        <v>0</v>
      </c>
      <c r="M197" s="185">
        <f t="shared" si="101"/>
        <v>0</v>
      </c>
      <c r="N197" s="185">
        <f t="shared" si="101"/>
        <v>0</v>
      </c>
      <c r="O197" s="185">
        <f t="shared" si="101"/>
        <v>0</v>
      </c>
      <c r="P197" s="185">
        <f t="shared" si="101"/>
        <v>0</v>
      </c>
      <c r="Q197" s="185">
        <f t="shared" si="101"/>
        <v>0</v>
      </c>
      <c r="R197" s="185">
        <f t="shared" si="101"/>
        <v>0</v>
      </c>
      <c r="S197" s="185">
        <f>S199</f>
        <v>0</v>
      </c>
      <c r="T197" s="185">
        <f t="shared" si="101"/>
        <v>0</v>
      </c>
      <c r="U197" s="185">
        <f>U199</f>
        <v>0</v>
      </c>
      <c r="V197" s="185">
        <f>V199</f>
        <v>0</v>
      </c>
      <c r="W197" s="185">
        <f>W199</f>
        <v>0</v>
      </c>
      <c r="X197" s="185">
        <f>X199</f>
        <v>0</v>
      </c>
      <c r="Y197" s="185">
        <f>Y199</f>
        <v>0</v>
      </c>
      <c r="Z197" s="217">
        <f>SUM(Z199)</f>
        <v>0</v>
      </c>
      <c r="AA197" s="185">
        <f>AA199</f>
        <v>0</v>
      </c>
      <c r="AB197" s="185">
        <f>AB199</f>
        <v>0</v>
      </c>
      <c r="AC197" s="185">
        <f>AC199</f>
        <v>0</v>
      </c>
      <c r="AD197" s="185">
        <f>AD199</f>
        <v>0</v>
      </c>
      <c r="AE197" s="188">
        <f>AE199</f>
        <v>0</v>
      </c>
      <c r="AF197" s="225">
        <f>SUM(AF199)</f>
        <v>0</v>
      </c>
      <c r="AG197" s="185">
        <f t="shared" ref="AG197:AL197" si="102">AG199</f>
        <v>0</v>
      </c>
      <c r="AH197" s="185">
        <f t="shared" si="102"/>
        <v>0</v>
      </c>
      <c r="AI197" s="185">
        <f t="shared" si="102"/>
        <v>0</v>
      </c>
      <c r="AJ197" s="186">
        <f t="shared" si="102"/>
        <v>0</v>
      </c>
      <c r="AK197" s="164">
        <f t="shared" si="102"/>
        <v>20625221782</v>
      </c>
      <c r="AL197" s="191">
        <f t="shared" si="102"/>
        <v>18825221782</v>
      </c>
      <c r="AM197" s="249">
        <f>+AM199</f>
        <v>1800000000</v>
      </c>
      <c r="AN197" s="184">
        <f>AN199</f>
        <v>0</v>
      </c>
      <c r="AO197" s="185">
        <f>AO199</f>
        <v>0</v>
      </c>
      <c r="AP197" s="252">
        <f>AP199</f>
        <v>1800000000</v>
      </c>
      <c r="AQ197" s="66">
        <f t="shared" si="64"/>
        <v>20625221782</v>
      </c>
      <c r="AR197" s="43">
        <f t="shared" si="65"/>
        <v>0</v>
      </c>
      <c r="AS197" s="44"/>
      <c r="AT197" s="44"/>
    </row>
    <row r="198" spans="1:46" x14ac:dyDescent="0.25">
      <c r="A198" s="289"/>
      <c r="B198" s="91"/>
      <c r="C198" s="302"/>
      <c r="D198" s="229"/>
      <c r="E198" s="93"/>
      <c r="F198" s="184"/>
      <c r="G198" s="185"/>
      <c r="H198" s="185"/>
      <c r="I198" s="185"/>
      <c r="J198" s="185"/>
      <c r="K198" s="231"/>
      <c r="L198" s="185"/>
      <c r="M198" s="185"/>
      <c r="N198" s="185"/>
      <c r="O198" s="185"/>
      <c r="P198" s="231"/>
      <c r="Q198" s="231"/>
      <c r="R198" s="231"/>
      <c r="S198" s="231"/>
      <c r="T198" s="231"/>
      <c r="U198" s="231"/>
      <c r="V198" s="231"/>
      <c r="W198" s="231"/>
      <c r="X198" s="231"/>
      <c r="Y198" s="231"/>
      <c r="Z198" s="263"/>
      <c r="AA198" s="231"/>
      <c r="AB198" s="231"/>
      <c r="AC198" s="231"/>
      <c r="AD198" s="231"/>
      <c r="AE198" s="230"/>
      <c r="AF198" s="225">
        <f>SUM(AG198:AI198)</f>
        <v>0</v>
      </c>
      <c r="AG198" s="231"/>
      <c r="AH198" s="231"/>
      <c r="AI198" s="231"/>
      <c r="AJ198" s="233"/>
      <c r="AK198" s="164"/>
      <c r="AL198" s="234"/>
      <c r="AM198" s="249"/>
      <c r="AN198" s="236"/>
      <c r="AO198" s="231"/>
      <c r="AP198" s="237"/>
      <c r="AQ198" s="66">
        <f t="shared" si="64"/>
        <v>0</v>
      </c>
      <c r="AR198" s="43">
        <f t="shared" si="65"/>
        <v>0</v>
      </c>
      <c r="AS198" s="44"/>
      <c r="AT198" s="44"/>
    </row>
    <row r="199" spans="1:46" x14ac:dyDescent="0.25">
      <c r="A199" s="250" t="s">
        <v>329</v>
      </c>
      <c r="B199" s="154" t="s">
        <v>330</v>
      </c>
      <c r="C199" s="304">
        <f>+C200</f>
        <v>20625221782</v>
      </c>
      <c r="D199" s="240">
        <f>SUM(D200)</f>
        <v>20625221782</v>
      </c>
      <c r="E199" s="93">
        <f>SUM(E200:E203)</f>
        <v>0</v>
      </c>
      <c r="F199" s="231">
        <f>SUM(F202)</f>
        <v>0</v>
      </c>
      <c r="G199" s="231">
        <f>SUM(G202)</f>
        <v>0</v>
      </c>
      <c r="H199" s="231">
        <f t="shared" ref="H199:U199" si="103">SUM(H202)</f>
        <v>0</v>
      </c>
      <c r="I199" s="231">
        <f t="shared" si="103"/>
        <v>0</v>
      </c>
      <c r="J199" s="231">
        <f t="shared" si="103"/>
        <v>0</v>
      </c>
      <c r="K199" s="231">
        <f t="shared" si="103"/>
        <v>0</v>
      </c>
      <c r="L199" s="231">
        <f t="shared" si="103"/>
        <v>0</v>
      </c>
      <c r="M199" s="231">
        <f t="shared" si="103"/>
        <v>0</v>
      </c>
      <c r="N199" s="231">
        <f t="shared" si="103"/>
        <v>0</v>
      </c>
      <c r="O199" s="231">
        <f t="shared" si="103"/>
        <v>0</v>
      </c>
      <c r="P199" s="231">
        <f t="shared" si="103"/>
        <v>0</v>
      </c>
      <c r="Q199" s="231">
        <f t="shared" si="103"/>
        <v>0</v>
      </c>
      <c r="R199" s="231">
        <f t="shared" si="103"/>
        <v>0</v>
      </c>
      <c r="S199" s="231">
        <f t="shared" si="103"/>
        <v>0</v>
      </c>
      <c r="T199" s="231">
        <f t="shared" si="103"/>
        <v>0</v>
      </c>
      <c r="U199" s="231">
        <f t="shared" si="103"/>
        <v>0</v>
      </c>
      <c r="V199" s="231">
        <f>SUM(V202)</f>
        <v>0</v>
      </c>
      <c r="W199" s="231">
        <f>SUM(W202)</f>
        <v>0</v>
      </c>
      <c r="X199" s="231">
        <f>SUM(X202)</f>
        <v>0</v>
      </c>
      <c r="Y199" s="231">
        <f>SUM(Y202)</f>
        <v>0</v>
      </c>
      <c r="Z199" s="94">
        <f>SUM(Z200)</f>
        <v>0</v>
      </c>
      <c r="AA199" s="231">
        <f>SUM(AA202)</f>
        <v>0</v>
      </c>
      <c r="AB199" s="231">
        <f>SUM(AB202)</f>
        <v>0</v>
      </c>
      <c r="AC199" s="231">
        <f>SUM(AC202)</f>
        <v>0</v>
      </c>
      <c r="AD199" s="231">
        <f>SUM(AD202)</f>
        <v>0</v>
      </c>
      <c r="AE199" s="230">
        <f>SUM(AE202)</f>
        <v>0</v>
      </c>
      <c r="AF199" s="93">
        <f>SUM(AF200)</f>
        <v>0</v>
      </c>
      <c r="AG199" s="231">
        <f>SUM(AG202)</f>
        <v>0</v>
      </c>
      <c r="AH199" s="231">
        <f>SUM(AH202)</f>
        <v>0</v>
      </c>
      <c r="AI199" s="231">
        <f>SUM(AI202)</f>
        <v>0</v>
      </c>
      <c r="AJ199" s="233">
        <f>SUM(AJ202)</f>
        <v>0</v>
      </c>
      <c r="AK199" s="93">
        <f>SUM(AK200)</f>
        <v>20625221782</v>
      </c>
      <c r="AL199" s="234">
        <f>SUM(AL200)</f>
        <v>18825221782</v>
      </c>
      <c r="AM199" s="249">
        <f>SUM(AM200)</f>
        <v>1800000000</v>
      </c>
      <c r="AN199" s="236">
        <f>SUM(AN202)</f>
        <v>0</v>
      </c>
      <c r="AO199" s="231">
        <f>SUM(AO202)</f>
        <v>0</v>
      </c>
      <c r="AP199" s="237">
        <f>SUM(AP200)</f>
        <v>1800000000</v>
      </c>
      <c r="AQ199" s="66">
        <f t="shared" si="64"/>
        <v>20625221782</v>
      </c>
      <c r="AR199" s="43">
        <f t="shared" si="65"/>
        <v>0</v>
      </c>
      <c r="AS199" s="44"/>
      <c r="AT199" s="44"/>
    </row>
    <row r="200" spans="1:46" x14ac:dyDescent="0.25">
      <c r="A200" s="222" t="s">
        <v>331</v>
      </c>
      <c r="B200" s="124" t="s">
        <v>332</v>
      </c>
      <c r="C200" s="303">
        <f>SUM(C201:C203)</f>
        <v>20625221782</v>
      </c>
      <c r="D200" s="98">
        <f>SUM(D201:D203)</f>
        <v>20625221782</v>
      </c>
      <c r="E200" s="127">
        <f>SUM(F200:Y200)</f>
        <v>0</v>
      </c>
      <c r="F200" s="175">
        <f t="shared" ref="F200:AG200" si="104">SUM(F201:F202)</f>
        <v>0</v>
      </c>
      <c r="G200" s="176">
        <f t="shared" si="104"/>
        <v>0</v>
      </c>
      <c r="H200" s="176">
        <f t="shared" si="104"/>
        <v>0</v>
      </c>
      <c r="I200" s="176">
        <f t="shared" si="104"/>
        <v>0</v>
      </c>
      <c r="J200" s="176">
        <f t="shared" si="104"/>
        <v>0</v>
      </c>
      <c r="K200" s="176">
        <f t="shared" si="104"/>
        <v>0</v>
      </c>
      <c r="L200" s="176">
        <f t="shared" si="104"/>
        <v>0</v>
      </c>
      <c r="M200" s="176">
        <f t="shared" si="104"/>
        <v>0</v>
      </c>
      <c r="N200" s="176">
        <f t="shared" si="104"/>
        <v>0</v>
      </c>
      <c r="O200" s="176">
        <f t="shared" si="104"/>
        <v>0</v>
      </c>
      <c r="P200" s="176">
        <f t="shared" si="104"/>
        <v>0</v>
      </c>
      <c r="Q200" s="176">
        <f t="shared" si="104"/>
        <v>0</v>
      </c>
      <c r="R200" s="176">
        <f t="shared" si="104"/>
        <v>0</v>
      </c>
      <c r="S200" s="176">
        <f t="shared" si="104"/>
        <v>0</v>
      </c>
      <c r="T200" s="176">
        <f t="shared" si="104"/>
        <v>0</v>
      </c>
      <c r="U200" s="176">
        <f t="shared" si="104"/>
        <v>0</v>
      </c>
      <c r="V200" s="176">
        <f>SUM(V201:V202)</f>
        <v>0</v>
      </c>
      <c r="W200" s="176">
        <f>SUM(W201:W202)</f>
        <v>0</v>
      </c>
      <c r="X200" s="176">
        <f>SUM(X201:X202)</f>
        <v>0</v>
      </c>
      <c r="Y200" s="176">
        <f>SUM(Y201:Y202)</f>
        <v>0</v>
      </c>
      <c r="Z200" s="178">
        <f>SUM(Z201:Z203)</f>
        <v>0</v>
      </c>
      <c r="AA200" s="176">
        <f t="shared" si="104"/>
        <v>0</v>
      </c>
      <c r="AB200" s="176">
        <f>SUM(AB201:AB202)</f>
        <v>0</v>
      </c>
      <c r="AC200" s="176">
        <f>SUM(AC201:AC202)</f>
        <v>0</v>
      </c>
      <c r="AD200" s="176">
        <f>SUM(AD201:AD202)</f>
        <v>0</v>
      </c>
      <c r="AE200" s="277">
        <f>SUM(AE201:AE202)</f>
        <v>0</v>
      </c>
      <c r="AF200" s="305">
        <f t="shared" si="104"/>
        <v>0</v>
      </c>
      <c r="AG200" s="176">
        <f t="shared" si="104"/>
        <v>0</v>
      </c>
      <c r="AH200" s="176">
        <f>SUM(AH201:AH202)</f>
        <v>0</v>
      </c>
      <c r="AI200" s="176">
        <f>SUM(AI201:AI202)</f>
        <v>0</v>
      </c>
      <c r="AJ200" s="177">
        <f>SUM(AJ201:AJ202)</f>
        <v>0</v>
      </c>
      <c r="AK200" s="127">
        <f>SUM(AK201:AK203)</f>
        <v>20625221782</v>
      </c>
      <c r="AL200" s="265">
        <f>SUM(AL201:AL202)</f>
        <v>18825221782</v>
      </c>
      <c r="AM200" s="109">
        <f>SUM(AM201:AM203)</f>
        <v>1800000000</v>
      </c>
      <c r="AN200" s="175">
        <f>SUM(AN201:AN202)</f>
        <v>0</v>
      </c>
      <c r="AO200" s="176">
        <f>SUM(AO201:AO202)</f>
        <v>0</v>
      </c>
      <c r="AP200" s="306">
        <f>SUM(AP202:AP203)</f>
        <v>1800000000</v>
      </c>
      <c r="AQ200" s="66">
        <f t="shared" ref="AQ200:AQ263" si="105">+F200+G200+H200+I200+J200+K200+L200+M200+N200+O200+P200+Q200+R200+S200+T200+U200+V200+W200+X200+Y200+AA200+AB200+AC200+AD200+AE200+AG200+AH200+AI200+AJ200+AL200+AN200+AO200+AP200</f>
        <v>20625221782</v>
      </c>
      <c r="AR200" s="43">
        <f t="shared" ref="AR200:AR263" si="106">+C200-AQ200</f>
        <v>0</v>
      </c>
      <c r="AS200" s="44"/>
      <c r="AT200" s="44"/>
    </row>
    <row r="201" spans="1:46" x14ac:dyDescent="0.25">
      <c r="A201" s="222" t="s">
        <v>333</v>
      </c>
      <c r="B201" s="307" t="s">
        <v>334</v>
      </c>
      <c r="C201" s="303">
        <f>+E201+Z201+AF201+AK201</f>
        <v>18825221782</v>
      </c>
      <c r="D201" s="126">
        <f>SUM(F201+G201+H201+I201+J201+K201+L201+M201+N201+O201+P201+Q201+R201+S201+T201+U201+V201+W201+X201+Y201+AA201+AB201+AC201+AD201+AE201+AG201+AH201+AI201+AJ201+AL201+AN201+AO201+AP201)</f>
        <v>18825221782</v>
      </c>
      <c r="E201" s="127">
        <f>SUM(F201:Y201)</f>
        <v>0</v>
      </c>
      <c r="F201" s="128"/>
      <c r="G201" s="129"/>
      <c r="H201" s="129"/>
      <c r="I201" s="129"/>
      <c r="J201" s="129"/>
      <c r="K201" s="101"/>
      <c r="L201" s="129"/>
      <c r="M201" s="129"/>
      <c r="N201" s="129"/>
      <c r="O201" s="129"/>
      <c r="P201" s="101"/>
      <c r="Q201" s="101"/>
      <c r="R201" s="101"/>
      <c r="S201" s="101"/>
      <c r="T201" s="101"/>
      <c r="U201" s="101"/>
      <c r="V201" s="101"/>
      <c r="W201" s="101"/>
      <c r="X201" s="101"/>
      <c r="Y201" s="101"/>
      <c r="Z201" s="232">
        <f>SUM(AA201:AE201)</f>
        <v>0</v>
      </c>
      <c r="AA201" s="101"/>
      <c r="AB201" s="101"/>
      <c r="AC201" s="101"/>
      <c r="AD201" s="101"/>
      <c r="AE201" s="244"/>
      <c r="AF201" s="225">
        <f>SUM(AG201:AJ201)</f>
        <v>0</v>
      </c>
      <c r="AG201" s="101"/>
      <c r="AH201" s="101"/>
      <c r="AI201" s="101"/>
      <c r="AJ201" s="103"/>
      <c r="AK201" s="138">
        <f>SUM(AL201+AM201)</f>
        <v>18825221782</v>
      </c>
      <c r="AL201" s="176">
        <v>18825221782</v>
      </c>
      <c r="AM201" s="294">
        <f>SUM(AN201:AP201)</f>
        <v>0</v>
      </c>
      <c r="AN201" s="105"/>
      <c r="AO201" s="101"/>
      <c r="AP201" s="111"/>
      <c r="AQ201" s="66">
        <f t="shared" si="105"/>
        <v>18825221782</v>
      </c>
      <c r="AR201" s="43">
        <f t="shared" si="106"/>
        <v>0</v>
      </c>
      <c r="AS201" s="44"/>
      <c r="AT201" s="44"/>
    </row>
    <row r="202" spans="1:46" x14ac:dyDescent="0.25">
      <c r="A202" s="222" t="s">
        <v>335</v>
      </c>
      <c r="B202" s="307" t="s">
        <v>336</v>
      </c>
      <c r="C202" s="228">
        <f>+E202+Z202+AF202+AK202</f>
        <v>1600000000</v>
      </c>
      <c r="D202" s="126">
        <f>SUM(F202+G202+H202+I202+J202+K202+L202+M202+N202+O202+P202+Q202+R202+S202+T202+U202+V202+W202+X202+Y202+AA202+AB202+AC202+AD202+AE202+AG202+AH202+AI202+AJ202+AL202+AN202+AO202+AP202)</f>
        <v>1600000000</v>
      </c>
      <c r="E202" s="127">
        <f>SUM(F202:Y202)</f>
        <v>0</v>
      </c>
      <c r="F202" s="128"/>
      <c r="G202" s="129"/>
      <c r="H202" s="129"/>
      <c r="I202" s="129"/>
      <c r="J202" s="129"/>
      <c r="K202" s="101"/>
      <c r="L202" s="129"/>
      <c r="M202" s="129"/>
      <c r="N202" s="129"/>
      <c r="O202" s="129"/>
      <c r="P202" s="101"/>
      <c r="Q202" s="101"/>
      <c r="R202" s="101"/>
      <c r="S202" s="101"/>
      <c r="T202" s="101"/>
      <c r="U202" s="101"/>
      <c r="V202" s="101"/>
      <c r="W202" s="101"/>
      <c r="X202" s="101"/>
      <c r="Y202" s="101"/>
      <c r="Z202" s="232">
        <f>SUM(AA202:AE202)</f>
        <v>0</v>
      </c>
      <c r="AA202" s="101"/>
      <c r="AB202" s="101"/>
      <c r="AC202" s="101"/>
      <c r="AD202" s="101"/>
      <c r="AE202" s="244"/>
      <c r="AF202" s="225"/>
      <c r="AG202" s="101"/>
      <c r="AH202" s="101"/>
      <c r="AI202" s="101"/>
      <c r="AJ202" s="103"/>
      <c r="AK202" s="138">
        <f>SUM(AL202+AM202)</f>
        <v>1600000000</v>
      </c>
      <c r="AL202" s="110"/>
      <c r="AM202" s="294">
        <f>SUM(AN202:AP202)</f>
        <v>1600000000</v>
      </c>
      <c r="AN202" s="105"/>
      <c r="AO202" s="101"/>
      <c r="AP202" s="111">
        <v>1600000000</v>
      </c>
      <c r="AQ202" s="66">
        <f t="shared" si="105"/>
        <v>1600000000</v>
      </c>
      <c r="AR202" s="43">
        <f t="shared" si="106"/>
        <v>0</v>
      </c>
      <c r="AS202" s="44"/>
      <c r="AT202" s="44"/>
    </row>
    <row r="203" spans="1:46" x14ac:dyDescent="0.25">
      <c r="A203" s="222" t="s">
        <v>337</v>
      </c>
      <c r="B203" s="124" t="s">
        <v>338</v>
      </c>
      <c r="C203" s="228">
        <f>+E203+Z203+AF203+AK203</f>
        <v>200000000</v>
      </c>
      <c r="D203" s="126">
        <f>SUM(F203+G203+H203+I203+J203+K203+L203+M203+N203+O203+P203+Q203+R203+S203+T203+U203+V203+W203+X203+Y203+AA203+AB203+AC203+AD203+AE203+AG203+AH203+AI203+AJ203+AL203+AN203+AO203+AP203)</f>
        <v>200000000</v>
      </c>
      <c r="E203" s="127">
        <f>SUM(F203:Y203)</f>
        <v>0</v>
      </c>
      <c r="F203" s="128"/>
      <c r="G203" s="129"/>
      <c r="H203" s="129"/>
      <c r="I203" s="129"/>
      <c r="J203" s="129"/>
      <c r="K203" s="101"/>
      <c r="L203" s="129"/>
      <c r="M203" s="129"/>
      <c r="N203" s="129"/>
      <c r="O203" s="129"/>
      <c r="P203" s="101"/>
      <c r="Q203" s="101"/>
      <c r="R203" s="101"/>
      <c r="S203" s="101"/>
      <c r="T203" s="101"/>
      <c r="U203" s="101"/>
      <c r="V203" s="101"/>
      <c r="W203" s="101"/>
      <c r="X203" s="101"/>
      <c r="Y203" s="101"/>
      <c r="Z203" s="232">
        <f>SUM(AA203:AE203)</f>
        <v>0</v>
      </c>
      <c r="AA203" s="101"/>
      <c r="AB203" s="101"/>
      <c r="AC203" s="101"/>
      <c r="AD203" s="101"/>
      <c r="AE203" s="244"/>
      <c r="AF203" s="225"/>
      <c r="AG203" s="101"/>
      <c r="AH203" s="101"/>
      <c r="AI203" s="101"/>
      <c r="AJ203" s="103"/>
      <c r="AK203" s="138">
        <f>SUM(AL203+AM203)</f>
        <v>200000000</v>
      </c>
      <c r="AL203" s="110"/>
      <c r="AM203" s="294">
        <f>SUM(AN203:AP203)</f>
        <v>200000000</v>
      </c>
      <c r="AN203" s="105"/>
      <c r="AO203" s="101"/>
      <c r="AP203" s="111">
        <v>200000000</v>
      </c>
      <c r="AQ203" s="66">
        <f t="shared" si="105"/>
        <v>200000000</v>
      </c>
      <c r="AR203" s="43">
        <f t="shared" si="106"/>
        <v>0</v>
      </c>
      <c r="AS203" s="44"/>
      <c r="AT203" s="44"/>
    </row>
    <row r="204" spans="1:46" x14ac:dyDescent="0.25">
      <c r="A204" s="222"/>
      <c r="B204" s="124"/>
      <c r="C204" s="228"/>
      <c r="D204" s="98"/>
      <c r="E204" s="93"/>
      <c r="F204" s="128"/>
      <c r="G204" s="129"/>
      <c r="H204" s="129"/>
      <c r="I204" s="129"/>
      <c r="J204" s="129"/>
      <c r="K204" s="101"/>
      <c r="L204" s="129"/>
      <c r="M204" s="129"/>
      <c r="N204" s="129"/>
      <c r="O204" s="129"/>
      <c r="P204" s="101"/>
      <c r="Q204" s="101"/>
      <c r="R204" s="101"/>
      <c r="S204" s="101"/>
      <c r="T204" s="101"/>
      <c r="U204" s="101"/>
      <c r="V204" s="101"/>
      <c r="W204" s="101"/>
      <c r="X204" s="101"/>
      <c r="Y204" s="101"/>
      <c r="Z204" s="263"/>
      <c r="AA204" s="101"/>
      <c r="AB204" s="101"/>
      <c r="AC204" s="101"/>
      <c r="AD204" s="101"/>
      <c r="AE204" s="244"/>
      <c r="AF204" s="225"/>
      <c r="AG204" s="101"/>
      <c r="AH204" s="101"/>
      <c r="AI204" s="101"/>
      <c r="AJ204" s="103"/>
      <c r="AK204" s="164"/>
      <c r="AL204" s="110"/>
      <c r="AM204" s="288"/>
      <c r="AN204" s="105"/>
      <c r="AO204" s="101"/>
      <c r="AP204" s="111"/>
      <c r="AQ204" s="66">
        <f t="shared" si="105"/>
        <v>0</v>
      </c>
      <c r="AR204" s="43">
        <f t="shared" si="106"/>
        <v>0</v>
      </c>
      <c r="AS204" s="44"/>
      <c r="AT204" s="44"/>
    </row>
    <row r="205" spans="1:46" x14ac:dyDescent="0.25">
      <c r="A205" s="289">
        <v>5</v>
      </c>
      <c r="B205" s="91" t="s">
        <v>339</v>
      </c>
      <c r="C205" s="290">
        <f>+C207+C214+C224+C228</f>
        <v>3543726653</v>
      </c>
      <c r="D205" s="70">
        <f>SUM(D207+D214+D224+D228)</f>
        <v>3543726653</v>
      </c>
      <c r="E205" s="202">
        <f t="shared" ref="E205:Y205" si="107">E207+E214+E224+E228</f>
        <v>623825117</v>
      </c>
      <c r="F205" s="203">
        <f t="shared" si="107"/>
        <v>0</v>
      </c>
      <c r="G205" s="204">
        <f t="shared" si="107"/>
        <v>2983200</v>
      </c>
      <c r="H205" s="204">
        <f t="shared" si="107"/>
        <v>0</v>
      </c>
      <c r="I205" s="204">
        <f t="shared" si="107"/>
        <v>0</v>
      </c>
      <c r="J205" s="204">
        <f t="shared" si="107"/>
        <v>300000</v>
      </c>
      <c r="K205" s="204">
        <f t="shared" si="107"/>
        <v>498251917</v>
      </c>
      <c r="L205" s="204">
        <f t="shared" si="107"/>
        <v>0</v>
      </c>
      <c r="M205" s="204">
        <f t="shared" si="107"/>
        <v>0</v>
      </c>
      <c r="N205" s="204">
        <f t="shared" si="107"/>
        <v>4000000</v>
      </c>
      <c r="O205" s="204">
        <f t="shared" si="107"/>
        <v>0</v>
      </c>
      <c r="P205" s="204">
        <f t="shared" si="107"/>
        <v>35000</v>
      </c>
      <c r="Q205" s="204">
        <f t="shared" si="107"/>
        <v>63705000</v>
      </c>
      <c r="R205" s="204">
        <f t="shared" si="107"/>
        <v>0</v>
      </c>
      <c r="S205" s="204">
        <f t="shared" si="107"/>
        <v>50000</v>
      </c>
      <c r="T205" s="204">
        <f t="shared" si="107"/>
        <v>0</v>
      </c>
      <c r="U205" s="204">
        <f t="shared" si="107"/>
        <v>1650000</v>
      </c>
      <c r="V205" s="204">
        <f t="shared" si="107"/>
        <v>50500000</v>
      </c>
      <c r="W205" s="204">
        <f t="shared" si="107"/>
        <v>2350000</v>
      </c>
      <c r="X205" s="204">
        <f t="shared" si="107"/>
        <v>0</v>
      </c>
      <c r="Y205" s="204">
        <f t="shared" si="107"/>
        <v>0</v>
      </c>
      <c r="Z205" s="206">
        <f>SUM(Z207+Z224+Z228)</f>
        <v>55660000</v>
      </c>
      <c r="AA205" s="204">
        <f t="shared" ref="AA205:AP205" si="108">AA207+AA214+AA224+AA228</f>
        <v>2500000</v>
      </c>
      <c r="AB205" s="204">
        <f t="shared" si="108"/>
        <v>32100000</v>
      </c>
      <c r="AC205" s="204">
        <f t="shared" si="108"/>
        <v>7350000</v>
      </c>
      <c r="AD205" s="204">
        <f t="shared" si="108"/>
        <v>10050000</v>
      </c>
      <c r="AE205" s="204">
        <f t="shared" si="108"/>
        <v>3660000</v>
      </c>
      <c r="AF205" s="308">
        <f t="shared" si="108"/>
        <v>2707210000</v>
      </c>
      <c r="AG205" s="204">
        <f t="shared" si="108"/>
        <v>27000000</v>
      </c>
      <c r="AH205" s="204">
        <f t="shared" si="108"/>
        <v>890000000</v>
      </c>
      <c r="AI205" s="204">
        <f t="shared" si="108"/>
        <v>210000</v>
      </c>
      <c r="AJ205" s="205">
        <f t="shared" si="108"/>
        <v>1790000000</v>
      </c>
      <c r="AK205" s="202">
        <f t="shared" si="108"/>
        <v>157031536</v>
      </c>
      <c r="AL205" s="280">
        <f t="shared" si="108"/>
        <v>155431536</v>
      </c>
      <c r="AM205" s="202">
        <f t="shared" si="108"/>
        <v>1600000</v>
      </c>
      <c r="AN205" s="203">
        <f t="shared" si="108"/>
        <v>1100000</v>
      </c>
      <c r="AO205" s="204">
        <f t="shared" si="108"/>
        <v>500000</v>
      </c>
      <c r="AP205" s="281">
        <f t="shared" si="108"/>
        <v>0</v>
      </c>
      <c r="AQ205" s="66">
        <f t="shared" si="105"/>
        <v>3543726653</v>
      </c>
      <c r="AR205" s="43">
        <f t="shared" si="106"/>
        <v>0</v>
      </c>
      <c r="AS205" s="44"/>
      <c r="AT205" s="44"/>
    </row>
    <row r="206" spans="1:46" x14ac:dyDescent="0.25">
      <c r="A206" s="222"/>
      <c r="B206" s="124"/>
      <c r="C206" s="228"/>
      <c r="D206" s="229"/>
      <c r="E206" s="93"/>
      <c r="F206" s="128"/>
      <c r="G206" s="129"/>
      <c r="H206" s="129"/>
      <c r="I206" s="129"/>
      <c r="J206" s="129"/>
      <c r="K206" s="101"/>
      <c r="L206" s="129"/>
      <c r="M206" s="129"/>
      <c r="N206" s="129"/>
      <c r="O206" s="129"/>
      <c r="P206" s="101"/>
      <c r="Q206" s="101"/>
      <c r="R206" s="101"/>
      <c r="S206" s="101"/>
      <c r="T206" s="101"/>
      <c r="U206" s="101"/>
      <c r="V206" s="101"/>
      <c r="W206" s="101"/>
      <c r="X206" s="101"/>
      <c r="Y206" s="101"/>
      <c r="Z206" s="263"/>
      <c r="AA206" s="101"/>
      <c r="AB206" s="101"/>
      <c r="AC206" s="101"/>
      <c r="AD206" s="101"/>
      <c r="AE206" s="244"/>
      <c r="AF206" s="225">
        <f>SUM(AG206:AI206)</f>
        <v>0</v>
      </c>
      <c r="AG206" s="101"/>
      <c r="AH206" s="101"/>
      <c r="AI206" s="101"/>
      <c r="AJ206" s="103"/>
      <c r="AK206" s="164"/>
      <c r="AL206" s="110"/>
      <c r="AM206" s="254"/>
      <c r="AN206" s="105"/>
      <c r="AO206" s="101"/>
      <c r="AP206" s="111"/>
      <c r="AQ206" s="66">
        <f t="shared" si="105"/>
        <v>0</v>
      </c>
      <c r="AR206" s="43">
        <f t="shared" si="106"/>
        <v>0</v>
      </c>
      <c r="AS206" s="44"/>
      <c r="AT206" s="44"/>
    </row>
    <row r="207" spans="1:46" x14ac:dyDescent="0.25">
      <c r="A207" s="250" t="s">
        <v>340</v>
      </c>
      <c r="B207" s="154" t="s">
        <v>341</v>
      </c>
      <c r="C207" s="239">
        <f t="shared" ref="C207:AP207" si="109">SUM(C208:C212)</f>
        <v>239621000</v>
      </c>
      <c r="D207" s="240">
        <f t="shared" si="109"/>
        <v>239621000</v>
      </c>
      <c r="E207" s="93">
        <f t="shared" si="109"/>
        <v>175893025</v>
      </c>
      <c r="F207" s="155">
        <f t="shared" si="109"/>
        <v>0</v>
      </c>
      <c r="G207" s="156">
        <f t="shared" si="109"/>
        <v>0</v>
      </c>
      <c r="H207" s="156">
        <f t="shared" si="109"/>
        <v>0</v>
      </c>
      <c r="I207" s="156">
        <f t="shared" si="109"/>
        <v>0</v>
      </c>
      <c r="J207" s="156">
        <f t="shared" si="109"/>
        <v>300000</v>
      </c>
      <c r="K207" s="156">
        <f t="shared" si="109"/>
        <v>153303025</v>
      </c>
      <c r="L207" s="156">
        <f t="shared" si="109"/>
        <v>0</v>
      </c>
      <c r="M207" s="156">
        <f t="shared" si="109"/>
        <v>0</v>
      </c>
      <c r="N207" s="156">
        <f t="shared" si="109"/>
        <v>4000000</v>
      </c>
      <c r="O207" s="156">
        <f t="shared" si="109"/>
        <v>0</v>
      </c>
      <c r="P207" s="156">
        <f t="shared" si="109"/>
        <v>35000</v>
      </c>
      <c r="Q207" s="156">
        <f t="shared" si="109"/>
        <v>13705000</v>
      </c>
      <c r="R207" s="156">
        <f t="shared" si="109"/>
        <v>0</v>
      </c>
      <c r="S207" s="156">
        <f t="shared" si="109"/>
        <v>50000</v>
      </c>
      <c r="T207" s="156">
        <f t="shared" si="109"/>
        <v>0</v>
      </c>
      <c r="U207" s="156">
        <f t="shared" si="109"/>
        <v>1650000</v>
      </c>
      <c r="V207" s="156">
        <f t="shared" si="109"/>
        <v>500000</v>
      </c>
      <c r="W207" s="156">
        <f>SUM(W208:W212)</f>
        <v>2350000</v>
      </c>
      <c r="X207" s="156">
        <f t="shared" si="109"/>
        <v>0</v>
      </c>
      <c r="Y207" s="156">
        <f t="shared" si="109"/>
        <v>0</v>
      </c>
      <c r="Z207" s="94">
        <f t="shared" si="109"/>
        <v>14260000</v>
      </c>
      <c r="AA207" s="156">
        <f t="shared" si="109"/>
        <v>1500000</v>
      </c>
      <c r="AB207" s="156">
        <f t="shared" si="109"/>
        <v>2100000</v>
      </c>
      <c r="AC207" s="156">
        <f t="shared" si="109"/>
        <v>7350000</v>
      </c>
      <c r="AD207" s="156">
        <f t="shared" si="109"/>
        <v>2250000</v>
      </c>
      <c r="AE207" s="204">
        <f t="shared" si="109"/>
        <v>1060000</v>
      </c>
      <c r="AF207" s="309">
        <f t="shared" si="109"/>
        <v>27210000</v>
      </c>
      <c r="AG207" s="156">
        <f t="shared" si="109"/>
        <v>27000000</v>
      </c>
      <c r="AH207" s="156">
        <f t="shared" si="109"/>
        <v>0</v>
      </c>
      <c r="AI207" s="156">
        <f t="shared" si="109"/>
        <v>210000</v>
      </c>
      <c r="AJ207" s="158">
        <f t="shared" si="109"/>
        <v>0</v>
      </c>
      <c r="AK207" s="93">
        <f t="shared" si="109"/>
        <v>22257975</v>
      </c>
      <c r="AL207" s="226">
        <f t="shared" si="109"/>
        <v>20657975</v>
      </c>
      <c r="AM207" s="93">
        <f t="shared" si="109"/>
        <v>1600000</v>
      </c>
      <c r="AN207" s="155">
        <f t="shared" si="109"/>
        <v>1100000</v>
      </c>
      <c r="AO207" s="156">
        <f t="shared" si="109"/>
        <v>500000</v>
      </c>
      <c r="AP207" s="227">
        <f t="shared" si="109"/>
        <v>0</v>
      </c>
      <c r="AQ207" s="66">
        <f t="shared" si="105"/>
        <v>239621000</v>
      </c>
      <c r="AR207" s="43">
        <f t="shared" si="106"/>
        <v>0</v>
      </c>
      <c r="AS207" s="44"/>
      <c r="AT207" s="44"/>
    </row>
    <row r="208" spans="1:46" x14ac:dyDescent="0.25">
      <c r="A208" s="222" t="s">
        <v>342</v>
      </c>
      <c r="B208" s="124" t="s">
        <v>343</v>
      </c>
      <c r="C208" s="228">
        <f>+E208+Z208+AF208+AK208</f>
        <v>2100000</v>
      </c>
      <c r="D208" s="126">
        <f>SUM(F208+G208+H208+I208+J208+K208+L208+M208+N208+O208+P208+Q208+R208+S208+T208+U208+V208+W208+X208+Y208+AA208+AB208+AC208+AD208+AE208+AG208+AH208+AI208+AJ208+AL208+AN208+AO208+AP208)</f>
        <v>2100000</v>
      </c>
      <c r="E208" s="127">
        <f>SUM(F208:Y208)</f>
        <v>2000000</v>
      </c>
      <c r="F208" s="128"/>
      <c r="G208" s="129"/>
      <c r="H208" s="129"/>
      <c r="I208" s="129"/>
      <c r="J208" s="129"/>
      <c r="K208" s="176">
        <f>(90000000*1.13)-101700000</f>
        <v>0</v>
      </c>
      <c r="L208" s="129"/>
      <c r="M208" s="129"/>
      <c r="N208" s="129"/>
      <c r="O208" s="129"/>
      <c r="P208" s="101"/>
      <c r="Q208" s="243">
        <v>2000000</v>
      </c>
      <c r="R208" s="101"/>
      <c r="S208" s="101"/>
      <c r="T208" s="101"/>
      <c r="U208" s="101"/>
      <c r="V208" s="101"/>
      <c r="W208" s="101"/>
      <c r="X208" s="101"/>
      <c r="Y208" s="101"/>
      <c r="Z208" s="133">
        <f>SUM(AA208:AE208)</f>
        <v>100000</v>
      </c>
      <c r="AA208" s="101"/>
      <c r="AB208" s="101"/>
      <c r="AC208" s="275">
        <v>100000</v>
      </c>
      <c r="AD208" s="101"/>
      <c r="AE208" s="244"/>
      <c r="AF208" s="248">
        <f>SUM(AG208:AJ208)</f>
        <v>0</v>
      </c>
      <c r="AG208" s="101"/>
      <c r="AH208" s="101"/>
      <c r="AI208" s="101"/>
      <c r="AJ208" s="103"/>
      <c r="AK208" s="138">
        <f>SUM(AL208+AM208)</f>
        <v>0</v>
      </c>
      <c r="AL208" s="110"/>
      <c r="AM208" s="294">
        <f>SUM(AN208:AP208)</f>
        <v>0</v>
      </c>
      <c r="AN208" s="105"/>
      <c r="AO208" s="101"/>
      <c r="AP208" s="111"/>
      <c r="AQ208" s="66">
        <f t="shared" si="105"/>
        <v>2100000</v>
      </c>
      <c r="AR208" s="43">
        <f t="shared" si="106"/>
        <v>0</v>
      </c>
      <c r="AS208" s="44"/>
      <c r="AT208" s="44"/>
    </row>
    <row r="209" spans="1:46" x14ac:dyDescent="0.25">
      <c r="A209" s="222" t="s">
        <v>344</v>
      </c>
      <c r="B209" s="124" t="s">
        <v>345</v>
      </c>
      <c r="C209" s="228">
        <f>+E209+Z209+AF209+AK209</f>
        <v>14267500</v>
      </c>
      <c r="D209" s="126">
        <f>SUM(F209+G209+H209+I209+J209+K209+L209+M209+N209+O209+P209+Q209+R209+S209+T209+U209+V209+W209+X209+Y209+AA209+AB209+AC209+AD209+AE209+AG209+AH209+AI209+AJ209+AL209+AN209+AO209+AP209)</f>
        <v>14267500</v>
      </c>
      <c r="E209" s="127">
        <f>SUM(F209:Y209)</f>
        <v>10667500</v>
      </c>
      <c r="F209" s="128"/>
      <c r="G209" s="129"/>
      <c r="H209" s="129"/>
      <c r="I209" s="129"/>
      <c r="J209" s="129"/>
      <c r="K209" s="176">
        <f>250000*1.13</f>
        <v>282500</v>
      </c>
      <c r="L209" s="129"/>
      <c r="M209" s="129"/>
      <c r="N209" s="129"/>
      <c r="O209" s="129"/>
      <c r="P209" s="245">
        <v>35000</v>
      </c>
      <c r="Q209" s="243">
        <v>10000000</v>
      </c>
      <c r="R209" s="101"/>
      <c r="S209" s="245">
        <v>50000</v>
      </c>
      <c r="T209" s="101"/>
      <c r="U209" s="101">
        <v>150000</v>
      </c>
      <c r="V209" s="101"/>
      <c r="W209" s="101">
        <v>150000</v>
      </c>
      <c r="X209" s="101"/>
      <c r="Y209" s="101"/>
      <c r="Z209" s="133">
        <f>SUM(AA209:AE209)</f>
        <v>2100000</v>
      </c>
      <c r="AA209" s="101"/>
      <c r="AB209" s="245">
        <v>100000</v>
      </c>
      <c r="AC209" s="296">
        <v>2000000</v>
      </c>
      <c r="AD209" s="101"/>
      <c r="AE209" s="244"/>
      <c r="AF209" s="248">
        <f>SUM(AG209:AJ209)</f>
        <v>0</v>
      </c>
      <c r="AG209" s="101"/>
      <c r="AH209" s="101"/>
      <c r="AI209" s="101"/>
      <c r="AJ209" s="103"/>
      <c r="AK209" s="138">
        <f>SUM(AL209+AM209)</f>
        <v>1500000</v>
      </c>
      <c r="AL209" s="176">
        <v>1500000</v>
      </c>
      <c r="AM209" s="294">
        <f>SUM(AN209:AP209)</f>
        <v>0</v>
      </c>
      <c r="AN209" s="105"/>
      <c r="AO209" s="101"/>
      <c r="AP209" s="111"/>
      <c r="AQ209" s="66">
        <f t="shared" si="105"/>
        <v>14267500</v>
      </c>
      <c r="AR209" s="43">
        <f t="shared" si="106"/>
        <v>0</v>
      </c>
      <c r="AS209" s="44"/>
      <c r="AT209" s="44"/>
    </row>
    <row r="210" spans="1:46" ht="13.8" thickBot="1" x14ac:dyDescent="0.3">
      <c r="A210" s="222" t="s">
        <v>346</v>
      </c>
      <c r="B210" s="124" t="s">
        <v>347</v>
      </c>
      <c r="C210" s="228">
        <f>+E210+Z210+AF210+AK210</f>
        <v>14640000</v>
      </c>
      <c r="D210" s="126">
        <f>SUM(F210+G210+H210+I210+J210+K210+L210+M210+N210+O210+P210+Q210+R210+S210+T210+U210+V210+W210+X210+Y210+AA210+AB210+AC210+AD210+AE210+AG210+AH210+AI210+AJ210+AL210+AN210+AO210+AP210)</f>
        <v>14640000</v>
      </c>
      <c r="E210" s="127">
        <f>SUM(F210:Y210)</f>
        <v>10630000</v>
      </c>
      <c r="F210" s="128"/>
      <c r="G210" s="129"/>
      <c r="H210" s="129"/>
      <c r="I210" s="129"/>
      <c r="J210" s="129">
        <v>300000</v>
      </c>
      <c r="K210" s="176">
        <f>2500000*1.13</f>
        <v>2824999.9999999995</v>
      </c>
      <c r="L210" s="129"/>
      <c r="M210" s="129"/>
      <c r="N210" s="129">
        <v>4000000</v>
      </c>
      <c r="O210" s="129"/>
      <c r="P210" s="101"/>
      <c r="Q210" s="243">
        <v>505000</v>
      </c>
      <c r="R210" s="101"/>
      <c r="S210" s="101"/>
      <c r="T210" s="101"/>
      <c r="U210" s="101">
        <v>1000000</v>
      </c>
      <c r="V210" s="104">
        <v>500000</v>
      </c>
      <c r="W210" s="101">
        <v>1500000</v>
      </c>
      <c r="X210" s="101"/>
      <c r="Y210" s="101"/>
      <c r="Z210" s="133">
        <f>SUM(AA210:AE210)</f>
        <v>0</v>
      </c>
      <c r="AA210" s="245">
        <f>2000000-2000000</f>
        <v>0</v>
      </c>
      <c r="AB210" s="101"/>
      <c r="AC210" s="101"/>
      <c r="AD210" s="101"/>
      <c r="AE210" s="244"/>
      <c r="AF210" s="248">
        <f>SUM(AG210:AJ210)</f>
        <v>210000</v>
      </c>
      <c r="AG210" s="101"/>
      <c r="AH210" s="261">
        <f>16000000-16000000</f>
        <v>0</v>
      </c>
      <c r="AI210" s="310">
        <f>50000+160000</f>
        <v>210000</v>
      </c>
      <c r="AJ210" s="148">
        <f>16000000-16000000</f>
        <v>0</v>
      </c>
      <c r="AK210" s="138">
        <f>SUM(AL210+AM210)</f>
        <v>3800000</v>
      </c>
      <c r="AL210" s="176">
        <v>3000000</v>
      </c>
      <c r="AM210" s="294">
        <f>SUM(AN210:AP210)</f>
        <v>800000</v>
      </c>
      <c r="AN210" s="105">
        <v>300000</v>
      </c>
      <c r="AO210" s="176">
        <v>500000</v>
      </c>
      <c r="AP210" s="111"/>
      <c r="AQ210" s="66">
        <f t="shared" si="105"/>
        <v>14640000</v>
      </c>
      <c r="AR210" s="43">
        <f t="shared" si="106"/>
        <v>0</v>
      </c>
      <c r="AS210" s="44"/>
      <c r="AT210" s="44"/>
    </row>
    <row r="211" spans="1:46" ht="14.4" thickTop="1" thickBot="1" x14ac:dyDescent="0.3">
      <c r="A211" s="222" t="s">
        <v>348</v>
      </c>
      <c r="B211" s="124" t="s">
        <v>349</v>
      </c>
      <c r="C211" s="228">
        <f>+E211+Z211+AF211+AK211</f>
        <v>178303500</v>
      </c>
      <c r="D211" s="126">
        <f>SUM(F211+G211+H211+I211+J211+K211+L211+M211+N211+O211+P211+Q211+R211+S211+T211+U211+V211+W211+X211+Y211+AA211+AB211+AC211+AD211+AE211+AG211+AH211+AI211+AJ211+AL211+AN211+AO211+AP211)</f>
        <v>178303500</v>
      </c>
      <c r="E211" s="127">
        <f>SUM(F211:Y211)</f>
        <v>150195525</v>
      </c>
      <c r="F211" s="128"/>
      <c r="G211" s="129"/>
      <c r="H211" s="129"/>
      <c r="I211" s="129"/>
      <c r="J211" s="129"/>
      <c r="K211" s="176">
        <f>267753500-101700000-'[2]Costeo SAP'!I25</f>
        <v>150195525</v>
      </c>
      <c r="L211" s="100"/>
      <c r="M211" s="129"/>
      <c r="N211" s="129"/>
      <c r="O211" s="129"/>
      <c r="P211" s="101"/>
      <c r="Q211" s="243"/>
      <c r="R211" s="101"/>
      <c r="S211" s="274"/>
      <c r="T211" s="101"/>
      <c r="U211" s="101"/>
      <c r="V211" s="101"/>
      <c r="W211" s="101"/>
      <c r="X211" s="101"/>
      <c r="Y211" s="101"/>
      <c r="Z211" s="133">
        <f>SUM(AA211:AE211)</f>
        <v>11750000</v>
      </c>
      <c r="AA211" s="245">
        <v>1500000</v>
      </c>
      <c r="AB211" s="101">
        <v>2000000</v>
      </c>
      <c r="AC211" s="296">
        <v>5250000</v>
      </c>
      <c r="AD211" s="245">
        <v>2000000</v>
      </c>
      <c r="AE211" s="259">
        <v>1000000</v>
      </c>
      <c r="AF211" s="248">
        <f>SUM(AG211:AJ211)</f>
        <v>0</v>
      </c>
      <c r="AG211" s="101"/>
      <c r="AH211" s="101"/>
      <c r="AI211" s="101"/>
      <c r="AJ211" s="103"/>
      <c r="AK211" s="138">
        <f>SUM(AL211+AM211)</f>
        <v>16357975</v>
      </c>
      <c r="AL211" s="176">
        <f>'[2]Costeo SAP'!I25</f>
        <v>15857975</v>
      </c>
      <c r="AM211" s="294">
        <f>SUM(AN211:AP211)</f>
        <v>500000</v>
      </c>
      <c r="AN211" s="105">
        <v>500000</v>
      </c>
      <c r="AO211" s="101"/>
      <c r="AP211" s="111"/>
      <c r="AQ211" s="66">
        <f t="shared" si="105"/>
        <v>178303500</v>
      </c>
      <c r="AR211" s="43">
        <f t="shared" si="106"/>
        <v>0</v>
      </c>
      <c r="AS211" s="44"/>
      <c r="AT211" s="44"/>
    </row>
    <row r="212" spans="1:46" ht="14.4" thickTop="1" thickBot="1" x14ac:dyDescent="0.3">
      <c r="A212" s="295" t="s">
        <v>350</v>
      </c>
      <c r="B212" s="124" t="s">
        <v>351</v>
      </c>
      <c r="C212" s="228">
        <f>+E212+Z212+AF212+AK212</f>
        <v>30310000</v>
      </c>
      <c r="D212" s="126">
        <f>SUM(F212+G212+H212+I212+J212+K212+L212+M212+N212+O212+P212+Q212+R212+S212+T212+U212+V212+W212+X212+Y212+AA212+AB212+AC212+AD212+AE212+AG212+AH212+AI212+AJ212+AL212+AN212+AO212+AP212)</f>
        <v>30310000</v>
      </c>
      <c r="E212" s="127">
        <f>SUM(F212:Y212)</f>
        <v>2400000</v>
      </c>
      <c r="F212" s="128">
        <v>0</v>
      </c>
      <c r="G212" s="129"/>
      <c r="H212" s="129"/>
      <c r="I212" s="129"/>
      <c r="J212" s="129"/>
      <c r="K212" s="101"/>
      <c r="L212" s="129"/>
      <c r="M212" s="129"/>
      <c r="N212" s="129"/>
      <c r="O212" s="129"/>
      <c r="P212" s="101"/>
      <c r="Q212" s="311">
        <v>1200000</v>
      </c>
      <c r="R212" s="101"/>
      <c r="S212" s="274"/>
      <c r="T212" s="101"/>
      <c r="U212" s="101">
        <v>500000</v>
      </c>
      <c r="V212" s="101"/>
      <c r="W212" s="101">
        <v>700000</v>
      </c>
      <c r="X212" s="101"/>
      <c r="Y212" s="101"/>
      <c r="Z212" s="133">
        <f>SUM(AA212:AE212)</f>
        <v>310000</v>
      </c>
      <c r="AA212" s="101"/>
      <c r="AB212" s="101"/>
      <c r="AC212" s="101"/>
      <c r="AD212" s="245">
        <v>250000</v>
      </c>
      <c r="AE212" s="259">
        <v>60000</v>
      </c>
      <c r="AF212" s="248">
        <f>SUM(AG212:AJ212)</f>
        <v>27000000</v>
      </c>
      <c r="AG212" s="129">
        <v>27000000</v>
      </c>
      <c r="AH212" s="101"/>
      <c r="AI212" s="101"/>
      <c r="AJ212" s="103"/>
      <c r="AK212" s="138">
        <f>SUM(AL212+AM212)</f>
        <v>600000</v>
      </c>
      <c r="AL212" s="176">
        <v>300000</v>
      </c>
      <c r="AM212" s="294">
        <f>SUM(AN212:AP212)</f>
        <v>300000</v>
      </c>
      <c r="AN212" s="105">
        <v>300000</v>
      </c>
      <c r="AO212" s="101"/>
      <c r="AP212" s="111"/>
      <c r="AQ212" s="66">
        <f t="shared" si="105"/>
        <v>30310000</v>
      </c>
      <c r="AR212" s="43">
        <f t="shared" si="106"/>
        <v>0</v>
      </c>
      <c r="AS212" s="44"/>
      <c r="AT212" s="44"/>
    </row>
    <row r="213" spans="1:46" ht="13.8" thickTop="1" x14ac:dyDescent="0.25">
      <c r="A213" s="222"/>
      <c r="B213" s="124"/>
      <c r="C213" s="228"/>
      <c r="D213" s="229"/>
      <c r="E213" s="93"/>
      <c r="F213" s="128"/>
      <c r="G213" s="129"/>
      <c r="H213" s="129"/>
      <c r="I213" s="129"/>
      <c r="J213" s="129"/>
      <c r="K213" s="101">
        <v>0</v>
      </c>
      <c r="L213" s="129"/>
      <c r="M213" s="129"/>
      <c r="N213" s="129"/>
      <c r="O213" s="129"/>
      <c r="P213" s="101"/>
      <c r="Q213" s="101"/>
      <c r="R213" s="101"/>
      <c r="S213" s="101"/>
      <c r="T213" s="101"/>
      <c r="U213" s="101"/>
      <c r="V213" s="101"/>
      <c r="W213" s="101"/>
      <c r="X213" s="101"/>
      <c r="Y213" s="101"/>
      <c r="Z213" s="232"/>
      <c r="AA213" s="101"/>
      <c r="AB213" s="101"/>
      <c r="AC213" s="101"/>
      <c r="AD213" s="101"/>
      <c r="AE213" s="244"/>
      <c r="AF213" s="225" t="s">
        <v>0</v>
      </c>
      <c r="AG213" s="101"/>
      <c r="AH213" s="101"/>
      <c r="AI213" s="101"/>
      <c r="AJ213" s="103"/>
      <c r="AK213" s="164"/>
      <c r="AL213" s="110"/>
      <c r="AM213" s="312"/>
      <c r="AN213" s="105"/>
      <c r="AO213" s="101"/>
      <c r="AP213" s="111"/>
      <c r="AQ213" s="66">
        <f t="shared" si="105"/>
        <v>0</v>
      </c>
      <c r="AR213" s="43">
        <f t="shared" si="106"/>
        <v>0</v>
      </c>
      <c r="AS213" s="44"/>
      <c r="AT213" s="44"/>
    </row>
    <row r="214" spans="1:46" x14ac:dyDescent="0.25">
      <c r="A214" s="250" t="s">
        <v>352</v>
      </c>
      <c r="B214" s="154" t="s">
        <v>353</v>
      </c>
      <c r="C214" s="239">
        <f>SUM(C215+C216+C217+C222)</f>
        <v>950000000</v>
      </c>
      <c r="D214" s="240">
        <f>SUM(D215+D216+D217+D222)</f>
        <v>950000000</v>
      </c>
      <c r="E214" s="93">
        <f>SUM(E215:E216)</f>
        <v>50000000</v>
      </c>
      <c r="F214" s="184">
        <f t="shared" ref="F214:Y214" si="110">SUM(F215:F222)</f>
        <v>0</v>
      </c>
      <c r="G214" s="185">
        <f t="shared" si="110"/>
        <v>0</v>
      </c>
      <c r="H214" s="185">
        <f t="shared" si="110"/>
        <v>0</v>
      </c>
      <c r="I214" s="185">
        <f t="shared" si="110"/>
        <v>0</v>
      </c>
      <c r="J214" s="185">
        <f t="shared" si="110"/>
        <v>0</v>
      </c>
      <c r="K214" s="185">
        <f t="shared" si="110"/>
        <v>0</v>
      </c>
      <c r="L214" s="185">
        <f t="shared" si="110"/>
        <v>0</v>
      </c>
      <c r="M214" s="185">
        <f t="shared" si="110"/>
        <v>0</v>
      </c>
      <c r="N214" s="185">
        <f t="shared" si="110"/>
        <v>0</v>
      </c>
      <c r="O214" s="185">
        <f t="shared" si="110"/>
        <v>0</v>
      </c>
      <c r="P214" s="185">
        <f t="shared" si="110"/>
        <v>0</v>
      </c>
      <c r="Q214" s="185">
        <f t="shared" si="110"/>
        <v>50000000</v>
      </c>
      <c r="R214" s="185">
        <f t="shared" si="110"/>
        <v>0</v>
      </c>
      <c r="S214" s="185">
        <f t="shared" si="110"/>
        <v>0</v>
      </c>
      <c r="T214" s="185">
        <f t="shared" si="110"/>
        <v>0</v>
      </c>
      <c r="U214" s="185">
        <f t="shared" si="110"/>
        <v>0</v>
      </c>
      <c r="V214" s="185">
        <f t="shared" si="110"/>
        <v>0</v>
      </c>
      <c r="W214" s="185">
        <f t="shared" si="110"/>
        <v>0</v>
      </c>
      <c r="X214" s="185">
        <f t="shared" si="110"/>
        <v>0</v>
      </c>
      <c r="Y214" s="185">
        <f t="shared" si="110"/>
        <v>0</v>
      </c>
      <c r="Z214" s="217">
        <f>SUM(Z215+Z216+Z217+Z222)</f>
        <v>0</v>
      </c>
      <c r="AA214" s="185">
        <f>SUM(AA215:AA222)</f>
        <v>0</v>
      </c>
      <c r="AB214" s="185">
        <f>SUM(AB215:AB222)</f>
        <v>0</v>
      </c>
      <c r="AC214" s="185">
        <f>SUM(AC215:AC222)</f>
        <v>0</v>
      </c>
      <c r="AD214" s="185">
        <f>SUM(AD215:AD222)</f>
        <v>0</v>
      </c>
      <c r="AE214" s="188">
        <f>SUM(AE215:AE222)</f>
        <v>0</v>
      </c>
      <c r="AF214" s="225">
        <f>SUM(AF216+AF217+AF222)</f>
        <v>900000000</v>
      </c>
      <c r="AG214" s="185">
        <f>SUM(AG215:AG222)</f>
        <v>0</v>
      </c>
      <c r="AH214" s="185">
        <f>SUM(AH215+AH216+AH217)</f>
        <v>890000000</v>
      </c>
      <c r="AI214" s="185">
        <f>SUM(AI215:AI222)</f>
        <v>0</v>
      </c>
      <c r="AJ214" s="186">
        <f>SUM(AJ215:AJ222)</f>
        <v>10000000</v>
      </c>
      <c r="AK214" s="164">
        <f>SUM(AK215:AK222)</f>
        <v>0</v>
      </c>
      <c r="AL214" s="191">
        <f>SUM(AL215:AL222)</f>
        <v>0</v>
      </c>
      <c r="AM214" s="108">
        <f>SUM(AM216+AM217+AM222)</f>
        <v>0</v>
      </c>
      <c r="AN214" s="184">
        <f>SUM(AN215:AN222)</f>
        <v>0</v>
      </c>
      <c r="AO214" s="185">
        <f>SUM(AO215:AO222)</f>
        <v>0</v>
      </c>
      <c r="AP214" s="252">
        <f>SUM(AP215:AP222)</f>
        <v>0</v>
      </c>
      <c r="AQ214" s="66">
        <f t="shared" si="105"/>
        <v>950000000</v>
      </c>
      <c r="AR214" s="43">
        <f t="shared" si="106"/>
        <v>0</v>
      </c>
      <c r="AS214" s="44"/>
      <c r="AT214" s="44"/>
    </row>
    <row r="215" spans="1:46" x14ac:dyDescent="0.25">
      <c r="A215" s="222" t="s">
        <v>354</v>
      </c>
      <c r="B215" s="124" t="s">
        <v>355</v>
      </c>
      <c r="C215" s="228">
        <f>+E215+Z215+AF215+AK215</f>
        <v>50000000</v>
      </c>
      <c r="D215" s="126">
        <f t="shared" ref="D215:D222" si="111">SUM(F215+G215+H215+I215+J215+K215+L215+M215+N215+O215+P215+Q215+R215+S215+T215+U215+V215+W215+X215+Y215+AA215+AB215+AC215+AD215+AE215+AG215+AH215+AI215+AJ215+AL215+AN215+AO215+AP215)</f>
        <v>50000000</v>
      </c>
      <c r="E215" s="127">
        <f t="shared" ref="E215:E222" si="112">SUM(F215:Y215)</f>
        <v>50000000</v>
      </c>
      <c r="F215" s="128"/>
      <c r="G215" s="129"/>
      <c r="H215" s="129"/>
      <c r="I215" s="129"/>
      <c r="J215" s="129"/>
      <c r="K215" s="101"/>
      <c r="L215" s="129"/>
      <c r="M215" s="129"/>
      <c r="N215" s="129"/>
      <c r="O215" s="129"/>
      <c r="P215" s="101"/>
      <c r="Q215" s="313">
        <f>380000000-330000000</f>
        <v>50000000</v>
      </c>
      <c r="R215" s="101"/>
      <c r="S215" s="101"/>
      <c r="T215" s="101"/>
      <c r="U215" s="101"/>
      <c r="V215" s="101"/>
      <c r="W215" s="101"/>
      <c r="X215" s="101"/>
      <c r="Y215" s="101"/>
      <c r="Z215" s="133">
        <f>SUM(AA215:AE215)</f>
        <v>0</v>
      </c>
      <c r="AA215" s="101"/>
      <c r="AB215" s="101"/>
      <c r="AC215" s="101"/>
      <c r="AD215" s="101"/>
      <c r="AE215" s="244"/>
      <c r="AF215" s="248">
        <f>SUM(AG215:AJ215)</f>
        <v>0</v>
      </c>
      <c r="AG215" s="101"/>
      <c r="AH215" s="101"/>
      <c r="AI215" s="101"/>
      <c r="AJ215" s="103"/>
      <c r="AK215" s="138">
        <f>SUM(AL215+AM215)</f>
        <v>0</v>
      </c>
      <c r="AL215" s="110"/>
      <c r="AM215" s="294">
        <f t="shared" ref="AM215:AM222" si="113">SUM(AN215:AP215)</f>
        <v>0</v>
      </c>
      <c r="AN215" s="105"/>
      <c r="AO215" s="101"/>
      <c r="AP215" s="111"/>
      <c r="AQ215" s="66">
        <f t="shared" si="105"/>
        <v>50000000</v>
      </c>
      <c r="AR215" s="43">
        <f t="shared" si="106"/>
        <v>0</v>
      </c>
      <c r="AS215" s="44"/>
      <c r="AT215" s="44"/>
    </row>
    <row r="216" spans="1:46" x14ac:dyDescent="0.25">
      <c r="A216" s="222" t="s">
        <v>356</v>
      </c>
      <c r="B216" s="124" t="s">
        <v>357</v>
      </c>
      <c r="C216" s="228">
        <f>+E216+Z216+AF216+AK216</f>
        <v>10000000</v>
      </c>
      <c r="D216" s="126">
        <f t="shared" si="111"/>
        <v>10000000</v>
      </c>
      <c r="E216" s="127">
        <f t="shared" si="112"/>
        <v>0</v>
      </c>
      <c r="F216" s="128"/>
      <c r="G216" s="129"/>
      <c r="H216" s="129"/>
      <c r="I216" s="129"/>
      <c r="J216" s="129"/>
      <c r="K216" s="101"/>
      <c r="L216" s="129"/>
      <c r="M216" s="129"/>
      <c r="N216" s="129"/>
      <c r="O216" s="129"/>
      <c r="P216" s="101"/>
      <c r="Q216" s="101"/>
      <c r="R216" s="101"/>
      <c r="S216" s="101"/>
      <c r="T216" s="101"/>
      <c r="U216" s="101"/>
      <c r="V216" s="101"/>
      <c r="W216" s="101"/>
      <c r="X216" s="101"/>
      <c r="Y216" s="101"/>
      <c r="Z216" s="133">
        <f>SUM(AA216:AE216)</f>
        <v>0</v>
      </c>
      <c r="AA216" s="101"/>
      <c r="AB216" s="101"/>
      <c r="AC216" s="101"/>
      <c r="AD216" s="101"/>
      <c r="AE216" s="244"/>
      <c r="AF216" s="248">
        <f>SUM(AG216:AJ216)</f>
        <v>10000000</v>
      </c>
      <c r="AG216" s="101"/>
      <c r="AH216" s="101"/>
      <c r="AI216" s="101"/>
      <c r="AJ216" s="148">
        <v>10000000</v>
      </c>
      <c r="AK216" s="138">
        <f>SUM(AL216+AM216)</f>
        <v>0</v>
      </c>
      <c r="AL216" s="110"/>
      <c r="AM216" s="294">
        <f t="shared" si="113"/>
        <v>0</v>
      </c>
      <c r="AN216" s="105"/>
      <c r="AO216" s="101"/>
      <c r="AP216" s="111"/>
      <c r="AQ216" s="66">
        <f t="shared" si="105"/>
        <v>10000000</v>
      </c>
      <c r="AR216" s="43">
        <f t="shared" si="106"/>
        <v>0</v>
      </c>
      <c r="AS216" s="44"/>
      <c r="AT216" s="44"/>
    </row>
    <row r="217" spans="1:46" x14ac:dyDescent="0.25">
      <c r="A217" s="222" t="s">
        <v>358</v>
      </c>
      <c r="B217" s="154" t="s">
        <v>359</v>
      </c>
      <c r="C217" s="239">
        <f>SUM(C218:C220)</f>
        <v>890000000</v>
      </c>
      <c r="D217" s="240">
        <f>SUM(D218:D220)</f>
        <v>890000000</v>
      </c>
      <c r="E217" s="93">
        <f>SUM(E218:E222)</f>
        <v>0</v>
      </c>
      <c r="F217" s="184"/>
      <c r="G217" s="185"/>
      <c r="H217" s="185"/>
      <c r="I217" s="185"/>
      <c r="J217" s="185"/>
      <c r="K217" s="231"/>
      <c r="L217" s="185"/>
      <c r="M217" s="185"/>
      <c r="N217" s="185"/>
      <c r="O217" s="185"/>
      <c r="P217" s="231"/>
      <c r="Q217" s="231"/>
      <c r="R217" s="231"/>
      <c r="S217" s="231"/>
      <c r="T217" s="231"/>
      <c r="U217" s="231"/>
      <c r="V217" s="231"/>
      <c r="W217" s="231"/>
      <c r="X217" s="231"/>
      <c r="Y217" s="231"/>
      <c r="Z217" s="232">
        <f>SUM(Z218:Z219)</f>
        <v>0</v>
      </c>
      <c r="AA217" s="231"/>
      <c r="AB217" s="231"/>
      <c r="AC217" s="231"/>
      <c r="AD217" s="231"/>
      <c r="AE217" s="230"/>
      <c r="AF217" s="225">
        <f>SUM(AF218:AF220)</f>
        <v>890000000</v>
      </c>
      <c r="AG217" s="231"/>
      <c r="AH217" s="231">
        <f>SUM(AH218:AH220)</f>
        <v>890000000</v>
      </c>
      <c r="AI217" s="231"/>
      <c r="AJ217" s="233"/>
      <c r="AK217" s="108">
        <f>SUM(AK218:AK219)</f>
        <v>0</v>
      </c>
      <c r="AL217" s="234"/>
      <c r="AM217" s="164">
        <f>SUM(AM218:AM219)</f>
        <v>0</v>
      </c>
      <c r="AN217" s="236"/>
      <c r="AO217" s="231"/>
      <c r="AP217" s="237"/>
      <c r="AQ217" s="66">
        <f t="shared" si="105"/>
        <v>890000000</v>
      </c>
      <c r="AR217" s="43">
        <f t="shared" si="106"/>
        <v>0</v>
      </c>
      <c r="AS217" s="44"/>
      <c r="AT217" s="44"/>
    </row>
    <row r="218" spans="1:46" x14ac:dyDescent="0.25">
      <c r="A218" s="222"/>
      <c r="B218" s="124" t="s">
        <v>360</v>
      </c>
      <c r="C218" s="228">
        <f>+E218+Z218+AF218+AK218</f>
        <v>70000000</v>
      </c>
      <c r="D218" s="126">
        <f t="shared" si="111"/>
        <v>70000000</v>
      </c>
      <c r="E218" s="127">
        <f t="shared" si="112"/>
        <v>0</v>
      </c>
      <c r="F218" s="128"/>
      <c r="G218" s="129"/>
      <c r="H218" s="129"/>
      <c r="I218" s="129"/>
      <c r="J218" s="129"/>
      <c r="K218" s="101"/>
      <c r="L218" s="129"/>
      <c r="M218" s="129"/>
      <c r="N218" s="129"/>
      <c r="O218" s="129"/>
      <c r="P218" s="101"/>
      <c r="Q218" s="101"/>
      <c r="R218" s="101"/>
      <c r="S218" s="101"/>
      <c r="T218" s="101"/>
      <c r="U218" s="101"/>
      <c r="V218" s="101"/>
      <c r="W218" s="101"/>
      <c r="X218" s="101"/>
      <c r="Y218" s="101"/>
      <c r="Z218" s="133">
        <f>SUM(AA218:AE218)</f>
        <v>0</v>
      </c>
      <c r="AA218" s="101"/>
      <c r="AB218" s="101"/>
      <c r="AC218" s="101"/>
      <c r="AD218" s="101"/>
      <c r="AE218" s="244"/>
      <c r="AF218" s="248">
        <f>SUM(AG218:AJ218)</f>
        <v>70000000</v>
      </c>
      <c r="AG218" s="101"/>
      <c r="AH218" s="147">
        <f>+'[7]RESUMEN 2021'!$D$22</f>
        <v>70000000</v>
      </c>
      <c r="AI218" s="101"/>
      <c r="AJ218" s="103"/>
      <c r="AK218" s="164"/>
      <c r="AL218" s="110"/>
      <c r="AM218" s="294">
        <f t="shared" si="113"/>
        <v>0</v>
      </c>
      <c r="AN218" s="105"/>
      <c r="AO218" s="101"/>
      <c r="AP218" s="111"/>
      <c r="AQ218" s="66">
        <f t="shared" si="105"/>
        <v>70000000</v>
      </c>
      <c r="AR218" s="43">
        <f t="shared" si="106"/>
        <v>0</v>
      </c>
      <c r="AS218" s="44"/>
      <c r="AT218" s="44"/>
    </row>
    <row r="219" spans="1:46" x14ac:dyDescent="0.25">
      <c r="A219" s="222"/>
      <c r="B219" s="124" t="s">
        <v>361</v>
      </c>
      <c r="C219" s="228">
        <f>+E219+Z219+AF219+AK219</f>
        <v>420000000</v>
      </c>
      <c r="D219" s="126">
        <f t="shared" si="111"/>
        <v>420000000</v>
      </c>
      <c r="E219" s="127">
        <f t="shared" si="112"/>
        <v>0</v>
      </c>
      <c r="F219" s="128"/>
      <c r="G219" s="129"/>
      <c r="H219" s="129"/>
      <c r="I219" s="129"/>
      <c r="J219" s="129"/>
      <c r="K219" s="101"/>
      <c r="L219" s="129"/>
      <c r="M219" s="129"/>
      <c r="N219" s="129"/>
      <c r="O219" s="129"/>
      <c r="P219" s="101"/>
      <c r="Q219" s="101"/>
      <c r="R219" s="101"/>
      <c r="S219" s="101"/>
      <c r="T219" s="101"/>
      <c r="U219" s="101"/>
      <c r="V219" s="101"/>
      <c r="W219" s="101"/>
      <c r="X219" s="101"/>
      <c r="Y219" s="101"/>
      <c r="Z219" s="263"/>
      <c r="AA219" s="101"/>
      <c r="AB219" s="101"/>
      <c r="AC219" s="101"/>
      <c r="AD219" s="101"/>
      <c r="AE219" s="244"/>
      <c r="AF219" s="248">
        <f>SUM(AG219:AJ219)</f>
        <v>420000000</v>
      </c>
      <c r="AG219" s="101"/>
      <c r="AH219" s="147">
        <f>+'[7]RESUMEN 2021'!$E$24</f>
        <v>420000000</v>
      </c>
      <c r="AI219" s="101"/>
      <c r="AJ219" s="103"/>
      <c r="AK219" s="164"/>
      <c r="AL219" s="110"/>
      <c r="AM219" s="294">
        <f t="shared" si="113"/>
        <v>0</v>
      </c>
      <c r="AN219" s="105"/>
      <c r="AO219" s="101"/>
      <c r="AP219" s="111"/>
      <c r="AQ219" s="66">
        <f t="shared" si="105"/>
        <v>420000000</v>
      </c>
      <c r="AR219" s="43">
        <f t="shared" si="106"/>
        <v>0</v>
      </c>
      <c r="AS219" s="44"/>
      <c r="AT219" s="44"/>
    </row>
    <row r="220" spans="1:46" x14ac:dyDescent="0.25">
      <c r="A220" s="222"/>
      <c r="B220" s="124" t="s">
        <v>362</v>
      </c>
      <c r="C220" s="228">
        <f>+E220+Z220+AF220+AK220</f>
        <v>400000000</v>
      </c>
      <c r="D220" s="126">
        <f t="shared" si="111"/>
        <v>400000000</v>
      </c>
      <c r="E220" s="127"/>
      <c r="F220" s="128"/>
      <c r="G220" s="129"/>
      <c r="H220" s="129"/>
      <c r="I220" s="129"/>
      <c r="J220" s="129"/>
      <c r="K220" s="101"/>
      <c r="L220" s="129"/>
      <c r="M220" s="129"/>
      <c r="N220" s="129"/>
      <c r="O220" s="129"/>
      <c r="P220" s="101"/>
      <c r="Q220" s="101"/>
      <c r="R220" s="101"/>
      <c r="S220" s="101"/>
      <c r="T220" s="101"/>
      <c r="U220" s="101"/>
      <c r="V220" s="101"/>
      <c r="W220" s="101"/>
      <c r="X220" s="101"/>
      <c r="Y220" s="101"/>
      <c r="Z220" s="263"/>
      <c r="AA220" s="101"/>
      <c r="AB220" s="101"/>
      <c r="AC220" s="101"/>
      <c r="AD220" s="101"/>
      <c r="AE220" s="244"/>
      <c r="AF220" s="248">
        <f>SUM(AG220:AJ220)</f>
        <v>400000000</v>
      </c>
      <c r="AG220" s="101"/>
      <c r="AH220" s="147">
        <f>390000000+10000000</f>
        <v>400000000</v>
      </c>
      <c r="AI220" s="101"/>
      <c r="AJ220" s="103"/>
      <c r="AK220" s="164"/>
      <c r="AL220" s="110"/>
      <c r="AM220" s="294"/>
      <c r="AN220" s="105"/>
      <c r="AO220" s="101"/>
      <c r="AP220" s="111"/>
      <c r="AQ220" s="66">
        <f t="shared" si="105"/>
        <v>400000000</v>
      </c>
      <c r="AR220" s="43">
        <f t="shared" si="106"/>
        <v>0</v>
      </c>
      <c r="AS220" s="44"/>
      <c r="AT220" s="44"/>
    </row>
    <row r="221" spans="1:46" x14ac:dyDescent="0.25">
      <c r="A221" s="222"/>
      <c r="B221" s="124"/>
      <c r="C221" s="228"/>
      <c r="D221" s="126">
        <f t="shared" si="111"/>
        <v>0</v>
      </c>
      <c r="E221" s="93"/>
      <c r="F221" s="128"/>
      <c r="G221" s="129"/>
      <c r="H221" s="129"/>
      <c r="I221" s="129"/>
      <c r="J221" s="129"/>
      <c r="K221" s="101"/>
      <c r="L221" s="129"/>
      <c r="M221" s="129"/>
      <c r="N221" s="129"/>
      <c r="O221" s="129"/>
      <c r="P221" s="101"/>
      <c r="Q221" s="101"/>
      <c r="R221" s="101"/>
      <c r="S221" s="101"/>
      <c r="T221" s="101"/>
      <c r="U221" s="101"/>
      <c r="V221" s="101"/>
      <c r="W221" s="101"/>
      <c r="X221" s="101"/>
      <c r="Y221" s="101"/>
      <c r="Z221" s="263"/>
      <c r="AA221" s="101"/>
      <c r="AB221" s="101"/>
      <c r="AC221" s="101"/>
      <c r="AD221" s="101"/>
      <c r="AE221" s="244"/>
      <c r="AF221" s="225"/>
      <c r="AG221" s="101"/>
      <c r="AH221" s="101"/>
      <c r="AI221" s="101"/>
      <c r="AJ221" s="103"/>
      <c r="AK221" s="164"/>
      <c r="AL221" s="110"/>
      <c r="AM221" s="164"/>
      <c r="AN221" s="105"/>
      <c r="AO221" s="101"/>
      <c r="AP221" s="111"/>
      <c r="AQ221" s="66">
        <f t="shared" si="105"/>
        <v>0</v>
      </c>
      <c r="AR221" s="43">
        <f t="shared" si="106"/>
        <v>0</v>
      </c>
      <c r="AS221" s="44"/>
      <c r="AT221" s="44"/>
    </row>
    <row r="222" spans="1:46" hidden="1" x14ac:dyDescent="0.25">
      <c r="A222" s="222" t="s">
        <v>363</v>
      </c>
      <c r="B222" s="124" t="s">
        <v>364</v>
      </c>
      <c r="C222" s="228">
        <f>+E222+Z222+AF222+AK222</f>
        <v>0</v>
      </c>
      <c r="D222" s="126">
        <f t="shared" si="111"/>
        <v>0</v>
      </c>
      <c r="E222" s="127">
        <f t="shared" si="112"/>
        <v>0</v>
      </c>
      <c r="F222" s="128"/>
      <c r="G222" s="129"/>
      <c r="H222" s="129"/>
      <c r="I222" s="129"/>
      <c r="J222" s="129"/>
      <c r="K222" s="101">
        <v>0</v>
      </c>
      <c r="L222" s="129"/>
      <c r="M222" s="129"/>
      <c r="N222" s="129"/>
      <c r="O222" s="129"/>
      <c r="P222" s="101"/>
      <c r="Q222" s="101"/>
      <c r="R222" s="101"/>
      <c r="S222" s="101"/>
      <c r="T222" s="101"/>
      <c r="U222" s="101"/>
      <c r="V222" s="101"/>
      <c r="W222" s="101"/>
      <c r="X222" s="101"/>
      <c r="Y222" s="101"/>
      <c r="Z222" s="232">
        <f>SUM(AA222:AE222)</f>
        <v>0</v>
      </c>
      <c r="AA222" s="101"/>
      <c r="AB222" s="101"/>
      <c r="AC222" s="101"/>
      <c r="AD222" s="101"/>
      <c r="AE222" s="244"/>
      <c r="AF222" s="225">
        <f>SUM(AG222:AJ222)</f>
        <v>0</v>
      </c>
      <c r="AG222" s="101"/>
      <c r="AH222" s="101"/>
      <c r="AI222" s="101"/>
      <c r="AJ222" s="148">
        <f>5000000-5000000</f>
        <v>0</v>
      </c>
      <c r="AK222" s="138">
        <f>SUM(AL222+AM222)</f>
        <v>0</v>
      </c>
      <c r="AL222" s="110"/>
      <c r="AM222" s="294">
        <f t="shared" si="113"/>
        <v>0</v>
      </c>
      <c r="AN222" s="105"/>
      <c r="AO222" s="101"/>
      <c r="AP222" s="111"/>
      <c r="AQ222" s="66">
        <f t="shared" si="105"/>
        <v>0</v>
      </c>
      <c r="AR222" s="43">
        <f t="shared" si="106"/>
        <v>0</v>
      </c>
      <c r="AS222" s="44"/>
      <c r="AT222" s="44"/>
    </row>
    <row r="223" spans="1:46" x14ac:dyDescent="0.25">
      <c r="A223" s="222"/>
      <c r="B223" s="124"/>
      <c r="C223" s="228"/>
      <c r="D223" s="229"/>
      <c r="E223" s="93"/>
      <c r="F223" s="128"/>
      <c r="G223" s="129"/>
      <c r="H223" s="129"/>
      <c r="I223" s="129"/>
      <c r="J223" s="129"/>
      <c r="K223" s="101"/>
      <c r="L223" s="129"/>
      <c r="M223" s="129"/>
      <c r="N223" s="129"/>
      <c r="O223" s="129"/>
      <c r="P223" s="101"/>
      <c r="Q223" s="101"/>
      <c r="R223" s="101"/>
      <c r="S223" s="101"/>
      <c r="T223" s="101"/>
      <c r="U223" s="101"/>
      <c r="V223" s="101"/>
      <c r="W223" s="101"/>
      <c r="X223" s="101"/>
      <c r="Y223" s="101"/>
      <c r="Z223" s="263"/>
      <c r="AA223" s="101"/>
      <c r="AB223" s="101"/>
      <c r="AC223" s="101"/>
      <c r="AD223" s="101"/>
      <c r="AE223" s="244"/>
      <c r="AF223" s="225" t="s">
        <v>0</v>
      </c>
      <c r="AG223" s="101"/>
      <c r="AH223" s="101"/>
      <c r="AI223" s="101"/>
      <c r="AJ223" s="103"/>
      <c r="AK223" s="164"/>
      <c r="AL223" s="110"/>
      <c r="AM223" s="249"/>
      <c r="AN223" s="105"/>
      <c r="AO223" s="101"/>
      <c r="AP223" s="111"/>
      <c r="AQ223" s="66">
        <f t="shared" si="105"/>
        <v>0</v>
      </c>
      <c r="AR223" s="43">
        <f t="shared" si="106"/>
        <v>0</v>
      </c>
      <c r="AS223" s="44"/>
      <c r="AT223" s="44"/>
    </row>
    <row r="224" spans="1:46" x14ac:dyDescent="0.25">
      <c r="A224" s="250" t="s">
        <v>365</v>
      </c>
      <c r="B224" s="154" t="s">
        <v>366</v>
      </c>
      <c r="C224" s="239">
        <f>SUM(C225:C226)</f>
        <v>1810000000</v>
      </c>
      <c r="D224" s="240">
        <f>SUM(D225:D226)</f>
        <v>1810000000</v>
      </c>
      <c r="E224" s="93">
        <f>SUM(E225)</f>
        <v>0</v>
      </c>
      <c r="F224" s="184">
        <f t="shared" ref="F224:AP224" si="114">SUM(F225:F225)</f>
        <v>0</v>
      </c>
      <c r="G224" s="185">
        <f t="shared" si="114"/>
        <v>0</v>
      </c>
      <c r="H224" s="185">
        <f t="shared" si="114"/>
        <v>0</v>
      </c>
      <c r="I224" s="185">
        <f t="shared" si="114"/>
        <v>0</v>
      </c>
      <c r="J224" s="185">
        <f t="shared" si="114"/>
        <v>0</v>
      </c>
      <c r="K224" s="185">
        <f t="shared" si="114"/>
        <v>0</v>
      </c>
      <c r="L224" s="185">
        <f t="shared" si="114"/>
        <v>0</v>
      </c>
      <c r="M224" s="185">
        <f t="shared" si="114"/>
        <v>0</v>
      </c>
      <c r="N224" s="185">
        <f t="shared" si="114"/>
        <v>0</v>
      </c>
      <c r="O224" s="185">
        <f t="shared" si="114"/>
        <v>0</v>
      </c>
      <c r="P224" s="185">
        <f t="shared" si="114"/>
        <v>0</v>
      </c>
      <c r="Q224" s="185">
        <f t="shared" si="114"/>
        <v>0</v>
      </c>
      <c r="R224" s="185">
        <f t="shared" si="114"/>
        <v>0</v>
      </c>
      <c r="S224" s="185">
        <f t="shared" si="114"/>
        <v>0</v>
      </c>
      <c r="T224" s="185">
        <f t="shared" si="114"/>
        <v>0</v>
      </c>
      <c r="U224" s="185">
        <f t="shared" si="114"/>
        <v>0</v>
      </c>
      <c r="V224" s="185">
        <f t="shared" si="114"/>
        <v>0</v>
      </c>
      <c r="W224" s="185">
        <f t="shared" si="114"/>
        <v>0</v>
      </c>
      <c r="X224" s="185">
        <f t="shared" si="114"/>
        <v>0</v>
      </c>
      <c r="Y224" s="185">
        <f t="shared" si="114"/>
        <v>0</v>
      </c>
      <c r="Z224" s="217">
        <f>SUM(Z225:Z226)</f>
        <v>30000000</v>
      </c>
      <c r="AA224" s="185">
        <f t="shared" si="114"/>
        <v>0</v>
      </c>
      <c r="AB224" s="185">
        <f>SUM(AB225:AB226)</f>
        <v>30000000</v>
      </c>
      <c r="AC224" s="185">
        <f t="shared" si="114"/>
        <v>0</v>
      </c>
      <c r="AD224" s="185">
        <f t="shared" si="114"/>
        <v>0</v>
      </c>
      <c r="AE224" s="188">
        <f t="shared" si="114"/>
        <v>0</v>
      </c>
      <c r="AF224" s="225">
        <f t="shared" si="114"/>
        <v>1780000000</v>
      </c>
      <c r="AG224" s="185">
        <f t="shared" si="114"/>
        <v>0</v>
      </c>
      <c r="AH224" s="185">
        <f t="shared" si="114"/>
        <v>0</v>
      </c>
      <c r="AI224" s="185">
        <f t="shared" si="114"/>
        <v>0</v>
      </c>
      <c r="AJ224" s="186">
        <f t="shared" si="114"/>
        <v>1780000000</v>
      </c>
      <c r="AK224" s="164">
        <f t="shared" si="114"/>
        <v>0</v>
      </c>
      <c r="AL224" s="191">
        <f t="shared" si="114"/>
        <v>0</v>
      </c>
      <c r="AM224" s="164">
        <f t="shared" si="114"/>
        <v>0</v>
      </c>
      <c r="AN224" s="184">
        <f t="shared" si="114"/>
        <v>0</v>
      </c>
      <c r="AO224" s="185">
        <f t="shared" si="114"/>
        <v>0</v>
      </c>
      <c r="AP224" s="252">
        <f t="shared" si="114"/>
        <v>0</v>
      </c>
      <c r="AQ224" s="66">
        <f t="shared" si="105"/>
        <v>1810000000</v>
      </c>
      <c r="AR224" s="43">
        <f t="shared" si="106"/>
        <v>0</v>
      </c>
      <c r="AS224" s="44"/>
      <c r="AT224" s="44"/>
    </row>
    <row r="225" spans="1:46" x14ac:dyDescent="0.25">
      <c r="A225" s="222" t="s">
        <v>367</v>
      </c>
      <c r="B225" s="124" t="s">
        <v>368</v>
      </c>
      <c r="C225" s="228">
        <f>+E225+Z225+AF225+AK225</f>
        <v>1780000000</v>
      </c>
      <c r="D225" s="126">
        <f>SUM(F225+G225+H225+I225+J225+K225+L225+M225+N225+O225+P225+Q225+R225+S225+T225+U225+V225+W225+X225+Y225+AA225+AB225+AC225+AD225+AE225+AG225+AH225+AI225+AJ225+AL225+AN225+AO225+AP225)</f>
        <v>1780000000</v>
      </c>
      <c r="E225" s="127">
        <f>SUM(F225:Y225)</f>
        <v>0</v>
      </c>
      <c r="F225" s="128"/>
      <c r="G225" s="129"/>
      <c r="H225" s="129"/>
      <c r="I225" s="129"/>
      <c r="J225" s="129"/>
      <c r="K225" s="101"/>
      <c r="L225" s="129"/>
      <c r="M225" s="129"/>
      <c r="N225" s="129"/>
      <c r="O225" s="129"/>
      <c r="P225" s="101"/>
      <c r="Q225" s="101"/>
      <c r="R225" s="101"/>
      <c r="S225" s="101"/>
      <c r="T225" s="101"/>
      <c r="U225" s="101"/>
      <c r="V225" s="101"/>
      <c r="W225" s="101"/>
      <c r="X225" s="101"/>
      <c r="Y225" s="101"/>
      <c r="Z225" s="232">
        <f>SUM(AA225:AE225)</f>
        <v>0</v>
      </c>
      <c r="AA225" s="101"/>
      <c r="AB225" s="101"/>
      <c r="AC225" s="101"/>
      <c r="AD225" s="101"/>
      <c r="AE225" s="244"/>
      <c r="AF225" s="248">
        <f>SUM(AG225:AJ225)</f>
        <v>1780000000</v>
      </c>
      <c r="AG225" s="101"/>
      <c r="AH225" s="101"/>
      <c r="AI225" s="101"/>
      <c r="AJ225" s="148">
        <v>1780000000</v>
      </c>
      <c r="AK225" s="138">
        <f>SUM(AL225+AM225)</f>
        <v>0</v>
      </c>
      <c r="AL225" s="110"/>
      <c r="AM225" s="294">
        <f>SUM(AN225:AP225)</f>
        <v>0</v>
      </c>
      <c r="AN225" s="105"/>
      <c r="AO225" s="101"/>
      <c r="AP225" s="111"/>
      <c r="AQ225" s="66">
        <f t="shared" si="105"/>
        <v>1780000000</v>
      </c>
      <c r="AR225" s="43">
        <f t="shared" si="106"/>
        <v>0</v>
      </c>
      <c r="AS225" s="44"/>
      <c r="AT225" s="44"/>
    </row>
    <row r="226" spans="1:46" x14ac:dyDescent="0.25">
      <c r="A226" s="222" t="s">
        <v>369</v>
      </c>
      <c r="B226" s="124" t="s">
        <v>370</v>
      </c>
      <c r="C226" s="228">
        <f>+E226+Z226+AF226+AK226</f>
        <v>30000000</v>
      </c>
      <c r="D226" s="126">
        <f>SUM(F226+G226+H226+I226+J226+K226+L226+M226+N226+O226+P226+Q226+R226+S226+T226+U226+V226+W226+X226+Y226+AA226+AB226+AC226+AD226+AE226+AG226+AH226+AI226+AJ226+AL226+AN226+AO226+AP226)</f>
        <v>30000000</v>
      </c>
      <c r="E226" s="93"/>
      <c r="F226" s="128"/>
      <c r="G226" s="129"/>
      <c r="H226" s="129"/>
      <c r="I226" s="129"/>
      <c r="J226" s="129"/>
      <c r="K226" s="101"/>
      <c r="L226" s="129"/>
      <c r="M226" s="129"/>
      <c r="N226" s="129"/>
      <c r="O226" s="129"/>
      <c r="P226" s="101"/>
      <c r="Q226" s="101"/>
      <c r="R226" s="101"/>
      <c r="S226" s="101"/>
      <c r="T226" s="101"/>
      <c r="U226" s="101"/>
      <c r="V226" s="101"/>
      <c r="W226" s="101"/>
      <c r="X226" s="101"/>
      <c r="Y226" s="101"/>
      <c r="Z226" s="232">
        <f>SUM(AA226:AE226)</f>
        <v>30000000</v>
      </c>
      <c r="AA226" s="101"/>
      <c r="AB226" s="245">
        <v>30000000</v>
      </c>
      <c r="AC226" s="101"/>
      <c r="AD226" s="101"/>
      <c r="AE226" s="244"/>
      <c r="AF226" s="225"/>
      <c r="AG226" s="101"/>
      <c r="AH226" s="101"/>
      <c r="AI226" s="101"/>
      <c r="AJ226" s="103"/>
      <c r="AK226" s="164"/>
      <c r="AL226" s="110"/>
      <c r="AM226" s="164"/>
      <c r="AN226" s="105"/>
      <c r="AO226" s="101"/>
      <c r="AP226" s="111"/>
      <c r="AQ226" s="66">
        <f t="shared" si="105"/>
        <v>30000000</v>
      </c>
      <c r="AR226" s="43">
        <f t="shared" si="106"/>
        <v>0</v>
      </c>
      <c r="AS226" s="44"/>
      <c r="AT226" s="44"/>
    </row>
    <row r="227" spans="1:46" x14ac:dyDescent="0.25">
      <c r="A227" s="222"/>
      <c r="B227" s="124"/>
      <c r="C227" s="228"/>
      <c r="D227" s="229"/>
      <c r="E227" s="93"/>
      <c r="F227" s="128"/>
      <c r="G227" s="129"/>
      <c r="H227" s="129"/>
      <c r="I227" s="129"/>
      <c r="J227" s="129"/>
      <c r="K227" s="101"/>
      <c r="L227" s="129"/>
      <c r="M227" s="129"/>
      <c r="N227" s="129"/>
      <c r="O227" s="129"/>
      <c r="P227" s="101"/>
      <c r="Q227" s="101"/>
      <c r="R227" s="101"/>
      <c r="S227" s="101"/>
      <c r="T227" s="101"/>
      <c r="U227" s="101"/>
      <c r="V227" s="101"/>
      <c r="W227" s="101"/>
      <c r="X227" s="101"/>
      <c r="Y227" s="101"/>
      <c r="Z227" s="263"/>
      <c r="AA227" s="101"/>
      <c r="AB227" s="270"/>
      <c r="AC227" s="101"/>
      <c r="AD227" s="101"/>
      <c r="AE227" s="244"/>
      <c r="AF227" s="225"/>
      <c r="AG227" s="101"/>
      <c r="AH227" s="101"/>
      <c r="AI227" s="101"/>
      <c r="AJ227" s="103"/>
      <c r="AK227" s="164"/>
      <c r="AL227" s="110"/>
      <c r="AM227" s="164"/>
      <c r="AN227" s="105"/>
      <c r="AO227" s="101"/>
      <c r="AP227" s="111"/>
      <c r="AQ227" s="66">
        <f t="shared" si="105"/>
        <v>0</v>
      </c>
      <c r="AR227" s="43">
        <f t="shared" si="106"/>
        <v>0</v>
      </c>
      <c r="AS227" s="44"/>
      <c r="AT227" s="44"/>
    </row>
    <row r="228" spans="1:46" ht="13.8" thickBot="1" x14ac:dyDescent="0.3">
      <c r="A228" s="250" t="s">
        <v>371</v>
      </c>
      <c r="B228" s="154" t="s">
        <v>372</v>
      </c>
      <c r="C228" s="239">
        <f>SUM(C229:C229)</f>
        <v>544105653</v>
      </c>
      <c r="D228" s="240">
        <f>SUM(D229)</f>
        <v>544105653</v>
      </c>
      <c r="E228" s="93">
        <f>SUM(E229)</f>
        <v>397932092</v>
      </c>
      <c r="F228" s="184">
        <f t="shared" ref="F228:AP228" si="115">SUM(F229:F229)</f>
        <v>0</v>
      </c>
      <c r="G228" s="185">
        <f t="shared" si="115"/>
        <v>2983200</v>
      </c>
      <c r="H228" s="185">
        <f t="shared" si="115"/>
        <v>0</v>
      </c>
      <c r="I228" s="185">
        <f t="shared" si="115"/>
        <v>0</v>
      </c>
      <c r="J228" s="185">
        <f t="shared" si="115"/>
        <v>0</v>
      </c>
      <c r="K228" s="185">
        <f t="shared" si="115"/>
        <v>344948892</v>
      </c>
      <c r="L228" s="185">
        <f t="shared" si="115"/>
        <v>0</v>
      </c>
      <c r="M228" s="185">
        <f t="shared" si="115"/>
        <v>0</v>
      </c>
      <c r="N228" s="185">
        <f t="shared" si="115"/>
        <v>0</v>
      </c>
      <c r="O228" s="185">
        <f t="shared" si="115"/>
        <v>0</v>
      </c>
      <c r="P228" s="185">
        <f t="shared" si="115"/>
        <v>0</v>
      </c>
      <c r="Q228" s="185">
        <f t="shared" si="115"/>
        <v>0</v>
      </c>
      <c r="R228" s="185">
        <f t="shared" si="115"/>
        <v>0</v>
      </c>
      <c r="S228" s="185">
        <f t="shared" si="115"/>
        <v>0</v>
      </c>
      <c r="T228" s="185">
        <f t="shared" si="115"/>
        <v>0</v>
      </c>
      <c r="U228" s="185">
        <f t="shared" si="115"/>
        <v>0</v>
      </c>
      <c r="V228" s="185">
        <f t="shared" si="115"/>
        <v>50000000</v>
      </c>
      <c r="W228" s="185">
        <f t="shared" si="115"/>
        <v>0</v>
      </c>
      <c r="X228" s="185">
        <f t="shared" si="115"/>
        <v>0</v>
      </c>
      <c r="Y228" s="185">
        <f t="shared" si="115"/>
        <v>0</v>
      </c>
      <c r="Z228" s="217">
        <f>SUM(Z229)</f>
        <v>11400000</v>
      </c>
      <c r="AA228" s="185">
        <f t="shared" si="115"/>
        <v>1000000</v>
      </c>
      <c r="AB228" s="185">
        <f t="shared" si="115"/>
        <v>0</v>
      </c>
      <c r="AC228" s="185">
        <f t="shared" si="115"/>
        <v>0</v>
      </c>
      <c r="AD228" s="185">
        <f t="shared" si="115"/>
        <v>7800000</v>
      </c>
      <c r="AE228" s="188">
        <f t="shared" si="115"/>
        <v>2600000</v>
      </c>
      <c r="AF228" s="225">
        <f>SUM(AF229)</f>
        <v>0</v>
      </c>
      <c r="AG228" s="185">
        <f t="shared" si="115"/>
        <v>0</v>
      </c>
      <c r="AH228" s="185">
        <f t="shared" si="115"/>
        <v>0</v>
      </c>
      <c r="AI228" s="185">
        <f t="shared" si="115"/>
        <v>0</v>
      </c>
      <c r="AJ228" s="186">
        <f t="shared" si="115"/>
        <v>0</v>
      </c>
      <c r="AK228" s="164">
        <f>SUM(AK229:AK229)</f>
        <v>134773561</v>
      </c>
      <c r="AL228" s="191">
        <f t="shared" si="115"/>
        <v>134773561</v>
      </c>
      <c r="AM228" s="164">
        <f>SUM(AM229:AM229)</f>
        <v>0</v>
      </c>
      <c r="AN228" s="184">
        <f t="shared" si="115"/>
        <v>0</v>
      </c>
      <c r="AO228" s="185">
        <f t="shared" si="115"/>
        <v>0</v>
      </c>
      <c r="AP228" s="252">
        <f t="shared" si="115"/>
        <v>0</v>
      </c>
      <c r="AQ228" s="66">
        <f t="shared" si="105"/>
        <v>544105653</v>
      </c>
      <c r="AR228" s="43">
        <f t="shared" si="106"/>
        <v>0</v>
      </c>
      <c r="AS228" s="44"/>
      <c r="AT228" s="44"/>
    </row>
    <row r="229" spans="1:46" ht="14.4" thickTop="1" thickBot="1" x14ac:dyDescent="0.3">
      <c r="A229" s="222" t="s">
        <v>373</v>
      </c>
      <c r="B229" s="96" t="s">
        <v>374</v>
      </c>
      <c r="C229" s="228">
        <f>+E229+Z229+AF229+AK229</f>
        <v>544105653</v>
      </c>
      <c r="D229" s="126">
        <f>SUM(F229+G229+H229+I229+J229+K229+L229+M229+N229+O229+P229+Q229+R229+S229+T229+U229+V229+W229+X229+Y229+AA229+AB229+AC229+AD229+AE229+AG229+AH229+AI229+AJ229+AL229+AN229+AO229+AP229)</f>
        <v>544105653</v>
      </c>
      <c r="E229" s="127">
        <f>SUM(F229:Y229)</f>
        <v>397932092</v>
      </c>
      <c r="F229" s="128"/>
      <c r="G229" s="245">
        <v>2983200</v>
      </c>
      <c r="H229" s="129"/>
      <c r="I229" s="129"/>
      <c r="J229" s="129"/>
      <c r="K229" s="176">
        <f>388422453-10000000-'[2]Costeo SAP'!I26</f>
        <v>344948892</v>
      </c>
      <c r="L229" s="129"/>
      <c r="M229" s="129"/>
      <c r="N229" s="129"/>
      <c r="O229" s="129"/>
      <c r="P229" s="101"/>
      <c r="Q229" s="101"/>
      <c r="R229" s="101"/>
      <c r="S229" s="274"/>
      <c r="T229" s="101"/>
      <c r="U229" s="101"/>
      <c r="V229" s="104">
        <v>50000000</v>
      </c>
      <c r="W229" s="101"/>
      <c r="X229" s="101"/>
      <c r="Y229" s="101"/>
      <c r="Z229" s="133">
        <f>SUM(AA229:AE229)</f>
        <v>11400000</v>
      </c>
      <c r="AA229" s="245">
        <v>1000000</v>
      </c>
      <c r="AB229" s="101"/>
      <c r="AC229" s="101"/>
      <c r="AD229" s="245">
        <v>7800000</v>
      </c>
      <c r="AE229" s="259">
        <v>2600000</v>
      </c>
      <c r="AF229" s="248">
        <f>SUM(AG229:AJ229)</f>
        <v>0</v>
      </c>
      <c r="AG229" s="101"/>
      <c r="AH229" s="101"/>
      <c r="AI229" s="101"/>
      <c r="AJ229" s="103"/>
      <c r="AK229" s="138">
        <f>SUM(AL229+AM229)</f>
        <v>134773561</v>
      </c>
      <c r="AL229" s="176">
        <f>1300000+100000000+'[2]Costeo SAP'!I26</f>
        <v>134773561</v>
      </c>
      <c r="AM229" s="294">
        <f>SUM(AN229:AP229)</f>
        <v>0</v>
      </c>
      <c r="AN229" s="105"/>
      <c r="AO229" s="101"/>
      <c r="AP229" s="111"/>
      <c r="AQ229" s="66">
        <f t="shared" si="105"/>
        <v>544105653</v>
      </c>
      <c r="AR229" s="43">
        <f t="shared" si="106"/>
        <v>0</v>
      </c>
      <c r="AS229" s="44"/>
      <c r="AT229" s="44"/>
    </row>
    <row r="230" spans="1:46" ht="13.8" thickTop="1" x14ac:dyDescent="0.25">
      <c r="A230" s="222"/>
      <c r="B230" s="124"/>
      <c r="C230" s="228"/>
      <c r="D230" s="229"/>
      <c r="E230" s="93"/>
      <c r="F230" s="128"/>
      <c r="G230" s="129"/>
      <c r="H230" s="129"/>
      <c r="I230" s="129"/>
      <c r="J230" s="129"/>
      <c r="K230" s="101"/>
      <c r="L230" s="129"/>
      <c r="M230" s="129"/>
      <c r="N230" s="129"/>
      <c r="O230" s="129"/>
      <c r="P230" s="101"/>
      <c r="Q230" s="101"/>
      <c r="R230" s="101"/>
      <c r="S230" s="101"/>
      <c r="T230" s="101"/>
      <c r="U230" s="101"/>
      <c r="V230" s="101"/>
      <c r="W230" s="101"/>
      <c r="X230" s="101"/>
      <c r="Y230" s="101"/>
      <c r="Z230" s="263"/>
      <c r="AA230" s="101"/>
      <c r="AB230" s="101"/>
      <c r="AC230" s="101"/>
      <c r="AD230" s="101"/>
      <c r="AE230" s="244"/>
      <c r="AF230" s="225" t="s">
        <v>0</v>
      </c>
      <c r="AG230" s="101"/>
      <c r="AH230" s="101"/>
      <c r="AI230" s="101"/>
      <c r="AJ230" s="103"/>
      <c r="AK230" s="164"/>
      <c r="AL230" s="110"/>
      <c r="AM230" s="109"/>
      <c r="AN230" s="105"/>
      <c r="AO230" s="101"/>
      <c r="AP230" s="111"/>
      <c r="AQ230" s="66">
        <f t="shared" si="105"/>
        <v>0</v>
      </c>
      <c r="AR230" s="43">
        <f t="shared" si="106"/>
        <v>0</v>
      </c>
      <c r="AS230" s="44"/>
      <c r="AT230" s="44"/>
    </row>
    <row r="231" spans="1:46" x14ac:dyDescent="0.25">
      <c r="A231" s="289">
        <v>6</v>
      </c>
      <c r="B231" s="154" t="s">
        <v>375</v>
      </c>
      <c r="C231" s="290">
        <f>C233+C236+C241+C245+C249</f>
        <v>689210322</v>
      </c>
      <c r="D231" s="240">
        <f>SUM(D233+D236+D241+D245+D249)</f>
        <v>689210322</v>
      </c>
      <c r="E231" s="202">
        <f t="shared" ref="E231:P231" si="116">E233+E236+E241+E245+E249</f>
        <v>354525306</v>
      </c>
      <c r="F231" s="203">
        <f t="shared" si="116"/>
        <v>0</v>
      </c>
      <c r="G231" s="204">
        <f t="shared" si="116"/>
        <v>1000000</v>
      </c>
      <c r="H231" s="204">
        <f t="shared" si="116"/>
        <v>1000000</v>
      </c>
      <c r="I231" s="204">
        <f t="shared" si="116"/>
        <v>6000000</v>
      </c>
      <c r="J231" s="204">
        <f t="shared" si="116"/>
        <v>1000000</v>
      </c>
      <c r="K231" s="204">
        <f t="shared" si="116"/>
        <v>2500000</v>
      </c>
      <c r="L231" s="204">
        <f t="shared" si="116"/>
        <v>1000000</v>
      </c>
      <c r="M231" s="204">
        <f t="shared" si="116"/>
        <v>1000000</v>
      </c>
      <c r="N231" s="204">
        <f t="shared" si="116"/>
        <v>1000000</v>
      </c>
      <c r="O231" s="204">
        <f t="shared" si="116"/>
        <v>1000000</v>
      </c>
      <c r="P231" s="204">
        <f t="shared" si="116"/>
        <v>37000000</v>
      </c>
      <c r="Q231" s="203">
        <f>Q233+Q236+Q241+Q245+Q249</f>
        <v>2800000</v>
      </c>
      <c r="R231" s="204">
        <f>SUM(R233+R236+R241+R245+R249)</f>
        <v>263990282</v>
      </c>
      <c r="S231" s="204">
        <f t="shared" ref="S231:Y231" si="117">S233+S236+S241+S245+S249</f>
        <v>1000000</v>
      </c>
      <c r="T231" s="204">
        <f t="shared" si="117"/>
        <v>2000000</v>
      </c>
      <c r="U231" s="204">
        <f t="shared" si="117"/>
        <v>1000000</v>
      </c>
      <c r="V231" s="204">
        <f t="shared" si="117"/>
        <v>1000000</v>
      </c>
      <c r="W231" s="204">
        <f t="shared" si="117"/>
        <v>28235024</v>
      </c>
      <c r="X231" s="204">
        <f t="shared" si="117"/>
        <v>1000000</v>
      </c>
      <c r="Y231" s="204">
        <f t="shared" si="117"/>
        <v>1000000</v>
      </c>
      <c r="Z231" s="206">
        <f>SUM(Z233+Z236+Z241+Z245+Z249)</f>
        <v>5000000</v>
      </c>
      <c r="AA231" s="204">
        <f>AA233+AA236+AA241+AA245+AA249</f>
        <v>1000000</v>
      </c>
      <c r="AB231" s="204">
        <f>AB233+AB236+AB241+AB245+AB249</f>
        <v>1000000</v>
      </c>
      <c r="AC231" s="204">
        <f>AC233+AC236+AC241+AC245+AC249</f>
        <v>1000000</v>
      </c>
      <c r="AD231" s="204">
        <f>AD233+AD236+AD241+AD245+AD249</f>
        <v>1000000</v>
      </c>
      <c r="AE231" s="204">
        <f>AE233+AE236+AE241+AE245+AE249</f>
        <v>1000000</v>
      </c>
      <c r="AF231" s="225">
        <f>SUM(AF233+AF236+AF241+AF245+AF249)</f>
        <v>6500000</v>
      </c>
      <c r="AG231" s="204">
        <f t="shared" ref="AG231:AP231" si="118">AG233+AG236+AG241+AG245+AG249</f>
        <v>1000000</v>
      </c>
      <c r="AH231" s="204">
        <f t="shared" si="118"/>
        <v>1000000</v>
      </c>
      <c r="AI231" s="204">
        <f t="shared" si="118"/>
        <v>1000000</v>
      </c>
      <c r="AJ231" s="205">
        <f t="shared" si="118"/>
        <v>3500000</v>
      </c>
      <c r="AK231" s="164">
        <f t="shared" si="118"/>
        <v>323185016</v>
      </c>
      <c r="AL231" s="280">
        <f t="shared" si="118"/>
        <v>318485016</v>
      </c>
      <c r="AM231" s="164">
        <f t="shared" si="118"/>
        <v>4700000</v>
      </c>
      <c r="AN231" s="203">
        <f t="shared" si="118"/>
        <v>1000000</v>
      </c>
      <c r="AO231" s="204">
        <f t="shared" si="118"/>
        <v>1700000</v>
      </c>
      <c r="AP231" s="281">
        <f t="shared" si="118"/>
        <v>2000000</v>
      </c>
      <c r="AQ231" s="66">
        <f t="shared" si="105"/>
        <v>689210322</v>
      </c>
      <c r="AR231" s="43">
        <f t="shared" si="106"/>
        <v>0</v>
      </c>
      <c r="AS231" s="44"/>
      <c r="AT231" s="44"/>
    </row>
    <row r="232" spans="1:46" x14ac:dyDescent="0.25">
      <c r="A232" s="222"/>
      <c r="B232" s="124"/>
      <c r="C232" s="228"/>
      <c r="D232" s="229"/>
      <c r="E232" s="93"/>
      <c r="F232" s="128"/>
      <c r="G232" s="129"/>
      <c r="H232" s="129"/>
      <c r="I232" s="129"/>
      <c r="J232" s="129"/>
      <c r="K232" s="101"/>
      <c r="L232" s="129"/>
      <c r="M232" s="129"/>
      <c r="N232" s="129"/>
      <c r="O232" s="129"/>
      <c r="P232" s="101"/>
      <c r="Q232" s="101"/>
      <c r="R232" s="101"/>
      <c r="S232" s="101"/>
      <c r="T232" s="101"/>
      <c r="U232" s="101"/>
      <c r="V232" s="101"/>
      <c r="W232" s="101"/>
      <c r="X232" s="101"/>
      <c r="Y232" s="101"/>
      <c r="Z232" s="263"/>
      <c r="AA232" s="101"/>
      <c r="AB232" s="101"/>
      <c r="AC232" s="101"/>
      <c r="AD232" s="101"/>
      <c r="AE232" s="244"/>
      <c r="AF232" s="225">
        <f>SUM(AG232:AI232)</f>
        <v>0</v>
      </c>
      <c r="AG232" s="101"/>
      <c r="AH232" s="101"/>
      <c r="AI232" s="101"/>
      <c r="AJ232" s="103"/>
      <c r="AK232" s="164"/>
      <c r="AL232" s="110"/>
      <c r="AM232" s="249"/>
      <c r="AN232" s="105"/>
      <c r="AO232" s="101"/>
      <c r="AP232" s="111"/>
      <c r="AQ232" s="66">
        <f t="shared" si="105"/>
        <v>0</v>
      </c>
      <c r="AR232" s="43">
        <f t="shared" si="106"/>
        <v>0</v>
      </c>
      <c r="AS232" s="44"/>
      <c r="AT232" s="44"/>
    </row>
    <row r="233" spans="1:46" x14ac:dyDescent="0.25">
      <c r="A233" s="250" t="s">
        <v>376</v>
      </c>
      <c r="B233" s="154" t="s">
        <v>377</v>
      </c>
      <c r="C233" s="239">
        <f>SUM(C234:C234)</f>
        <v>36000000</v>
      </c>
      <c r="D233" s="240">
        <f>SUM(D234)</f>
        <v>36000000</v>
      </c>
      <c r="E233" s="93">
        <f>SUM(E234)</f>
        <v>36000000</v>
      </c>
      <c r="F233" s="184">
        <f t="shared" ref="F233:R233" si="119">SUM(F234:F234)</f>
        <v>0</v>
      </c>
      <c r="G233" s="185">
        <f t="shared" si="119"/>
        <v>0</v>
      </c>
      <c r="H233" s="185">
        <f t="shared" si="119"/>
        <v>0</v>
      </c>
      <c r="I233" s="185">
        <f t="shared" si="119"/>
        <v>0</v>
      </c>
      <c r="J233" s="185">
        <f t="shared" si="119"/>
        <v>0</v>
      </c>
      <c r="K233" s="185">
        <f t="shared" si="119"/>
        <v>0</v>
      </c>
      <c r="L233" s="185">
        <f t="shared" si="119"/>
        <v>0</v>
      </c>
      <c r="M233" s="185">
        <f t="shared" si="119"/>
        <v>0</v>
      </c>
      <c r="N233" s="185">
        <f t="shared" si="119"/>
        <v>0</v>
      </c>
      <c r="O233" s="185">
        <f t="shared" si="119"/>
        <v>0</v>
      </c>
      <c r="P233" s="185">
        <f t="shared" si="119"/>
        <v>36000000</v>
      </c>
      <c r="Q233" s="185">
        <f t="shared" si="119"/>
        <v>0</v>
      </c>
      <c r="R233" s="185">
        <f t="shared" si="119"/>
        <v>0</v>
      </c>
      <c r="S233" s="185"/>
      <c r="T233" s="185">
        <f t="shared" ref="T233:AP233" si="120">SUM(T234:T234)</f>
        <v>0</v>
      </c>
      <c r="U233" s="185">
        <f t="shared" si="120"/>
        <v>0</v>
      </c>
      <c r="V233" s="185">
        <f t="shared" si="120"/>
        <v>0</v>
      </c>
      <c r="W233" s="185">
        <f t="shared" si="120"/>
        <v>0</v>
      </c>
      <c r="X233" s="185">
        <f t="shared" si="120"/>
        <v>0</v>
      </c>
      <c r="Y233" s="185">
        <f t="shared" si="120"/>
        <v>0</v>
      </c>
      <c r="Z233" s="217">
        <f>SUM(Z234)</f>
        <v>0</v>
      </c>
      <c r="AA233" s="185">
        <f t="shared" si="120"/>
        <v>0</v>
      </c>
      <c r="AB233" s="185">
        <f t="shared" si="120"/>
        <v>0</v>
      </c>
      <c r="AC233" s="185">
        <f t="shared" si="120"/>
        <v>0</v>
      </c>
      <c r="AD233" s="185">
        <f t="shared" si="120"/>
        <v>0</v>
      </c>
      <c r="AE233" s="188">
        <f t="shared" si="120"/>
        <v>0</v>
      </c>
      <c r="AF233" s="225">
        <f t="shared" si="120"/>
        <v>0</v>
      </c>
      <c r="AG233" s="185">
        <f t="shared" si="120"/>
        <v>0</v>
      </c>
      <c r="AH233" s="185">
        <f t="shared" si="120"/>
        <v>0</v>
      </c>
      <c r="AI233" s="185">
        <f t="shared" si="120"/>
        <v>0</v>
      </c>
      <c r="AJ233" s="186">
        <f t="shared" si="120"/>
        <v>0</v>
      </c>
      <c r="AK233" s="164">
        <f>SUM(AK234:AK234)</f>
        <v>0</v>
      </c>
      <c r="AL233" s="191">
        <f t="shared" si="120"/>
        <v>0</v>
      </c>
      <c r="AM233" s="254">
        <f>SUM(AM234)</f>
        <v>0</v>
      </c>
      <c r="AN233" s="184">
        <f t="shared" si="120"/>
        <v>0</v>
      </c>
      <c r="AO233" s="185">
        <f t="shared" si="120"/>
        <v>0</v>
      </c>
      <c r="AP233" s="252">
        <f t="shared" si="120"/>
        <v>0</v>
      </c>
      <c r="AQ233" s="66">
        <f t="shared" si="105"/>
        <v>36000000</v>
      </c>
      <c r="AR233" s="43">
        <f t="shared" si="106"/>
        <v>0</v>
      </c>
      <c r="AS233" s="44"/>
      <c r="AT233" s="44"/>
    </row>
    <row r="234" spans="1:46" x14ac:dyDescent="0.25">
      <c r="A234" s="222" t="s">
        <v>378</v>
      </c>
      <c r="B234" s="124" t="s">
        <v>379</v>
      </c>
      <c r="C234" s="303">
        <f>+E234+Z234+AF234+AK234</f>
        <v>36000000</v>
      </c>
      <c r="D234" s="126">
        <f>SUM(F234+G234+H234+I234+J234+K234+L234+M234+N234+O234+P234+Q234+R234+S234+T234+U234+V234+W234+X234+Y234+AA234+AB234+AC234+AD234+AE234+AG234+AH234+AI234+AJ234+AL234+AN234+AO234+AP234)</f>
        <v>36000000</v>
      </c>
      <c r="E234" s="127">
        <f>SUM(F234:Y234)</f>
        <v>36000000</v>
      </c>
      <c r="F234" s="128"/>
      <c r="G234" s="129"/>
      <c r="H234" s="129"/>
      <c r="I234" s="129"/>
      <c r="J234" s="129"/>
      <c r="K234" s="101"/>
      <c r="L234" s="129"/>
      <c r="M234" s="129"/>
      <c r="N234" s="129"/>
      <c r="O234" s="129"/>
      <c r="P234" s="101">
        <v>36000000</v>
      </c>
      <c r="Q234" s="101"/>
      <c r="R234" s="101"/>
      <c r="S234" s="101"/>
      <c r="T234" s="101"/>
      <c r="U234" s="101"/>
      <c r="V234" s="101"/>
      <c r="W234" s="101"/>
      <c r="X234" s="101"/>
      <c r="Y234" s="101"/>
      <c r="Z234" s="232">
        <f>SUM(AA234:AE234)</f>
        <v>0</v>
      </c>
      <c r="AA234" s="101"/>
      <c r="AB234" s="101"/>
      <c r="AC234" s="101"/>
      <c r="AD234" s="101"/>
      <c r="AE234" s="244"/>
      <c r="AF234" s="225">
        <f>SUM(AG234:AJ234)</f>
        <v>0</v>
      </c>
      <c r="AG234" s="101"/>
      <c r="AH234" s="101"/>
      <c r="AI234" s="101"/>
      <c r="AJ234" s="103"/>
      <c r="AK234" s="138">
        <f>SUM(AL234+AM234)</f>
        <v>0</v>
      </c>
      <c r="AL234" s="110"/>
      <c r="AM234" s="294">
        <f>SUM(AN234:AP234)</f>
        <v>0</v>
      </c>
      <c r="AN234" s="105"/>
      <c r="AO234" s="101"/>
      <c r="AP234" s="111"/>
      <c r="AQ234" s="66">
        <f t="shared" si="105"/>
        <v>36000000</v>
      </c>
      <c r="AR234" s="43">
        <f t="shared" si="106"/>
        <v>0</v>
      </c>
      <c r="AS234" s="44"/>
      <c r="AT234" s="44"/>
    </row>
    <row r="235" spans="1:46" x14ac:dyDescent="0.25">
      <c r="A235" s="222"/>
      <c r="B235" s="124"/>
      <c r="C235" s="228"/>
      <c r="D235" s="229"/>
      <c r="E235" s="93"/>
      <c r="F235" s="128"/>
      <c r="G235" s="129"/>
      <c r="H235" s="129"/>
      <c r="I235" s="129"/>
      <c r="J235" s="129"/>
      <c r="K235" s="101"/>
      <c r="L235" s="129"/>
      <c r="M235" s="129"/>
      <c r="N235" s="129"/>
      <c r="O235" s="129"/>
      <c r="P235" s="101"/>
      <c r="Q235" s="101"/>
      <c r="R235" s="101"/>
      <c r="S235" s="101"/>
      <c r="T235" s="101"/>
      <c r="U235" s="101"/>
      <c r="V235" s="101"/>
      <c r="W235" s="101"/>
      <c r="X235" s="101"/>
      <c r="Y235" s="101"/>
      <c r="Z235" s="263"/>
      <c r="AA235" s="101"/>
      <c r="AB235" s="101"/>
      <c r="AC235" s="101"/>
      <c r="AD235" s="101"/>
      <c r="AE235" s="244"/>
      <c r="AF235" s="314"/>
      <c r="AG235" s="101"/>
      <c r="AH235" s="101"/>
      <c r="AI235" s="101"/>
      <c r="AJ235" s="103"/>
      <c r="AK235" s="164"/>
      <c r="AL235" s="110"/>
      <c r="AM235" s="315"/>
      <c r="AN235" s="105"/>
      <c r="AO235" s="101"/>
      <c r="AP235" s="111"/>
      <c r="AQ235" s="66">
        <f t="shared" si="105"/>
        <v>0</v>
      </c>
      <c r="AR235" s="43">
        <f t="shared" si="106"/>
        <v>0</v>
      </c>
      <c r="AS235" s="44"/>
      <c r="AT235" s="44"/>
    </row>
    <row r="236" spans="1:46" x14ac:dyDescent="0.25">
      <c r="A236" s="250" t="s">
        <v>380</v>
      </c>
      <c r="B236" s="154" t="s">
        <v>381</v>
      </c>
      <c r="C236" s="239">
        <f>SUM(C237:C239)</f>
        <v>306350000</v>
      </c>
      <c r="D236" s="240">
        <f>SUM(D237:D239)</f>
        <v>306350000</v>
      </c>
      <c r="E236" s="93">
        <f>SUM(E237:E239)</f>
        <v>6350000</v>
      </c>
      <c r="F236" s="184">
        <f t="shared" ref="F236:AM236" si="121">SUM(F237:F239)</f>
        <v>0</v>
      </c>
      <c r="G236" s="185">
        <f t="shared" si="121"/>
        <v>0</v>
      </c>
      <c r="H236" s="185">
        <f t="shared" si="121"/>
        <v>0</v>
      </c>
      <c r="I236" s="185">
        <f t="shared" si="121"/>
        <v>5000000</v>
      </c>
      <c r="J236" s="185">
        <f t="shared" si="121"/>
        <v>0</v>
      </c>
      <c r="K236" s="185">
        <f t="shared" si="121"/>
        <v>0</v>
      </c>
      <c r="L236" s="185">
        <f t="shared" si="121"/>
        <v>0</v>
      </c>
      <c r="M236" s="185">
        <f t="shared" si="121"/>
        <v>0</v>
      </c>
      <c r="N236" s="185">
        <f t="shared" si="121"/>
        <v>0</v>
      </c>
      <c r="O236" s="185">
        <f t="shared" si="121"/>
        <v>0</v>
      </c>
      <c r="P236" s="185">
        <f t="shared" si="121"/>
        <v>0</v>
      </c>
      <c r="Q236" s="185">
        <f t="shared" si="121"/>
        <v>500000</v>
      </c>
      <c r="R236" s="185">
        <f t="shared" si="121"/>
        <v>850000</v>
      </c>
      <c r="S236" s="185">
        <f>SUM(S237:S239)</f>
        <v>0</v>
      </c>
      <c r="T236" s="185">
        <f t="shared" si="121"/>
        <v>0</v>
      </c>
      <c r="U236" s="185">
        <f t="shared" si="121"/>
        <v>0</v>
      </c>
      <c r="V236" s="185">
        <f t="shared" si="121"/>
        <v>0</v>
      </c>
      <c r="W236" s="185">
        <f t="shared" si="121"/>
        <v>0</v>
      </c>
      <c r="X236" s="185">
        <f t="shared" si="121"/>
        <v>0</v>
      </c>
      <c r="Y236" s="185">
        <f t="shared" si="121"/>
        <v>0</v>
      </c>
      <c r="Z236" s="217">
        <f t="shared" si="121"/>
        <v>0</v>
      </c>
      <c r="AA236" s="185">
        <f t="shared" si="121"/>
        <v>0</v>
      </c>
      <c r="AB236" s="185">
        <f t="shared" si="121"/>
        <v>0</v>
      </c>
      <c r="AC236" s="185">
        <f t="shared" si="121"/>
        <v>0</v>
      </c>
      <c r="AD236" s="185">
        <f t="shared" si="121"/>
        <v>0</v>
      </c>
      <c r="AE236" s="188">
        <f t="shared" si="121"/>
        <v>0</v>
      </c>
      <c r="AF236" s="225">
        <f t="shared" si="121"/>
        <v>0</v>
      </c>
      <c r="AG236" s="185">
        <f>SUM(AG237:AG239)</f>
        <v>0</v>
      </c>
      <c r="AH236" s="185">
        <f>SUM(AH237:AH239)</f>
        <v>0</v>
      </c>
      <c r="AI236" s="185">
        <f>SUM(AI237:AI239)</f>
        <v>0</v>
      </c>
      <c r="AJ236" s="186">
        <f>SUM(AJ237:AJ239)</f>
        <v>0</v>
      </c>
      <c r="AK236" s="164">
        <f t="shared" si="121"/>
        <v>300000000</v>
      </c>
      <c r="AL236" s="191">
        <f>SUM(AL237:AL239)</f>
        <v>300000000</v>
      </c>
      <c r="AM236" s="164">
        <f t="shared" si="121"/>
        <v>0</v>
      </c>
      <c r="AN236" s="184">
        <f>SUM(AN237:AN239)</f>
        <v>0</v>
      </c>
      <c r="AO236" s="185">
        <f>SUM(AO237:AO239)</f>
        <v>0</v>
      </c>
      <c r="AP236" s="252">
        <f>SUM(AP237:AP239)</f>
        <v>0</v>
      </c>
      <c r="AQ236" s="66">
        <f t="shared" si="105"/>
        <v>306350000</v>
      </c>
      <c r="AR236" s="43">
        <f t="shared" si="106"/>
        <v>0</v>
      </c>
      <c r="AS236" s="44"/>
      <c r="AT236" s="44"/>
    </row>
    <row r="237" spans="1:46" x14ac:dyDescent="0.25">
      <c r="A237" s="222" t="s">
        <v>382</v>
      </c>
      <c r="B237" s="124" t="s">
        <v>383</v>
      </c>
      <c r="C237" s="228">
        <f>+E237+Z237+AF237+AK237</f>
        <v>550000</v>
      </c>
      <c r="D237" s="126">
        <f>SUM(F237+G237+H237+I237+J237+K237+L237+M237+N237+O237+P237+Q237+R237+S237+T237+U237+V237+W237+X237+Y237+AA237+AB237+AC237+AD237+AE237+AG237+AH237+AI237+AJ237+AL237+AN237+AO237+AP237)</f>
        <v>550000</v>
      </c>
      <c r="E237" s="127">
        <f>SUM(F237:Y237)</f>
        <v>550000</v>
      </c>
      <c r="F237" s="128"/>
      <c r="G237" s="129"/>
      <c r="H237" s="129"/>
      <c r="I237" s="129"/>
      <c r="J237" s="129"/>
      <c r="K237" s="101"/>
      <c r="L237" s="129"/>
      <c r="M237" s="129"/>
      <c r="N237" s="129"/>
      <c r="O237" s="129"/>
      <c r="P237" s="101"/>
      <c r="Q237" s="101"/>
      <c r="R237" s="245">
        <v>550000</v>
      </c>
      <c r="S237" s="101"/>
      <c r="T237" s="101"/>
      <c r="U237" s="101"/>
      <c r="V237" s="101"/>
      <c r="W237" s="101"/>
      <c r="X237" s="101"/>
      <c r="Y237" s="101"/>
      <c r="Z237" s="133">
        <f>SUM(AA237:AE237)</f>
        <v>0</v>
      </c>
      <c r="AA237" s="101"/>
      <c r="AB237" s="101"/>
      <c r="AC237" s="101"/>
      <c r="AD237" s="101"/>
      <c r="AE237" s="244">
        <f>1000000-1000000</f>
        <v>0</v>
      </c>
      <c r="AF237" s="248">
        <f>SUM(AG237:AJ237)</f>
        <v>0</v>
      </c>
      <c r="AG237" s="101"/>
      <c r="AH237" s="101"/>
      <c r="AI237" s="101"/>
      <c r="AJ237" s="103"/>
      <c r="AK237" s="138">
        <f>SUM(AL237+AM237)</f>
        <v>0</v>
      </c>
      <c r="AL237" s="110"/>
      <c r="AM237" s="294">
        <f>SUM(AN237:AP237)</f>
        <v>0</v>
      </c>
      <c r="AN237" s="105"/>
      <c r="AO237" s="101"/>
      <c r="AP237" s="111"/>
      <c r="AQ237" s="66">
        <f t="shared" si="105"/>
        <v>550000</v>
      </c>
      <c r="AR237" s="43">
        <f t="shared" si="106"/>
        <v>0</v>
      </c>
      <c r="AS237" s="44"/>
      <c r="AT237" s="44"/>
    </row>
    <row r="238" spans="1:46" x14ac:dyDescent="0.25">
      <c r="A238" s="222" t="s">
        <v>384</v>
      </c>
      <c r="B238" s="124" t="s">
        <v>385</v>
      </c>
      <c r="C238" s="228">
        <f>+E238+Z238+AF238+AK238</f>
        <v>5000000</v>
      </c>
      <c r="D238" s="126">
        <f>SUM(F238+G238+H238+I238+J238+K238+L238+M238+N238+O238+P238+Q238+R238+S238+T238+U238+V238+W238+X238+Y238+AA238+AB238+AC238+AD238+AE238+AG238+AH238+AI238+AJ238+AL238+AN238+AO238+AP238)</f>
        <v>5000000</v>
      </c>
      <c r="E238" s="127">
        <f>SUM(F238:Y238)</f>
        <v>5000000</v>
      </c>
      <c r="F238" s="128"/>
      <c r="G238" s="129"/>
      <c r="H238" s="129"/>
      <c r="I238" s="183">
        <v>5000000</v>
      </c>
      <c r="J238" s="129">
        <v>0</v>
      </c>
      <c r="K238" s="101"/>
      <c r="L238" s="129"/>
      <c r="M238" s="129"/>
      <c r="N238" s="129"/>
      <c r="O238" s="129"/>
      <c r="P238" s="101"/>
      <c r="Q238" s="101"/>
      <c r="R238" s="101"/>
      <c r="S238" s="101"/>
      <c r="T238" s="101"/>
      <c r="U238" s="101"/>
      <c r="V238" s="101"/>
      <c r="W238" s="101"/>
      <c r="X238" s="101"/>
      <c r="Y238" s="101"/>
      <c r="Z238" s="133">
        <f>SUM(AA238:AE238)</f>
        <v>0</v>
      </c>
      <c r="AA238" s="101"/>
      <c r="AB238" s="101"/>
      <c r="AC238" s="101"/>
      <c r="AD238" s="101"/>
      <c r="AE238" s="244"/>
      <c r="AF238" s="248"/>
      <c r="AG238" s="101"/>
      <c r="AH238" s="101"/>
      <c r="AI238" s="101"/>
      <c r="AJ238" s="103"/>
      <c r="AK238" s="138">
        <f>SUM(AL238+AM238)</f>
        <v>0</v>
      </c>
      <c r="AL238" s="110"/>
      <c r="AM238" s="294">
        <f>SUM(AN238:AP238)</f>
        <v>0</v>
      </c>
      <c r="AN238" s="105"/>
      <c r="AO238" s="101"/>
      <c r="AP238" s="111"/>
      <c r="AQ238" s="66">
        <f t="shared" si="105"/>
        <v>5000000</v>
      </c>
      <c r="AR238" s="43">
        <f t="shared" si="106"/>
        <v>0</v>
      </c>
      <c r="AS238" s="44"/>
      <c r="AT238" s="44"/>
    </row>
    <row r="239" spans="1:46" x14ac:dyDescent="0.25">
      <c r="A239" s="222" t="s">
        <v>386</v>
      </c>
      <c r="B239" s="124" t="s">
        <v>387</v>
      </c>
      <c r="C239" s="228">
        <f>+E239+Z239+AF239+AK239</f>
        <v>300800000</v>
      </c>
      <c r="D239" s="126">
        <f>SUM(F239+G239+H239+I239+J239+K239+L239+M239+N239+O239+P239+Q239+R239+S239+T239+U239+V239+W239+X239+Y239+AA239+AB239+AC239+AD239+AE239+AG239+AH239+AI239+AJ239+AL239+AN239+AO239+AP239)</f>
        <v>300800000</v>
      </c>
      <c r="E239" s="127">
        <f>SUM(F239:Y239)</f>
        <v>800000</v>
      </c>
      <c r="F239" s="128"/>
      <c r="G239" s="129"/>
      <c r="H239" s="129"/>
      <c r="I239" s="129"/>
      <c r="J239" s="129">
        <v>0</v>
      </c>
      <c r="K239" s="101"/>
      <c r="L239" s="129"/>
      <c r="M239" s="129"/>
      <c r="N239" s="129"/>
      <c r="O239" s="129"/>
      <c r="P239" s="101"/>
      <c r="Q239" s="243">
        <v>500000</v>
      </c>
      <c r="R239" s="245">
        <v>300000</v>
      </c>
      <c r="S239" s="101"/>
      <c r="T239" s="101"/>
      <c r="U239" s="101"/>
      <c r="V239" s="101"/>
      <c r="W239" s="101"/>
      <c r="X239" s="101"/>
      <c r="Y239" s="101"/>
      <c r="Z239" s="133">
        <f>SUM(AA239:AE239)</f>
        <v>0</v>
      </c>
      <c r="AA239" s="101"/>
      <c r="AB239" s="101"/>
      <c r="AC239" s="101"/>
      <c r="AD239" s="101"/>
      <c r="AE239" s="244"/>
      <c r="AF239" s="248">
        <f>SUM(AG239:AJ239)</f>
        <v>0</v>
      </c>
      <c r="AG239" s="101"/>
      <c r="AH239" s="101"/>
      <c r="AI239" s="101"/>
      <c r="AJ239" s="103"/>
      <c r="AK239" s="138">
        <f>SUM(AL239+AM239)</f>
        <v>300000000</v>
      </c>
      <c r="AL239" s="176">
        <v>300000000</v>
      </c>
      <c r="AM239" s="294">
        <f>SUM(AN239:AP239)</f>
        <v>0</v>
      </c>
      <c r="AN239" s="105"/>
      <c r="AO239" s="101"/>
      <c r="AP239" s="111"/>
      <c r="AQ239" s="66">
        <f t="shared" si="105"/>
        <v>300800000</v>
      </c>
      <c r="AR239" s="43">
        <f t="shared" si="106"/>
        <v>0</v>
      </c>
      <c r="AS239" s="44"/>
      <c r="AT239" s="44"/>
    </row>
    <row r="240" spans="1:46" x14ac:dyDescent="0.25">
      <c r="A240" s="222"/>
      <c r="B240" s="124"/>
      <c r="C240" s="228"/>
      <c r="D240" s="229"/>
      <c r="E240" s="93"/>
      <c r="F240" s="128"/>
      <c r="G240" s="129"/>
      <c r="H240" s="129"/>
      <c r="I240" s="129"/>
      <c r="J240" s="129"/>
      <c r="K240" s="101"/>
      <c r="L240" s="129"/>
      <c r="M240" s="129"/>
      <c r="N240" s="129"/>
      <c r="O240" s="129"/>
      <c r="P240" s="101"/>
      <c r="Q240" s="101"/>
      <c r="R240" s="101"/>
      <c r="S240" s="101"/>
      <c r="T240" s="101"/>
      <c r="U240" s="101"/>
      <c r="V240" s="101"/>
      <c r="W240" s="101"/>
      <c r="X240" s="101"/>
      <c r="Y240" s="101"/>
      <c r="Z240" s="263"/>
      <c r="AA240" s="101"/>
      <c r="AB240" s="101"/>
      <c r="AC240" s="101"/>
      <c r="AD240" s="101"/>
      <c r="AE240" s="244"/>
      <c r="AF240" s="225">
        <f>SUM(AG240:AI240)</f>
        <v>0</v>
      </c>
      <c r="AG240" s="101"/>
      <c r="AH240" s="101"/>
      <c r="AI240" s="101"/>
      <c r="AJ240" s="103"/>
      <c r="AK240" s="164"/>
      <c r="AL240" s="110"/>
      <c r="AM240" s="164"/>
      <c r="AN240" s="105"/>
      <c r="AO240" s="101"/>
      <c r="AP240" s="111"/>
      <c r="AQ240" s="66">
        <f t="shared" si="105"/>
        <v>0</v>
      </c>
      <c r="AR240" s="43">
        <f t="shared" si="106"/>
        <v>0</v>
      </c>
      <c r="AS240" s="44"/>
      <c r="AT240" s="44"/>
    </row>
    <row r="241" spans="1:46" x14ac:dyDescent="0.25">
      <c r="A241" s="250" t="s">
        <v>388</v>
      </c>
      <c r="B241" s="154" t="s">
        <v>389</v>
      </c>
      <c r="C241" s="239">
        <f>SUM(C242:C243)</f>
        <v>86120040</v>
      </c>
      <c r="D241" s="240">
        <f>SUM(D242:D243)</f>
        <v>86120040</v>
      </c>
      <c r="E241" s="93">
        <f>SUM(E242:E243)</f>
        <v>58500000</v>
      </c>
      <c r="F241" s="316">
        <f t="shared" ref="F241:AP241" si="122">SUM(F242:F243)</f>
        <v>0</v>
      </c>
      <c r="G241" s="162">
        <f t="shared" si="122"/>
        <v>1000000</v>
      </c>
      <c r="H241" s="162">
        <f t="shared" si="122"/>
        <v>1000000</v>
      </c>
      <c r="I241" s="162">
        <f t="shared" si="122"/>
        <v>1000000</v>
      </c>
      <c r="J241" s="162">
        <f t="shared" si="122"/>
        <v>1000000</v>
      </c>
      <c r="K241" s="162">
        <f t="shared" si="122"/>
        <v>2500000</v>
      </c>
      <c r="L241" s="162">
        <f t="shared" si="122"/>
        <v>1000000</v>
      </c>
      <c r="M241" s="162">
        <f t="shared" si="122"/>
        <v>1000000</v>
      </c>
      <c r="N241" s="162">
        <f t="shared" si="122"/>
        <v>1000000</v>
      </c>
      <c r="O241" s="162">
        <f t="shared" si="122"/>
        <v>1000000</v>
      </c>
      <c r="P241" s="162">
        <f t="shared" si="122"/>
        <v>1000000</v>
      </c>
      <c r="Q241" s="162">
        <f t="shared" si="122"/>
        <v>1000000</v>
      </c>
      <c r="R241" s="162">
        <f t="shared" si="122"/>
        <v>39000000</v>
      </c>
      <c r="S241" s="162">
        <f t="shared" si="122"/>
        <v>1000000</v>
      </c>
      <c r="T241" s="162">
        <f t="shared" si="122"/>
        <v>1000000</v>
      </c>
      <c r="U241" s="162">
        <f t="shared" si="122"/>
        <v>1000000</v>
      </c>
      <c r="V241" s="162">
        <f t="shared" si="122"/>
        <v>1000000</v>
      </c>
      <c r="W241" s="162">
        <f t="shared" si="122"/>
        <v>1000000</v>
      </c>
      <c r="X241" s="162">
        <f t="shared" si="122"/>
        <v>1000000</v>
      </c>
      <c r="Y241" s="162">
        <f t="shared" si="122"/>
        <v>1000000</v>
      </c>
      <c r="Z241" s="251">
        <f t="shared" si="122"/>
        <v>5000000</v>
      </c>
      <c r="AA241" s="162">
        <f t="shared" si="122"/>
        <v>1000000</v>
      </c>
      <c r="AB241" s="162">
        <f t="shared" si="122"/>
        <v>1000000</v>
      </c>
      <c r="AC241" s="162">
        <f t="shared" si="122"/>
        <v>1000000</v>
      </c>
      <c r="AD241" s="162">
        <f t="shared" si="122"/>
        <v>1000000</v>
      </c>
      <c r="AE241" s="162">
        <f t="shared" si="122"/>
        <v>1000000</v>
      </c>
      <c r="AF241" s="317">
        <f t="shared" si="122"/>
        <v>4000000</v>
      </c>
      <c r="AG241" s="162">
        <f t="shared" si="122"/>
        <v>1000000</v>
      </c>
      <c r="AH241" s="162">
        <f t="shared" si="122"/>
        <v>1000000</v>
      </c>
      <c r="AI241" s="162">
        <f t="shared" si="122"/>
        <v>1000000</v>
      </c>
      <c r="AJ241" s="163">
        <f t="shared" si="122"/>
        <v>1000000</v>
      </c>
      <c r="AK241" s="164">
        <f t="shared" si="122"/>
        <v>18620040</v>
      </c>
      <c r="AL241" s="192">
        <f t="shared" si="122"/>
        <v>15620040</v>
      </c>
      <c r="AM241" s="164">
        <f t="shared" si="122"/>
        <v>3000000</v>
      </c>
      <c r="AN241" s="316">
        <f t="shared" si="122"/>
        <v>1000000</v>
      </c>
      <c r="AO241" s="162">
        <f t="shared" si="122"/>
        <v>1000000</v>
      </c>
      <c r="AP241" s="166">
        <f t="shared" si="122"/>
        <v>1000000</v>
      </c>
      <c r="AQ241" s="66">
        <f t="shared" si="105"/>
        <v>86120040</v>
      </c>
      <c r="AR241" s="43">
        <f t="shared" si="106"/>
        <v>0</v>
      </c>
      <c r="AS241" s="44"/>
      <c r="AT241" s="44"/>
    </row>
    <row r="242" spans="1:46" x14ac:dyDescent="0.25">
      <c r="A242" s="222" t="s">
        <v>390</v>
      </c>
      <c r="B242" s="124" t="s">
        <v>391</v>
      </c>
      <c r="C242" s="228">
        <f>+E242+Z242+AF242+AK242</f>
        <v>52120040</v>
      </c>
      <c r="D242" s="126">
        <f>SUM(F242+G242+H242+I242+J242+K242+L242+M242+N242+O242+P242+Q242+R242+S242+T242+U242+V242+W242+X242+Y242+AA242+AB242+AC242+AD242+AE242+AG242+AH242+AI242+AJ242+AL242+AN242+AO242+AP242)</f>
        <v>52120040</v>
      </c>
      <c r="E242" s="127">
        <f>SUM(F242:Y242)</f>
        <v>38000000</v>
      </c>
      <c r="F242" s="128"/>
      <c r="G242" s="129"/>
      <c r="H242" s="129"/>
      <c r="I242" s="129"/>
      <c r="J242" s="129"/>
      <c r="K242" s="101"/>
      <c r="L242" s="129"/>
      <c r="M242" s="129"/>
      <c r="N242" s="129"/>
      <c r="O242" s="129"/>
      <c r="P242" s="101"/>
      <c r="Q242" s="101"/>
      <c r="R242" s="318">
        <f>133735090-95735090</f>
        <v>38000000</v>
      </c>
      <c r="S242" s="101"/>
      <c r="T242" s="101"/>
      <c r="U242" s="101"/>
      <c r="V242" s="101"/>
      <c r="W242" s="101"/>
      <c r="X242" s="101"/>
      <c r="Y242" s="101"/>
      <c r="Z242" s="133">
        <f>SUM(AA242:AE242)</f>
        <v>0</v>
      </c>
      <c r="AA242" s="101"/>
      <c r="AB242" s="101"/>
      <c r="AC242" s="101"/>
      <c r="AD242" s="101"/>
      <c r="AE242" s="244"/>
      <c r="AF242" s="248">
        <f>SUM(AG242:AJ242)</f>
        <v>0</v>
      </c>
      <c r="AG242" s="101"/>
      <c r="AH242" s="101"/>
      <c r="AI242" s="101"/>
      <c r="AJ242" s="103"/>
      <c r="AK242" s="138">
        <f>SUM(AL242+AM242)</f>
        <v>14120040</v>
      </c>
      <c r="AL242" s="110">
        <f>+'[9]Prestaciones Legales'!$L$24</f>
        <v>14120040</v>
      </c>
      <c r="AM242" s="294">
        <f>SUM(AN242:AP242)</f>
        <v>0</v>
      </c>
      <c r="AN242" s="105"/>
      <c r="AO242" s="101"/>
      <c r="AP242" s="111"/>
      <c r="AQ242" s="66">
        <f t="shared" si="105"/>
        <v>52120040</v>
      </c>
      <c r="AR242" s="43">
        <f t="shared" si="106"/>
        <v>0</v>
      </c>
      <c r="AS242" s="44"/>
      <c r="AT242" s="44"/>
    </row>
    <row r="243" spans="1:46" x14ac:dyDescent="0.25">
      <c r="A243" s="222" t="s">
        <v>392</v>
      </c>
      <c r="B243" s="124" t="s">
        <v>393</v>
      </c>
      <c r="C243" s="125">
        <f>E243+Z243+AF243+AK243</f>
        <v>34000000</v>
      </c>
      <c r="D243" s="126">
        <f>SUM(F243+G243+H243+I243+J243+K243+L243+M243+N243+O243+P243+Q243+R243+S243+T243+U243+V243+W243+X243+Y243+AA243+AB243+AC243+AD243+AE243+AG243+AH243+AI243+AJ243+AL243+AN243+AO243+AP243)</f>
        <v>34000000</v>
      </c>
      <c r="E243" s="127">
        <f>SUM(F243:Y243)</f>
        <v>20500000</v>
      </c>
      <c r="F243" s="128"/>
      <c r="G243" s="129">
        <f>1500000-500000</f>
        <v>1000000</v>
      </c>
      <c r="H243" s="129">
        <f>1500000-500000</f>
        <v>1000000</v>
      </c>
      <c r="I243" s="129">
        <f>1500000-500000</f>
        <v>1000000</v>
      </c>
      <c r="J243" s="129">
        <v>1000000</v>
      </c>
      <c r="K243" s="129">
        <f>7000000-2000000-2500000</f>
        <v>2500000</v>
      </c>
      <c r="L243" s="129">
        <v>1000000</v>
      </c>
      <c r="M243" s="129">
        <v>1000000</v>
      </c>
      <c r="N243" s="129">
        <f>1500000-500000</f>
        <v>1000000</v>
      </c>
      <c r="O243" s="129">
        <f>1500000-500000</f>
        <v>1000000</v>
      </c>
      <c r="P243" s="129">
        <v>1000000</v>
      </c>
      <c r="Q243" s="129">
        <f>1500000-500000</f>
        <v>1000000</v>
      </c>
      <c r="R243" s="129">
        <f>1500000-500000</f>
        <v>1000000</v>
      </c>
      <c r="S243" s="129">
        <f>1500000-500000</f>
        <v>1000000</v>
      </c>
      <c r="T243" s="129">
        <v>1000000</v>
      </c>
      <c r="U243" s="129">
        <f>1500000-500000</f>
        <v>1000000</v>
      </c>
      <c r="V243" s="129">
        <f>1500000-500000</f>
        <v>1000000</v>
      </c>
      <c r="W243" s="129">
        <v>1000000</v>
      </c>
      <c r="X243" s="129">
        <v>1000000</v>
      </c>
      <c r="Y243" s="129">
        <v>1000000</v>
      </c>
      <c r="Z243" s="133">
        <f>SUM(AA243:AE243)</f>
        <v>5000000</v>
      </c>
      <c r="AA243" s="129">
        <v>1000000</v>
      </c>
      <c r="AB243" s="129">
        <v>1000000</v>
      </c>
      <c r="AC243" s="129">
        <v>1000000</v>
      </c>
      <c r="AD243" s="129">
        <v>1000000</v>
      </c>
      <c r="AE243" s="180">
        <v>1000000</v>
      </c>
      <c r="AF243" s="134">
        <f>SUM(AG243:AJ243)</f>
        <v>4000000</v>
      </c>
      <c r="AG243" s="129">
        <v>1000000</v>
      </c>
      <c r="AH243" s="129">
        <v>1000000</v>
      </c>
      <c r="AI243" s="129">
        <v>1000000</v>
      </c>
      <c r="AJ243" s="141">
        <v>1000000</v>
      </c>
      <c r="AK243" s="138">
        <f>SUM(AL243+AM243)</f>
        <v>4500000</v>
      </c>
      <c r="AL243" s="181">
        <v>1500000</v>
      </c>
      <c r="AM243" s="136">
        <f>SUM(AN243:AP243)</f>
        <v>3000000</v>
      </c>
      <c r="AN243" s="128">
        <v>1000000</v>
      </c>
      <c r="AO243" s="129">
        <v>1000000</v>
      </c>
      <c r="AP243" s="183">
        <v>1000000</v>
      </c>
      <c r="AQ243" s="66">
        <f t="shared" si="105"/>
        <v>34000000</v>
      </c>
      <c r="AR243" s="43">
        <f t="shared" si="106"/>
        <v>0</v>
      </c>
      <c r="AS243" s="44"/>
      <c r="AT243" s="44"/>
    </row>
    <row r="244" spans="1:46" x14ac:dyDescent="0.25">
      <c r="A244" s="222"/>
      <c r="B244" s="124"/>
      <c r="C244" s="228"/>
      <c r="D244" s="229"/>
      <c r="E244" s="93"/>
      <c r="F244" s="128"/>
      <c r="G244" s="129"/>
      <c r="H244" s="129"/>
      <c r="I244" s="129"/>
      <c r="J244" s="129"/>
      <c r="K244" s="101"/>
      <c r="L244" s="129"/>
      <c r="M244" s="129"/>
      <c r="N244" s="129"/>
      <c r="O244" s="129"/>
      <c r="P244" s="101"/>
      <c r="Q244" s="101"/>
      <c r="R244" s="101"/>
      <c r="S244" s="101"/>
      <c r="T244" s="101"/>
      <c r="U244" s="101"/>
      <c r="V244" s="101"/>
      <c r="W244" s="101"/>
      <c r="X244" s="101"/>
      <c r="Y244" s="101"/>
      <c r="Z244" s="263"/>
      <c r="AA244" s="101"/>
      <c r="AB244" s="101"/>
      <c r="AC244" s="101"/>
      <c r="AD244" s="101"/>
      <c r="AE244" s="244"/>
      <c r="AF244" s="225"/>
      <c r="AG244" s="101"/>
      <c r="AH244" s="101"/>
      <c r="AI244" s="101"/>
      <c r="AJ244" s="103"/>
      <c r="AK244" s="164"/>
      <c r="AL244" s="110"/>
      <c r="AM244" s="249"/>
      <c r="AN244" s="105"/>
      <c r="AO244" s="101"/>
      <c r="AP244" s="111"/>
      <c r="AQ244" s="66">
        <f t="shared" si="105"/>
        <v>0</v>
      </c>
      <c r="AR244" s="43">
        <f t="shared" si="106"/>
        <v>0</v>
      </c>
      <c r="AS244" s="44"/>
      <c r="AT244" s="44"/>
    </row>
    <row r="245" spans="1:46" x14ac:dyDescent="0.25">
      <c r="A245" s="250" t="s">
        <v>394</v>
      </c>
      <c r="B245" s="154" t="s">
        <v>395</v>
      </c>
      <c r="C245" s="239">
        <f>SUM(C246:C247)</f>
        <v>230640282</v>
      </c>
      <c r="D245" s="240">
        <f>SUM(D246:D247)</f>
        <v>230640282</v>
      </c>
      <c r="E245" s="93">
        <f>SUM(E246:E247)</f>
        <v>226440282</v>
      </c>
      <c r="F245" s="184">
        <f t="shared" ref="F245:AM245" si="123">SUM(F246:F247)</f>
        <v>0</v>
      </c>
      <c r="G245" s="185">
        <f t="shared" si="123"/>
        <v>0</v>
      </c>
      <c r="H245" s="185">
        <f t="shared" si="123"/>
        <v>0</v>
      </c>
      <c r="I245" s="185">
        <f t="shared" si="123"/>
        <v>0</v>
      </c>
      <c r="J245" s="185">
        <f t="shared" si="123"/>
        <v>0</v>
      </c>
      <c r="K245" s="185">
        <f t="shared" si="123"/>
        <v>0</v>
      </c>
      <c r="L245" s="185">
        <f t="shared" si="123"/>
        <v>0</v>
      </c>
      <c r="M245" s="185">
        <f t="shared" si="123"/>
        <v>0</v>
      </c>
      <c r="N245" s="185">
        <f t="shared" si="123"/>
        <v>0</v>
      </c>
      <c r="O245" s="185">
        <f t="shared" si="123"/>
        <v>0</v>
      </c>
      <c r="P245" s="185">
        <f t="shared" si="123"/>
        <v>0</v>
      </c>
      <c r="Q245" s="185">
        <f t="shared" si="123"/>
        <v>1300000</v>
      </c>
      <c r="R245" s="185">
        <f t="shared" si="123"/>
        <v>224140282</v>
      </c>
      <c r="S245" s="185">
        <f>SUM(S246:S247)</f>
        <v>0</v>
      </c>
      <c r="T245" s="185">
        <f t="shared" si="123"/>
        <v>1000000</v>
      </c>
      <c r="U245" s="185">
        <f t="shared" si="123"/>
        <v>0</v>
      </c>
      <c r="V245" s="185">
        <f t="shared" si="123"/>
        <v>0</v>
      </c>
      <c r="W245" s="185">
        <f t="shared" si="123"/>
        <v>0</v>
      </c>
      <c r="X245" s="185">
        <f t="shared" si="123"/>
        <v>0</v>
      </c>
      <c r="Y245" s="185">
        <f t="shared" si="123"/>
        <v>0</v>
      </c>
      <c r="Z245" s="217">
        <f t="shared" si="123"/>
        <v>0</v>
      </c>
      <c r="AA245" s="185">
        <f t="shared" si="123"/>
        <v>0</v>
      </c>
      <c r="AB245" s="185">
        <f t="shared" si="123"/>
        <v>0</v>
      </c>
      <c r="AC245" s="185">
        <f t="shared" si="123"/>
        <v>0</v>
      </c>
      <c r="AD245" s="185">
        <f t="shared" si="123"/>
        <v>0</v>
      </c>
      <c r="AE245" s="188">
        <f t="shared" si="123"/>
        <v>0</v>
      </c>
      <c r="AF245" s="225">
        <f t="shared" si="123"/>
        <v>2500000</v>
      </c>
      <c r="AG245" s="185">
        <f>SUM(AG246:AG247)</f>
        <v>0</v>
      </c>
      <c r="AH245" s="185">
        <f>SUM(AH246:AH247)</f>
        <v>0</v>
      </c>
      <c r="AI245" s="185">
        <f>SUM(AI246:AI247)</f>
        <v>0</v>
      </c>
      <c r="AJ245" s="186">
        <f>SUM(AJ246:AJ247)</f>
        <v>2500000</v>
      </c>
      <c r="AK245" s="164">
        <f t="shared" si="123"/>
        <v>1700000</v>
      </c>
      <c r="AL245" s="191">
        <f>SUM(AL246:AL247)</f>
        <v>0</v>
      </c>
      <c r="AM245" s="164">
        <f t="shared" si="123"/>
        <v>1700000</v>
      </c>
      <c r="AN245" s="184">
        <f>SUM(AN246:AN247)</f>
        <v>0</v>
      </c>
      <c r="AO245" s="185">
        <f>SUM(AO246:AO247)</f>
        <v>700000</v>
      </c>
      <c r="AP245" s="252">
        <f>SUM(AP246:AP247)</f>
        <v>1000000</v>
      </c>
      <c r="AQ245" s="66">
        <f t="shared" si="105"/>
        <v>230640282</v>
      </c>
      <c r="AR245" s="43">
        <f t="shared" si="106"/>
        <v>0</v>
      </c>
      <c r="AS245" s="44"/>
      <c r="AT245" s="44"/>
    </row>
    <row r="246" spans="1:46" x14ac:dyDescent="0.25">
      <c r="A246" s="222" t="s">
        <v>396</v>
      </c>
      <c r="B246" s="124" t="s">
        <v>397</v>
      </c>
      <c r="C246" s="228">
        <f>+E246+Z246+AF246+AK246</f>
        <v>224140282</v>
      </c>
      <c r="D246" s="126">
        <f>SUM(F246+G246+H246+I246+J246+K246+L246+M246+N246+O246+P246+Q246+R246+S246+T246+U246+V246+W246+X246+Y246+AA246+AB246+AC246+AD246+AE246+AG246+AH246+AI246+AJ246+AL246+AN246+AO246+AP246)</f>
        <v>224140282</v>
      </c>
      <c r="E246" s="127">
        <f>SUM(F246:Y246)</f>
        <v>224140282</v>
      </c>
      <c r="F246" s="128"/>
      <c r="G246" s="129"/>
      <c r="H246" s="129"/>
      <c r="I246" s="129"/>
      <c r="J246" s="129"/>
      <c r="K246" s="101"/>
      <c r="L246" s="129"/>
      <c r="M246" s="129"/>
      <c r="N246" s="129"/>
      <c r="O246" s="129"/>
      <c r="P246" s="101"/>
      <c r="Q246" s="101"/>
      <c r="R246" s="101">
        <v>224140282</v>
      </c>
      <c r="S246" s="101"/>
      <c r="T246" s="101"/>
      <c r="U246" s="101"/>
      <c r="V246" s="101"/>
      <c r="W246" s="101"/>
      <c r="X246" s="101"/>
      <c r="Y246" s="101"/>
      <c r="Z246" s="133">
        <f>SUM(AA246:AE246)</f>
        <v>0</v>
      </c>
      <c r="AA246" s="101"/>
      <c r="AB246" s="101"/>
      <c r="AC246" s="101"/>
      <c r="AD246" s="101"/>
      <c r="AE246" s="244"/>
      <c r="AF246" s="248">
        <f>SUM(AG246:AJ246)</f>
        <v>0</v>
      </c>
      <c r="AG246" s="101"/>
      <c r="AH246" s="101"/>
      <c r="AI246" s="101"/>
      <c r="AJ246" s="103"/>
      <c r="AK246" s="138">
        <f>SUM(AL246+AM246)</f>
        <v>0</v>
      </c>
      <c r="AL246" s="110"/>
      <c r="AM246" s="294">
        <f>SUM(AN246:AP246)</f>
        <v>0</v>
      </c>
      <c r="AN246" s="105"/>
      <c r="AO246" s="101"/>
      <c r="AP246" s="111"/>
      <c r="AQ246" s="66">
        <f t="shared" si="105"/>
        <v>224140282</v>
      </c>
      <c r="AR246" s="43">
        <f t="shared" si="106"/>
        <v>0</v>
      </c>
      <c r="AS246" s="44"/>
      <c r="AT246" s="44"/>
    </row>
    <row r="247" spans="1:46" x14ac:dyDescent="0.25">
      <c r="A247" s="222" t="s">
        <v>398</v>
      </c>
      <c r="B247" s="124" t="s">
        <v>399</v>
      </c>
      <c r="C247" s="228">
        <f>+E247+Z247+AF247+AK247</f>
        <v>6500000</v>
      </c>
      <c r="D247" s="126">
        <f>SUM(F247+G247+H247+I247+J247+K247+L247+M247+N247+O247+P247+Q247+R247+S247+T247+U247+V247+W247+X247+Y247+AA247+AB247+AC247+AD247+AE247+AG247+AH247+AI247+AJ247+AL247+AN247+AO247+AP247)</f>
        <v>6500000</v>
      </c>
      <c r="E247" s="127">
        <f>SUM(F247:Y247)</f>
        <v>2300000</v>
      </c>
      <c r="F247" s="128"/>
      <c r="G247" s="129"/>
      <c r="H247" s="129"/>
      <c r="I247" s="129"/>
      <c r="J247" s="129"/>
      <c r="K247" s="101"/>
      <c r="L247" s="129"/>
      <c r="M247" s="129"/>
      <c r="N247" s="129"/>
      <c r="O247" s="129"/>
      <c r="P247" s="101"/>
      <c r="Q247" s="243">
        <f>1400000-100000</f>
        <v>1300000</v>
      </c>
      <c r="R247" s="101"/>
      <c r="S247" s="101"/>
      <c r="T247" s="245">
        <v>1000000</v>
      </c>
      <c r="U247" s="101"/>
      <c r="V247" s="101"/>
      <c r="W247" s="101"/>
      <c r="X247" s="101"/>
      <c r="Y247" s="101"/>
      <c r="Z247" s="133">
        <f>SUM(AA247:AE247)</f>
        <v>0</v>
      </c>
      <c r="AA247" s="101"/>
      <c r="AB247" s="101"/>
      <c r="AC247" s="101"/>
      <c r="AD247" s="101"/>
      <c r="AE247" s="244"/>
      <c r="AF247" s="248">
        <f>SUM(AG247:AJ247)</f>
        <v>2500000</v>
      </c>
      <c r="AG247" s="101"/>
      <c r="AH247" s="101"/>
      <c r="AI247" s="101"/>
      <c r="AJ247" s="147">
        <v>2500000</v>
      </c>
      <c r="AK247" s="138">
        <f>SUM(AL247+AM247)</f>
        <v>1700000</v>
      </c>
      <c r="AL247" s="110"/>
      <c r="AM247" s="294">
        <f>SUM(AN247:AP247)</f>
        <v>1700000</v>
      </c>
      <c r="AN247" s="105"/>
      <c r="AO247" s="176">
        <v>700000</v>
      </c>
      <c r="AP247" s="245">
        <v>1000000</v>
      </c>
      <c r="AQ247" s="66">
        <f t="shared" si="105"/>
        <v>6500000</v>
      </c>
      <c r="AR247" s="43">
        <f t="shared" si="106"/>
        <v>0</v>
      </c>
      <c r="AS247" s="44"/>
      <c r="AT247" s="44"/>
    </row>
    <row r="248" spans="1:46" x14ac:dyDescent="0.25">
      <c r="A248" s="222"/>
      <c r="B248" s="124"/>
      <c r="C248" s="228"/>
      <c r="D248" s="229"/>
      <c r="E248" s="93"/>
      <c r="F248" s="128"/>
      <c r="G248" s="129"/>
      <c r="H248" s="129"/>
      <c r="I248" s="129"/>
      <c r="J248" s="129"/>
      <c r="K248" s="101"/>
      <c r="L248" s="129"/>
      <c r="M248" s="129"/>
      <c r="N248" s="129"/>
      <c r="O248" s="129"/>
      <c r="P248" s="101"/>
      <c r="Q248" s="101"/>
      <c r="R248" s="101"/>
      <c r="S248" s="101"/>
      <c r="T248" s="101"/>
      <c r="U248" s="101"/>
      <c r="V248" s="101"/>
      <c r="W248" s="101"/>
      <c r="X248" s="101"/>
      <c r="Y248" s="101"/>
      <c r="Z248" s="263"/>
      <c r="AA248" s="101"/>
      <c r="AB248" s="101"/>
      <c r="AC248" s="101"/>
      <c r="AD248" s="101"/>
      <c r="AE248" s="244"/>
      <c r="AF248" s="225" t="s">
        <v>0</v>
      </c>
      <c r="AG248" s="101"/>
      <c r="AH248" s="101"/>
      <c r="AI248" s="101"/>
      <c r="AJ248" s="103"/>
      <c r="AK248" s="164"/>
      <c r="AL248" s="110"/>
      <c r="AM248" s="288"/>
      <c r="AN248" s="105"/>
      <c r="AO248" s="101"/>
      <c r="AP248" s="111"/>
      <c r="AQ248" s="66">
        <f t="shared" si="105"/>
        <v>0</v>
      </c>
      <c r="AR248" s="43">
        <f t="shared" si="106"/>
        <v>0</v>
      </c>
      <c r="AS248" s="44"/>
      <c r="AT248" s="44"/>
    </row>
    <row r="249" spans="1:46" x14ac:dyDescent="0.25">
      <c r="A249" s="289" t="s">
        <v>400</v>
      </c>
      <c r="B249" s="154" t="s">
        <v>401</v>
      </c>
      <c r="C249" s="239">
        <f>SUM(C250)</f>
        <v>30100000</v>
      </c>
      <c r="D249" s="240">
        <f>SUM(D250)</f>
        <v>30100000</v>
      </c>
      <c r="E249" s="93">
        <f>SUM(E250)</f>
        <v>27235024</v>
      </c>
      <c r="F249" s="184">
        <f t="shared" ref="F249:AP249" si="124">F250</f>
        <v>0</v>
      </c>
      <c r="G249" s="185">
        <f t="shared" si="124"/>
        <v>0</v>
      </c>
      <c r="H249" s="185">
        <f t="shared" si="124"/>
        <v>0</v>
      </c>
      <c r="I249" s="185">
        <f t="shared" si="124"/>
        <v>0</v>
      </c>
      <c r="J249" s="185">
        <f t="shared" si="124"/>
        <v>0</v>
      </c>
      <c r="K249" s="185">
        <f t="shared" si="124"/>
        <v>0</v>
      </c>
      <c r="L249" s="185">
        <f t="shared" si="124"/>
        <v>0</v>
      </c>
      <c r="M249" s="185">
        <f t="shared" si="124"/>
        <v>0</v>
      </c>
      <c r="N249" s="185">
        <f t="shared" si="124"/>
        <v>0</v>
      </c>
      <c r="O249" s="185">
        <f t="shared" si="124"/>
        <v>0</v>
      </c>
      <c r="P249" s="185">
        <f t="shared" si="124"/>
        <v>0</v>
      </c>
      <c r="Q249" s="185">
        <f t="shared" si="124"/>
        <v>0</v>
      </c>
      <c r="R249" s="185">
        <f t="shared" si="124"/>
        <v>0</v>
      </c>
      <c r="S249" s="185">
        <f t="shared" si="124"/>
        <v>0</v>
      </c>
      <c r="T249" s="185">
        <f t="shared" si="124"/>
        <v>0</v>
      </c>
      <c r="U249" s="185">
        <f t="shared" si="124"/>
        <v>0</v>
      </c>
      <c r="V249" s="185">
        <f t="shared" si="124"/>
        <v>0</v>
      </c>
      <c r="W249" s="185">
        <f>SUM(W250)</f>
        <v>27235024</v>
      </c>
      <c r="X249" s="185">
        <f t="shared" si="124"/>
        <v>0</v>
      </c>
      <c r="Y249" s="185">
        <f t="shared" si="124"/>
        <v>0</v>
      </c>
      <c r="Z249" s="217">
        <f>SUM(Z250)</f>
        <v>0</v>
      </c>
      <c r="AA249" s="185">
        <f t="shared" si="124"/>
        <v>0</v>
      </c>
      <c r="AB249" s="185">
        <f t="shared" si="124"/>
        <v>0</v>
      </c>
      <c r="AC249" s="185">
        <f t="shared" si="124"/>
        <v>0</v>
      </c>
      <c r="AD249" s="185">
        <f t="shared" si="124"/>
        <v>0</v>
      </c>
      <c r="AE249" s="188">
        <f t="shared" si="124"/>
        <v>0</v>
      </c>
      <c r="AF249" s="225">
        <f>SUM(AF250)</f>
        <v>0</v>
      </c>
      <c r="AG249" s="185">
        <f t="shared" si="124"/>
        <v>0</v>
      </c>
      <c r="AH249" s="185">
        <f t="shared" si="124"/>
        <v>0</v>
      </c>
      <c r="AI249" s="185">
        <f t="shared" si="124"/>
        <v>0</v>
      </c>
      <c r="AJ249" s="186">
        <f t="shared" si="124"/>
        <v>0</v>
      </c>
      <c r="AK249" s="164">
        <f>SUM(AK250)</f>
        <v>2864976</v>
      </c>
      <c r="AL249" s="191">
        <f t="shared" si="124"/>
        <v>2864976</v>
      </c>
      <c r="AM249" s="164">
        <f>SUM(AM250)</f>
        <v>0</v>
      </c>
      <c r="AN249" s="184">
        <f t="shared" si="124"/>
        <v>0</v>
      </c>
      <c r="AO249" s="185">
        <f t="shared" si="124"/>
        <v>0</v>
      </c>
      <c r="AP249" s="252">
        <f t="shared" si="124"/>
        <v>0</v>
      </c>
      <c r="AQ249" s="66">
        <f t="shared" si="105"/>
        <v>30100000</v>
      </c>
      <c r="AR249" s="43">
        <f t="shared" si="106"/>
        <v>0</v>
      </c>
      <c r="AS249" s="44"/>
      <c r="AT249" s="44"/>
    </row>
    <row r="250" spans="1:46" x14ac:dyDescent="0.25">
      <c r="A250" s="222" t="s">
        <v>402</v>
      </c>
      <c r="B250" s="124" t="s">
        <v>403</v>
      </c>
      <c r="C250" s="228">
        <f>+E250+Z250+AF250+AK250</f>
        <v>30100000</v>
      </c>
      <c r="D250" s="126">
        <f>SUM(F250+G250+H250+I250+J250+K250+L250+M250+N250+O250+P250+Q250+R250+S250+T250+U250+V250+W250+X250+Y250+AA250+AB250+AC250+AD250+AE250+AG250+AH250+AI250+AJ250+AL250+AN250+AO250+AP250)</f>
        <v>30100000</v>
      </c>
      <c r="E250" s="127">
        <f>SUM(F250:Y250)</f>
        <v>27235024</v>
      </c>
      <c r="F250" s="128"/>
      <c r="G250" s="129"/>
      <c r="H250" s="129"/>
      <c r="I250" s="129"/>
      <c r="J250" s="129"/>
      <c r="K250" s="101"/>
      <c r="L250" s="129"/>
      <c r="M250" s="129"/>
      <c r="N250" s="129"/>
      <c r="O250" s="129"/>
      <c r="P250" s="101"/>
      <c r="Q250" s="101"/>
      <c r="R250" s="101"/>
      <c r="S250" s="101"/>
      <c r="T250" s="101"/>
      <c r="U250" s="101"/>
      <c r="V250" s="101"/>
      <c r="W250" s="101">
        <f>30000000-'[2]Costeo SAP'!I27+100000</f>
        <v>27235024</v>
      </c>
      <c r="X250" s="101"/>
      <c r="Y250" s="101"/>
      <c r="Z250" s="133">
        <f>SUM(AA250:AE250)</f>
        <v>0</v>
      </c>
      <c r="AA250" s="101"/>
      <c r="AB250" s="101"/>
      <c r="AC250" s="101"/>
      <c r="AD250" s="101"/>
      <c r="AE250" s="244"/>
      <c r="AF250" s="248">
        <f>SUM(AG250:AJ250)</f>
        <v>0</v>
      </c>
      <c r="AG250" s="101"/>
      <c r="AH250" s="101"/>
      <c r="AI250" s="101"/>
      <c r="AJ250" s="103"/>
      <c r="AK250" s="138">
        <f>SUM(AL250+AM250)</f>
        <v>2864976</v>
      </c>
      <c r="AL250" s="110">
        <f>+'[2]Costeo SAP'!I27</f>
        <v>2864976</v>
      </c>
      <c r="AM250" s="294">
        <f>SUM(AN250:AP250)</f>
        <v>0</v>
      </c>
      <c r="AN250" s="105"/>
      <c r="AO250" s="101"/>
      <c r="AP250" s="111"/>
      <c r="AQ250" s="66">
        <f t="shared" si="105"/>
        <v>30100000</v>
      </c>
      <c r="AR250" s="43">
        <f t="shared" si="106"/>
        <v>0</v>
      </c>
      <c r="AS250" s="44"/>
      <c r="AT250" s="44"/>
    </row>
    <row r="251" spans="1:46" x14ac:dyDescent="0.25">
      <c r="A251" s="222"/>
      <c r="B251" s="124"/>
      <c r="C251" s="228"/>
      <c r="D251" s="98">
        <f>+F251+G251+I251+J251+K251+L251+M251+N251+O251+P251+Q251+R251+S251+T251+U251+V251+W251+X251+Y251+AA251+AB251+AC251+AD251+AE251+AG251+AH251+AI251+AJ251+AL251+AN251+AO251+AP251</f>
        <v>0</v>
      </c>
      <c r="E251" s="93"/>
      <c r="F251" s="128"/>
      <c r="G251" s="129"/>
      <c r="H251" s="129"/>
      <c r="I251" s="129"/>
      <c r="J251" s="129"/>
      <c r="K251" s="101"/>
      <c r="L251" s="129"/>
      <c r="M251" s="129"/>
      <c r="N251" s="129"/>
      <c r="O251" s="129"/>
      <c r="P251" s="101"/>
      <c r="Q251" s="101"/>
      <c r="R251" s="101"/>
      <c r="S251" s="101"/>
      <c r="T251" s="101"/>
      <c r="U251" s="101"/>
      <c r="V251" s="101"/>
      <c r="W251" s="101"/>
      <c r="X251" s="101"/>
      <c r="Y251" s="101"/>
      <c r="Z251" s="263"/>
      <c r="AA251" s="101"/>
      <c r="AB251" s="101"/>
      <c r="AC251" s="101"/>
      <c r="AD251" s="101"/>
      <c r="AE251" s="244"/>
      <c r="AF251" s="225" t="s">
        <v>0</v>
      </c>
      <c r="AG251" s="101"/>
      <c r="AH251" s="101"/>
      <c r="AI251" s="101"/>
      <c r="AJ251" s="103"/>
      <c r="AK251" s="164"/>
      <c r="AL251" s="110"/>
      <c r="AM251" s="164"/>
      <c r="AN251" s="105"/>
      <c r="AO251" s="101"/>
      <c r="AP251" s="111"/>
      <c r="AQ251" s="66">
        <f t="shared" si="105"/>
        <v>0</v>
      </c>
      <c r="AR251" s="43">
        <f t="shared" si="106"/>
        <v>0</v>
      </c>
      <c r="AS251" s="44"/>
      <c r="AT251" s="44"/>
    </row>
    <row r="252" spans="1:46" x14ac:dyDescent="0.25">
      <c r="A252" s="289">
        <v>7</v>
      </c>
      <c r="B252" s="154" t="s">
        <v>404</v>
      </c>
      <c r="C252" s="319">
        <f>SUM(C254+C257)</f>
        <v>4900696878.1399994</v>
      </c>
      <c r="D252" s="240">
        <f>SUM(D254+D257)</f>
        <v>4900696878.1399994</v>
      </c>
      <c r="E252" s="202">
        <f>+E254+E257</f>
        <v>0</v>
      </c>
      <c r="F252" s="203">
        <f>F257</f>
        <v>0</v>
      </c>
      <c r="G252" s="204">
        <f>G257</f>
        <v>0</v>
      </c>
      <c r="H252" s="204">
        <f>H257</f>
        <v>0</v>
      </c>
      <c r="I252" s="204">
        <f>I257</f>
        <v>0</v>
      </c>
      <c r="J252" s="204">
        <f>J257</f>
        <v>0</v>
      </c>
      <c r="K252" s="204">
        <f>+K254+K257</f>
        <v>0</v>
      </c>
      <c r="L252" s="204">
        <f>L257</f>
        <v>0</v>
      </c>
      <c r="M252" s="204">
        <f>M257</f>
        <v>0</v>
      </c>
      <c r="N252" s="204">
        <f>N257</f>
        <v>0</v>
      </c>
      <c r="O252" s="204">
        <f>O257</f>
        <v>0</v>
      </c>
      <c r="P252" s="204">
        <f t="shared" ref="P252:AA252" si="125">+P254+P257</f>
        <v>0</v>
      </c>
      <c r="Q252" s="204">
        <f t="shared" si="125"/>
        <v>0</v>
      </c>
      <c r="R252" s="204">
        <f t="shared" si="125"/>
        <v>0</v>
      </c>
      <c r="S252" s="204">
        <f t="shared" si="125"/>
        <v>0</v>
      </c>
      <c r="T252" s="204">
        <f t="shared" si="125"/>
        <v>0</v>
      </c>
      <c r="U252" s="204">
        <f t="shared" si="125"/>
        <v>0</v>
      </c>
      <c r="V252" s="204">
        <f>+V254+V257</f>
        <v>0</v>
      </c>
      <c r="W252" s="204">
        <f>+W254+W257</f>
        <v>0</v>
      </c>
      <c r="X252" s="204">
        <f>+X254+X257</f>
        <v>0</v>
      </c>
      <c r="Y252" s="204">
        <f>+Y254+Y257</f>
        <v>0</v>
      </c>
      <c r="Z252" s="206">
        <f t="shared" si="125"/>
        <v>0</v>
      </c>
      <c r="AA252" s="204">
        <f t="shared" si="125"/>
        <v>0</v>
      </c>
      <c r="AB252" s="204">
        <f>+AB254+AB257</f>
        <v>0</v>
      </c>
      <c r="AC252" s="204">
        <f>+AC254+AC257</f>
        <v>0</v>
      </c>
      <c r="AD252" s="204">
        <f>+AD254+AD257</f>
        <v>0</v>
      </c>
      <c r="AE252" s="204">
        <f>+AE254+AE257</f>
        <v>0</v>
      </c>
      <c r="AF252" s="225">
        <f>SUM(AF254+AF257)</f>
        <v>4900696878.1399994</v>
      </c>
      <c r="AG252" s="204">
        <f>+AG254+AG257</f>
        <v>0</v>
      </c>
      <c r="AH252" s="204">
        <f>SUM(AH254+AH257)</f>
        <v>184636685.74000001</v>
      </c>
      <c r="AI252" s="204">
        <f>SUM(AI254+AI257)</f>
        <v>2851580192.4000001</v>
      </c>
      <c r="AJ252" s="205">
        <f>SUM(AJ254+AJ257)</f>
        <v>1864480000</v>
      </c>
      <c r="AK252" s="164">
        <f>AK254+AK257</f>
        <v>0</v>
      </c>
      <c r="AL252" s="280">
        <f>+AL254+AL257</f>
        <v>0</v>
      </c>
      <c r="AM252" s="164">
        <f>AM254+AM257</f>
        <v>0</v>
      </c>
      <c r="AN252" s="203">
        <f>+AN254+AN257</f>
        <v>0</v>
      </c>
      <c r="AO252" s="204">
        <f>+AO254+AO257</f>
        <v>0</v>
      </c>
      <c r="AP252" s="281">
        <f>+AP254+AP257</f>
        <v>0</v>
      </c>
      <c r="AQ252" s="66">
        <f t="shared" si="105"/>
        <v>4900696878.1400003</v>
      </c>
      <c r="AR252" s="43">
        <f t="shared" si="106"/>
        <v>0</v>
      </c>
      <c r="AS252" s="44"/>
      <c r="AT252" s="44"/>
    </row>
    <row r="253" spans="1:46" x14ac:dyDescent="0.25">
      <c r="A253" s="222"/>
      <c r="B253" s="124"/>
      <c r="C253" s="228"/>
      <c r="D253" s="229"/>
      <c r="E253" s="93"/>
      <c r="F253" s="128"/>
      <c r="G253" s="129"/>
      <c r="H253" s="129"/>
      <c r="I253" s="129"/>
      <c r="J253" s="129"/>
      <c r="K253" s="101"/>
      <c r="L253" s="129"/>
      <c r="M253" s="129"/>
      <c r="N253" s="129"/>
      <c r="O253" s="129"/>
      <c r="P253" s="101"/>
      <c r="Q253" s="101"/>
      <c r="R253" s="101"/>
      <c r="S253" s="101"/>
      <c r="T253" s="101"/>
      <c r="U253" s="101"/>
      <c r="V253" s="101"/>
      <c r="W253" s="101"/>
      <c r="X253" s="101"/>
      <c r="Y253" s="101"/>
      <c r="Z253" s="263"/>
      <c r="AA253" s="101"/>
      <c r="AB253" s="101"/>
      <c r="AC253" s="101"/>
      <c r="AD253" s="101"/>
      <c r="AE253" s="244"/>
      <c r="AF253" s="225" t="s">
        <v>0</v>
      </c>
      <c r="AG253" s="101"/>
      <c r="AH253" s="101"/>
      <c r="AI253" s="101"/>
      <c r="AJ253" s="103"/>
      <c r="AK253" s="164"/>
      <c r="AL253" s="110"/>
      <c r="AM253" s="164"/>
      <c r="AN253" s="105"/>
      <c r="AO253" s="101"/>
      <c r="AP253" s="111"/>
      <c r="AQ253" s="66">
        <f t="shared" si="105"/>
        <v>0</v>
      </c>
      <c r="AR253" s="43">
        <f t="shared" si="106"/>
        <v>0</v>
      </c>
      <c r="AS253" s="44"/>
      <c r="AT253" s="44"/>
    </row>
    <row r="254" spans="1:46" x14ac:dyDescent="0.25">
      <c r="A254" s="250" t="s">
        <v>405</v>
      </c>
      <c r="B254" s="154" t="s">
        <v>406</v>
      </c>
      <c r="C254" s="239">
        <f>SUM(C255:C255)</f>
        <v>37110192.399999999</v>
      </c>
      <c r="D254" s="240">
        <f>SUM(D255)</f>
        <v>37110192.399999999</v>
      </c>
      <c r="E254" s="320">
        <f>SUM(E255)</f>
        <v>0</v>
      </c>
      <c r="F254" s="105">
        <f t="shared" ref="F254:P254" si="126">SUM(F255)</f>
        <v>0</v>
      </c>
      <c r="G254" s="101">
        <f t="shared" si="126"/>
        <v>0</v>
      </c>
      <c r="H254" s="101">
        <f t="shared" si="126"/>
        <v>0</v>
      </c>
      <c r="I254" s="101">
        <f t="shared" si="126"/>
        <v>0</v>
      </c>
      <c r="J254" s="101">
        <f t="shared" si="126"/>
        <v>0</v>
      </c>
      <c r="K254" s="101">
        <f t="shared" si="126"/>
        <v>0</v>
      </c>
      <c r="L254" s="101">
        <f t="shared" si="126"/>
        <v>0</v>
      </c>
      <c r="M254" s="101">
        <f t="shared" si="126"/>
        <v>0</v>
      </c>
      <c r="N254" s="101">
        <f t="shared" si="126"/>
        <v>0</v>
      </c>
      <c r="O254" s="101">
        <f t="shared" si="126"/>
        <v>0</v>
      </c>
      <c r="P254" s="101">
        <f t="shared" si="126"/>
        <v>0</v>
      </c>
      <c r="Q254" s="101">
        <f>SUM(Q255)</f>
        <v>0</v>
      </c>
      <c r="R254" s="101">
        <f t="shared" ref="R254:AP254" si="127">SUM(R255)</f>
        <v>0</v>
      </c>
      <c r="S254" s="101">
        <f t="shared" si="127"/>
        <v>0</v>
      </c>
      <c r="T254" s="101">
        <f t="shared" si="127"/>
        <v>0</v>
      </c>
      <c r="U254" s="101">
        <f t="shared" si="127"/>
        <v>0</v>
      </c>
      <c r="V254" s="101">
        <f t="shared" si="127"/>
        <v>0</v>
      </c>
      <c r="W254" s="101">
        <f t="shared" si="127"/>
        <v>0</v>
      </c>
      <c r="X254" s="101">
        <f t="shared" si="127"/>
        <v>0</v>
      </c>
      <c r="Y254" s="101">
        <f t="shared" si="127"/>
        <v>0</v>
      </c>
      <c r="Z254" s="206">
        <f>SUM(Z255)</f>
        <v>0</v>
      </c>
      <c r="AA254" s="101">
        <f t="shared" si="127"/>
        <v>0</v>
      </c>
      <c r="AB254" s="101">
        <f t="shared" si="127"/>
        <v>0</v>
      </c>
      <c r="AC254" s="101">
        <f t="shared" si="127"/>
        <v>0</v>
      </c>
      <c r="AD254" s="101">
        <f t="shared" si="127"/>
        <v>0</v>
      </c>
      <c r="AE254" s="244">
        <f t="shared" si="127"/>
        <v>0</v>
      </c>
      <c r="AF254" s="225">
        <f>SUM(AF255)</f>
        <v>37110192.399999999</v>
      </c>
      <c r="AG254" s="101">
        <f t="shared" si="127"/>
        <v>0</v>
      </c>
      <c r="AH254" s="231">
        <f t="shared" si="127"/>
        <v>5000000</v>
      </c>
      <c r="AI254" s="101">
        <f t="shared" si="127"/>
        <v>27110192.399999999</v>
      </c>
      <c r="AJ254" s="233">
        <f t="shared" si="127"/>
        <v>5000000</v>
      </c>
      <c r="AK254" s="164">
        <f>SUM(AK255:AK255)</f>
        <v>0</v>
      </c>
      <c r="AL254" s="110">
        <f t="shared" si="127"/>
        <v>0</v>
      </c>
      <c r="AM254" s="164">
        <f>SUM(AM255:AM255)</f>
        <v>0</v>
      </c>
      <c r="AN254" s="105">
        <f t="shared" si="127"/>
        <v>0</v>
      </c>
      <c r="AO254" s="101">
        <f t="shared" si="127"/>
        <v>0</v>
      </c>
      <c r="AP254" s="111">
        <f t="shared" si="127"/>
        <v>0</v>
      </c>
      <c r="AQ254" s="66">
        <f t="shared" si="105"/>
        <v>37110192.399999999</v>
      </c>
      <c r="AR254" s="43">
        <f t="shared" si="106"/>
        <v>0</v>
      </c>
      <c r="AS254" s="44"/>
      <c r="AT254" s="44"/>
    </row>
    <row r="255" spans="1:46" x14ac:dyDescent="0.25">
      <c r="A255" s="222" t="s">
        <v>407</v>
      </c>
      <c r="B255" s="321" t="s">
        <v>408</v>
      </c>
      <c r="C255" s="228">
        <f>+E255+Z255+AF255+AK255</f>
        <v>37110192.399999999</v>
      </c>
      <c r="D255" s="126">
        <f>SUM(F255+G255+H255+I255+J255+K255+L255+M255+N255+O255+P255+Q255+R255+S255+T255+U255+V255+W255+X255+Y255+AA255+AB255+AC255+AD255+AE255+AG255+AH255+AI255+AJ255+AL255+AN255+AO255+AP255)</f>
        <v>37110192.399999999</v>
      </c>
      <c r="E255" s="127">
        <f>SUM(F255:Y255)</f>
        <v>0</v>
      </c>
      <c r="F255" s="128"/>
      <c r="G255" s="129"/>
      <c r="H255" s="129"/>
      <c r="I255" s="129"/>
      <c r="J255" s="129"/>
      <c r="K255" s="101"/>
      <c r="L255" s="129"/>
      <c r="M255" s="129"/>
      <c r="N255" s="129"/>
      <c r="O255" s="129"/>
      <c r="P255" s="101"/>
      <c r="Q255" s="101"/>
      <c r="R255" s="101"/>
      <c r="S255" s="101"/>
      <c r="T255" s="101"/>
      <c r="U255" s="101"/>
      <c r="V255" s="101"/>
      <c r="W255" s="101"/>
      <c r="X255" s="101"/>
      <c r="Y255" s="101"/>
      <c r="Z255" s="133">
        <f>SUM(AA255:AE255)</f>
        <v>0</v>
      </c>
      <c r="AA255" s="101"/>
      <c r="AB255" s="101"/>
      <c r="AC255" s="101"/>
      <c r="AD255" s="101"/>
      <c r="AE255" s="244"/>
      <c r="AF255" s="248">
        <f>SUM(AG255:AJ255)</f>
        <v>37110192.399999999</v>
      </c>
      <c r="AG255" s="101"/>
      <c r="AH255" s="147">
        <f>+'[7]RESUMEN 2021'!$E$26</f>
        <v>5000000</v>
      </c>
      <c r="AI255" s="148">
        <f>15000000+5000000+7110192.4</f>
        <v>27110192.399999999</v>
      </c>
      <c r="AJ255" s="148">
        <v>5000000</v>
      </c>
      <c r="AK255" s="138">
        <f>SUM(AL255+AM255)</f>
        <v>0</v>
      </c>
      <c r="AL255" s="110"/>
      <c r="AM255" s="294">
        <f>SUM(AN255:AP255)</f>
        <v>0</v>
      </c>
      <c r="AN255" s="105"/>
      <c r="AO255" s="101"/>
      <c r="AP255" s="111"/>
      <c r="AQ255" s="66">
        <f t="shared" si="105"/>
        <v>37110192.399999999</v>
      </c>
      <c r="AR255" s="43">
        <f t="shared" si="106"/>
        <v>0</v>
      </c>
      <c r="AS255" s="44"/>
      <c r="AT255" s="44"/>
    </row>
    <row r="256" spans="1:46" x14ac:dyDescent="0.25">
      <c r="A256" s="250"/>
      <c r="B256" s="124"/>
      <c r="C256" s="228"/>
      <c r="D256" s="229"/>
      <c r="E256" s="93"/>
      <c r="F256" s="128"/>
      <c r="G256" s="129"/>
      <c r="H256" s="129"/>
      <c r="I256" s="129"/>
      <c r="J256" s="129"/>
      <c r="K256" s="101"/>
      <c r="L256" s="129"/>
      <c r="M256" s="129"/>
      <c r="N256" s="129"/>
      <c r="O256" s="129"/>
      <c r="P256" s="101"/>
      <c r="Q256" s="101"/>
      <c r="R256" s="101"/>
      <c r="S256" s="101"/>
      <c r="T256" s="101"/>
      <c r="U256" s="101"/>
      <c r="V256" s="101"/>
      <c r="W256" s="101"/>
      <c r="X256" s="101"/>
      <c r="Y256" s="101"/>
      <c r="Z256" s="263"/>
      <c r="AA256" s="101"/>
      <c r="AB256" s="101"/>
      <c r="AC256" s="101"/>
      <c r="AD256" s="101"/>
      <c r="AE256" s="244"/>
      <c r="AF256" s="225" t="s">
        <v>0</v>
      </c>
      <c r="AG256" s="101"/>
      <c r="AH256" s="101"/>
      <c r="AI256" s="101"/>
      <c r="AJ256" s="103"/>
      <c r="AK256" s="164"/>
      <c r="AL256" s="110"/>
      <c r="AM256" s="164"/>
      <c r="AN256" s="105"/>
      <c r="AO256" s="101"/>
      <c r="AP256" s="111"/>
      <c r="AQ256" s="66">
        <f t="shared" si="105"/>
        <v>0</v>
      </c>
      <c r="AR256" s="43">
        <f t="shared" si="106"/>
        <v>0</v>
      </c>
      <c r="AS256" s="44"/>
      <c r="AT256" s="44"/>
    </row>
    <row r="257" spans="1:46" x14ac:dyDescent="0.25">
      <c r="A257" s="250" t="s">
        <v>409</v>
      </c>
      <c r="B257" s="154" t="s">
        <v>410</v>
      </c>
      <c r="C257" s="239">
        <f>SUM(C258:C261)</f>
        <v>4863586685.7399998</v>
      </c>
      <c r="D257" s="240">
        <f>SUM(D258:D261)</f>
        <v>4863586685.7399998</v>
      </c>
      <c r="E257" s="93">
        <f>SUM(E258:E260)</f>
        <v>0</v>
      </c>
      <c r="F257" s="184">
        <f t="shared" ref="F257:AO257" si="128">F258</f>
        <v>0</v>
      </c>
      <c r="G257" s="185">
        <f t="shared" si="128"/>
        <v>0</v>
      </c>
      <c r="H257" s="185">
        <f t="shared" si="128"/>
        <v>0</v>
      </c>
      <c r="I257" s="185">
        <f t="shared" si="128"/>
        <v>0</v>
      </c>
      <c r="J257" s="185">
        <f t="shared" si="128"/>
        <v>0</v>
      </c>
      <c r="K257" s="185">
        <f t="shared" si="128"/>
        <v>0</v>
      </c>
      <c r="L257" s="185">
        <f t="shared" si="128"/>
        <v>0</v>
      </c>
      <c r="M257" s="185">
        <f t="shared" si="128"/>
        <v>0</v>
      </c>
      <c r="N257" s="185">
        <f t="shared" si="128"/>
        <v>0</v>
      </c>
      <c r="O257" s="185">
        <f t="shared" si="128"/>
        <v>0</v>
      </c>
      <c r="P257" s="185">
        <f t="shared" si="128"/>
        <v>0</v>
      </c>
      <c r="Q257" s="185">
        <f t="shared" si="128"/>
        <v>0</v>
      </c>
      <c r="R257" s="185">
        <f t="shared" si="128"/>
        <v>0</v>
      </c>
      <c r="S257" s="185">
        <f t="shared" si="128"/>
        <v>0</v>
      </c>
      <c r="T257" s="185">
        <f t="shared" si="128"/>
        <v>0</v>
      </c>
      <c r="U257" s="185">
        <f t="shared" si="128"/>
        <v>0</v>
      </c>
      <c r="V257" s="185">
        <f t="shared" si="128"/>
        <v>0</v>
      </c>
      <c r="W257" s="185">
        <f t="shared" si="128"/>
        <v>0</v>
      </c>
      <c r="X257" s="185">
        <f t="shared" si="128"/>
        <v>0</v>
      </c>
      <c r="Y257" s="185">
        <f t="shared" si="128"/>
        <v>0</v>
      </c>
      <c r="Z257" s="217">
        <f>SUM(Z258:Z260)</f>
        <v>0</v>
      </c>
      <c r="AA257" s="185">
        <f t="shared" si="128"/>
        <v>0</v>
      </c>
      <c r="AB257" s="185">
        <f t="shared" si="128"/>
        <v>0</v>
      </c>
      <c r="AC257" s="185">
        <f t="shared" si="128"/>
        <v>0</v>
      </c>
      <c r="AD257" s="185">
        <f t="shared" si="128"/>
        <v>0</v>
      </c>
      <c r="AE257" s="188">
        <f t="shared" si="128"/>
        <v>0</v>
      </c>
      <c r="AF257" s="225">
        <f>SUM(AF258:AF261)</f>
        <v>4863586685.7399998</v>
      </c>
      <c r="AG257" s="185">
        <f t="shared" si="128"/>
        <v>0</v>
      </c>
      <c r="AH257" s="185">
        <f>SUM(AH258:AH261)</f>
        <v>179636685.74000001</v>
      </c>
      <c r="AI257" s="185">
        <f>SUM(AI258:AI261)</f>
        <v>2824470000</v>
      </c>
      <c r="AJ257" s="186">
        <f>SUM(AJ258:AJ261)</f>
        <v>1859480000</v>
      </c>
      <c r="AK257" s="164">
        <f>SUM(AK258:AK259)</f>
        <v>0</v>
      </c>
      <c r="AL257" s="191">
        <f t="shared" si="128"/>
        <v>0</v>
      </c>
      <c r="AM257" s="164">
        <f>SUM(AM258:AM260)</f>
        <v>0</v>
      </c>
      <c r="AN257" s="184">
        <f t="shared" si="128"/>
        <v>0</v>
      </c>
      <c r="AO257" s="185">
        <f t="shared" si="128"/>
        <v>0</v>
      </c>
      <c r="AP257" s="252">
        <f>SUM(AP258:AP259)</f>
        <v>0</v>
      </c>
      <c r="AQ257" s="66">
        <f t="shared" si="105"/>
        <v>4863586685.7399998</v>
      </c>
      <c r="AR257" s="43">
        <f t="shared" si="106"/>
        <v>0</v>
      </c>
      <c r="AS257" s="44"/>
      <c r="AT257" s="44"/>
    </row>
    <row r="258" spans="1:46" x14ac:dyDescent="0.25">
      <c r="A258" s="222" t="s">
        <v>411</v>
      </c>
      <c r="B258" s="124" t="s">
        <v>412</v>
      </c>
      <c r="C258" s="322">
        <f>+E258+Z258+AF258+AK258</f>
        <v>516470000</v>
      </c>
      <c r="D258" s="126">
        <f>SUM(F258+G258+H258+I258+J258+K258+L258+M258+N258+O258+P258+Q258+R258+S258+T258+U258+V258+W258+X258+Y258+AA258+AB258+AC258+AD258+AE258+AG258+AH258+AI258+AJ258+AL258+AN258+AO258+AP258)</f>
        <v>516470000</v>
      </c>
      <c r="E258" s="127">
        <f>SUM(F258:Y258)</f>
        <v>0</v>
      </c>
      <c r="F258" s="128"/>
      <c r="G258" s="129"/>
      <c r="H258" s="129"/>
      <c r="I258" s="129"/>
      <c r="J258" s="129"/>
      <c r="K258" s="101"/>
      <c r="L258" s="129"/>
      <c r="M258" s="129"/>
      <c r="N258" s="129"/>
      <c r="O258" s="129"/>
      <c r="P258" s="101"/>
      <c r="Q258" s="101"/>
      <c r="R258" s="101"/>
      <c r="S258" s="101"/>
      <c r="T258" s="101"/>
      <c r="U258" s="101"/>
      <c r="V258" s="101"/>
      <c r="W258" s="101"/>
      <c r="X258" s="101"/>
      <c r="Y258" s="101"/>
      <c r="Z258" s="232">
        <f>SUM(AA258:AE258)</f>
        <v>0</v>
      </c>
      <c r="AA258" s="101"/>
      <c r="AB258" s="101"/>
      <c r="AC258" s="101"/>
      <c r="AD258" s="101"/>
      <c r="AE258" s="244"/>
      <c r="AF258" s="225">
        <f>SUM(AG258:AJ258)</f>
        <v>516470000</v>
      </c>
      <c r="AG258" s="101"/>
      <c r="AH258" s="101"/>
      <c r="AI258" s="148">
        <f>20000000+496470000</f>
        <v>516470000</v>
      </c>
      <c r="AJ258" s="103"/>
      <c r="AK258" s="138">
        <f>SUM(AL258+AM258)</f>
        <v>0</v>
      </c>
      <c r="AL258" s="110"/>
      <c r="AM258" s="294">
        <f>SUM(AN258:AP258)</f>
        <v>0</v>
      </c>
      <c r="AN258" s="105"/>
      <c r="AO258" s="101"/>
      <c r="AP258" s="111"/>
      <c r="AQ258" s="66">
        <f t="shared" si="105"/>
        <v>516470000</v>
      </c>
      <c r="AR258" s="43">
        <f t="shared" si="106"/>
        <v>0</v>
      </c>
      <c r="AS258" s="44"/>
      <c r="AT258" s="44"/>
    </row>
    <row r="259" spans="1:46" x14ac:dyDescent="0.25">
      <c r="A259" s="222" t="s">
        <v>413</v>
      </c>
      <c r="B259" s="124" t="s">
        <v>414</v>
      </c>
      <c r="C259" s="322">
        <f>+E259+Z259+AF259+AK259</f>
        <v>2308000000</v>
      </c>
      <c r="D259" s="126">
        <f>SUM(F259+G259+H259+I259+J259+K259+L259+M259+N259+O259+P259+Q259+R259+S259+T259+U259+V259+W259+X259+Y259+AA259+AB259+AC259+AD259+AE259+AG259+AH259+AI259+AJ259+AL259+AN259+AO259+AP259)</f>
        <v>2308000000</v>
      </c>
      <c r="E259" s="127">
        <f>SUM(F259:Y259)</f>
        <v>0</v>
      </c>
      <c r="F259" s="128"/>
      <c r="G259" s="129"/>
      <c r="H259" s="129"/>
      <c r="I259" s="129"/>
      <c r="J259" s="129"/>
      <c r="K259" s="101"/>
      <c r="L259" s="129"/>
      <c r="M259" s="129"/>
      <c r="N259" s="129"/>
      <c r="O259" s="129"/>
      <c r="P259" s="101"/>
      <c r="Q259" s="101"/>
      <c r="R259" s="101"/>
      <c r="S259" s="101"/>
      <c r="T259" s="101"/>
      <c r="U259" s="101"/>
      <c r="V259" s="101"/>
      <c r="W259" s="101"/>
      <c r="X259" s="101"/>
      <c r="Y259" s="101"/>
      <c r="Z259" s="232">
        <f>SUM(AA259:AE259)</f>
        <v>0</v>
      </c>
      <c r="AA259" s="101"/>
      <c r="AB259" s="101"/>
      <c r="AC259" s="101"/>
      <c r="AD259" s="101"/>
      <c r="AE259" s="244"/>
      <c r="AF259" s="225">
        <f>SUM(AG259:AJ259)</f>
        <v>2308000000</v>
      </c>
      <c r="AG259" s="101"/>
      <c r="AH259" s="101"/>
      <c r="AI259" s="148">
        <f>40000000+2268000000</f>
        <v>2308000000</v>
      </c>
      <c r="AJ259" s="103"/>
      <c r="AK259" s="136">
        <f>SUM(AL259+AM259)</f>
        <v>0</v>
      </c>
      <c r="AL259" s="110"/>
      <c r="AM259" s="294">
        <f>SUM(AN259:AP259)</f>
        <v>0</v>
      </c>
      <c r="AN259" s="105"/>
      <c r="AO259" s="101"/>
      <c r="AP259" s="111"/>
      <c r="AQ259" s="66">
        <f t="shared" si="105"/>
        <v>2308000000</v>
      </c>
      <c r="AR259" s="43">
        <f t="shared" si="106"/>
        <v>0</v>
      </c>
      <c r="AS259" s="44"/>
      <c r="AT259" s="44"/>
    </row>
    <row r="260" spans="1:46" x14ac:dyDescent="0.25">
      <c r="A260" s="222" t="s">
        <v>415</v>
      </c>
      <c r="B260" s="124" t="s">
        <v>416</v>
      </c>
      <c r="C260" s="322">
        <f>+E260+Z260+AF260+AK260</f>
        <v>179636685.74000001</v>
      </c>
      <c r="D260" s="126">
        <f>SUM(F260+G260+H260+I260+J260+K260+L260+M260+N260+O260+P260+Q260+R260+S260+T260+U260+V260+W260+X260+Y260+AA260+AB260+AC260+AD260+AE260+AG260+AH260+AI260+AJ260+AL260+AN260+AO260+AP260)</f>
        <v>179636685.74000001</v>
      </c>
      <c r="E260" s="127">
        <f>SUM(F260:Y260)</f>
        <v>0</v>
      </c>
      <c r="F260" s="99"/>
      <c r="G260" s="100"/>
      <c r="H260" s="100"/>
      <c r="I260" s="100"/>
      <c r="J260" s="100"/>
      <c r="K260" s="101"/>
      <c r="L260" s="100"/>
      <c r="M260" s="100"/>
      <c r="N260" s="100"/>
      <c r="O260" s="100"/>
      <c r="P260" s="323"/>
      <c r="Q260" s="101"/>
      <c r="R260" s="101"/>
      <c r="S260" s="101"/>
      <c r="T260" s="101"/>
      <c r="U260" s="101"/>
      <c r="V260" s="101"/>
      <c r="W260" s="101"/>
      <c r="X260" s="101"/>
      <c r="Y260" s="101"/>
      <c r="Z260" s="232"/>
      <c r="AA260" s="101"/>
      <c r="AB260" s="101"/>
      <c r="AC260" s="101"/>
      <c r="AD260" s="101"/>
      <c r="AE260" s="244"/>
      <c r="AF260" s="248">
        <f>SUM(AG260:AJ260)</f>
        <v>179636685.74000001</v>
      </c>
      <c r="AG260" s="101"/>
      <c r="AH260" s="147">
        <v>179636685.74000001</v>
      </c>
      <c r="AI260" s="101"/>
      <c r="AJ260" s="103"/>
      <c r="AK260" s="164"/>
      <c r="AL260" s="110"/>
      <c r="AM260" s="294">
        <f>SUM(AN260:AP260)</f>
        <v>0</v>
      </c>
      <c r="AN260" s="105"/>
      <c r="AO260" s="101"/>
      <c r="AP260" s="111"/>
      <c r="AQ260" s="66">
        <f t="shared" si="105"/>
        <v>179636685.74000001</v>
      </c>
      <c r="AR260" s="43">
        <f t="shared" si="106"/>
        <v>0</v>
      </c>
      <c r="AS260" s="44"/>
      <c r="AT260" s="44"/>
    </row>
    <row r="261" spans="1:46" x14ac:dyDescent="0.25">
      <c r="A261" s="222" t="s">
        <v>417</v>
      </c>
      <c r="B261" s="124" t="s">
        <v>418</v>
      </c>
      <c r="C261" s="322">
        <f>+E261+Z261+AF261+AK261</f>
        <v>1859480000</v>
      </c>
      <c r="D261" s="126">
        <f>SUM(F261+G261+H261+I261+J261+K261+L261+M261+N261+O261+P261+Q261+R261+S261+T261+U261+V261+W261+X261+Y261+AA261+AB261+AC261+AD261+AE261+AG261+AH261+AI261+AJ261+AL261+AN261+AO261+AP261)</f>
        <v>1859480000</v>
      </c>
      <c r="E261" s="127"/>
      <c r="F261" s="99"/>
      <c r="G261" s="100"/>
      <c r="H261" s="100"/>
      <c r="I261" s="100"/>
      <c r="J261" s="100"/>
      <c r="K261" s="101"/>
      <c r="L261" s="100"/>
      <c r="M261" s="100"/>
      <c r="N261" s="100"/>
      <c r="O261" s="100"/>
      <c r="P261" s="323"/>
      <c r="Q261" s="101"/>
      <c r="R261" s="101"/>
      <c r="S261" s="101"/>
      <c r="T261" s="101"/>
      <c r="U261" s="101"/>
      <c r="V261" s="101"/>
      <c r="W261" s="101"/>
      <c r="X261" s="101"/>
      <c r="Y261" s="101"/>
      <c r="Z261" s="232"/>
      <c r="AA261" s="101"/>
      <c r="AB261" s="101"/>
      <c r="AC261" s="101"/>
      <c r="AD261" s="101"/>
      <c r="AE261" s="244"/>
      <c r="AF261" s="248">
        <f>SUM(AG261:AJ261)</f>
        <v>1859480000</v>
      </c>
      <c r="AG261" s="101"/>
      <c r="AH261" s="101"/>
      <c r="AI261" s="101"/>
      <c r="AJ261" s="148">
        <v>1859480000</v>
      </c>
      <c r="AK261" s="164"/>
      <c r="AL261" s="110"/>
      <c r="AM261" s="294"/>
      <c r="AN261" s="105"/>
      <c r="AO261" s="101"/>
      <c r="AP261" s="111"/>
      <c r="AQ261" s="66">
        <f t="shared" si="105"/>
        <v>1859480000</v>
      </c>
      <c r="AR261" s="43">
        <f t="shared" si="106"/>
        <v>0</v>
      </c>
      <c r="AS261" s="44"/>
      <c r="AT261" s="44"/>
    </row>
    <row r="262" spans="1:46" x14ac:dyDescent="0.25">
      <c r="A262" s="222"/>
      <c r="B262" s="124"/>
      <c r="C262" s="324"/>
      <c r="D262" s="229"/>
      <c r="E262" s="85"/>
      <c r="F262" s="99"/>
      <c r="G262" s="100"/>
      <c r="H262" s="100"/>
      <c r="I262" s="100"/>
      <c r="J262" s="100"/>
      <c r="K262" s="101"/>
      <c r="L262" s="100"/>
      <c r="M262" s="100"/>
      <c r="N262" s="100"/>
      <c r="O262" s="100"/>
      <c r="P262" s="323"/>
      <c r="Q262" s="101"/>
      <c r="R262" s="101"/>
      <c r="S262" s="101"/>
      <c r="T262" s="101"/>
      <c r="U262" s="101"/>
      <c r="V262" s="101"/>
      <c r="W262" s="101"/>
      <c r="X262" s="101"/>
      <c r="Y262" s="101"/>
      <c r="Z262" s="253"/>
      <c r="AA262" s="101"/>
      <c r="AB262" s="101"/>
      <c r="AC262" s="101"/>
      <c r="AD262" s="101"/>
      <c r="AE262" s="244"/>
      <c r="AF262" s="225"/>
      <c r="AG262" s="101"/>
      <c r="AH262" s="101"/>
      <c r="AI262" s="101"/>
      <c r="AJ262" s="103"/>
      <c r="AK262" s="164"/>
      <c r="AL262" s="110"/>
      <c r="AM262" s="164"/>
      <c r="AN262" s="105"/>
      <c r="AO262" s="101"/>
      <c r="AP262" s="111"/>
      <c r="AQ262" s="66">
        <f t="shared" si="105"/>
        <v>0</v>
      </c>
      <c r="AR262" s="43">
        <f t="shared" si="106"/>
        <v>0</v>
      </c>
      <c r="AS262" s="44"/>
      <c r="AT262" s="44"/>
    </row>
    <row r="263" spans="1:46" x14ac:dyDescent="0.25">
      <c r="A263" s="289">
        <v>8</v>
      </c>
      <c r="B263" s="325" t="s">
        <v>419</v>
      </c>
      <c r="C263" s="326">
        <f>+C265</f>
        <v>11571156443</v>
      </c>
      <c r="D263" s="240">
        <f>SUM(D265)</f>
        <v>11571156443</v>
      </c>
      <c r="E263" s="85">
        <f>SUM(E265)</f>
        <v>0</v>
      </c>
      <c r="F263" s="99"/>
      <c r="G263" s="100"/>
      <c r="H263" s="100"/>
      <c r="I263" s="100"/>
      <c r="J263" s="100"/>
      <c r="K263" s="101"/>
      <c r="L263" s="100"/>
      <c r="M263" s="100"/>
      <c r="N263" s="100"/>
      <c r="O263" s="100"/>
      <c r="P263" s="323"/>
      <c r="Q263" s="101"/>
      <c r="R263" s="101"/>
      <c r="S263" s="101"/>
      <c r="T263" s="101"/>
      <c r="U263" s="101"/>
      <c r="V263" s="101"/>
      <c r="W263" s="101"/>
      <c r="X263" s="101"/>
      <c r="Y263" s="101"/>
      <c r="Z263" s="253">
        <f>SUM(Z265)</f>
        <v>0</v>
      </c>
      <c r="AA263" s="101"/>
      <c r="AB263" s="101"/>
      <c r="AC263" s="101"/>
      <c r="AD263" s="101"/>
      <c r="AE263" s="244"/>
      <c r="AF263" s="225">
        <f>SUM(AF265)</f>
        <v>0</v>
      </c>
      <c r="AG263" s="101"/>
      <c r="AH263" s="101"/>
      <c r="AI263" s="101"/>
      <c r="AJ263" s="103"/>
      <c r="AK263" s="164">
        <f>AK265</f>
        <v>11571156443</v>
      </c>
      <c r="AL263" s="234">
        <f>SUM(AL265)</f>
        <v>11571156443</v>
      </c>
      <c r="AM263" s="164">
        <f>AM265</f>
        <v>0</v>
      </c>
      <c r="AN263" s="105"/>
      <c r="AO263" s="101"/>
      <c r="AP263" s="111"/>
      <c r="AQ263" s="66">
        <f t="shared" si="105"/>
        <v>11571156443</v>
      </c>
      <c r="AR263" s="43">
        <f t="shared" si="106"/>
        <v>0</v>
      </c>
      <c r="AS263" s="44"/>
      <c r="AT263" s="44"/>
    </row>
    <row r="264" spans="1:46" x14ac:dyDescent="0.25">
      <c r="A264" s="222"/>
      <c r="B264" s="307"/>
      <c r="C264" s="327"/>
      <c r="D264" s="229"/>
      <c r="E264" s="85"/>
      <c r="F264" s="99"/>
      <c r="G264" s="100"/>
      <c r="H264" s="100"/>
      <c r="I264" s="100"/>
      <c r="J264" s="100"/>
      <c r="K264" s="101"/>
      <c r="L264" s="100"/>
      <c r="M264" s="100"/>
      <c r="N264" s="100"/>
      <c r="O264" s="100"/>
      <c r="P264" s="323"/>
      <c r="Q264" s="101"/>
      <c r="R264" s="101"/>
      <c r="S264" s="101"/>
      <c r="T264" s="101"/>
      <c r="U264" s="101"/>
      <c r="V264" s="101"/>
      <c r="W264" s="101"/>
      <c r="X264" s="101"/>
      <c r="Y264" s="101"/>
      <c r="Z264" s="253"/>
      <c r="AA264" s="101"/>
      <c r="AB264" s="101"/>
      <c r="AC264" s="101"/>
      <c r="AD264" s="101"/>
      <c r="AE264" s="244"/>
      <c r="AF264" s="225">
        <f>SUM(AG264:AI264)</f>
        <v>0</v>
      </c>
      <c r="AG264" s="101"/>
      <c r="AH264" s="101"/>
      <c r="AI264" s="101"/>
      <c r="AJ264" s="103"/>
      <c r="AK264" s="164"/>
      <c r="AL264" s="110"/>
      <c r="AM264" s="164"/>
      <c r="AN264" s="105"/>
      <c r="AO264" s="101"/>
      <c r="AP264" s="111"/>
      <c r="AQ264" s="66">
        <f t="shared" ref="AQ264:AQ271" si="129">+F264+G264+H264+I264+J264+K264+L264+M264+N264+O264+P264+Q264+R264+S264+T264+U264+V264+W264+X264+Y264+AA264+AB264+AC264+AD264+AE264+AG264+AH264+AI264+AJ264+AL264+AN264+AO264+AP264</f>
        <v>0</v>
      </c>
      <c r="AR264" s="43">
        <f t="shared" ref="AR264:AR271" si="130">+C264-AQ264</f>
        <v>0</v>
      </c>
      <c r="AS264" s="44"/>
      <c r="AT264" s="44"/>
    </row>
    <row r="265" spans="1:46" x14ac:dyDescent="0.25">
      <c r="A265" s="250" t="s">
        <v>420</v>
      </c>
      <c r="B265" s="325" t="s">
        <v>421</v>
      </c>
      <c r="C265" s="326">
        <f>SUM(C266:C266)</f>
        <v>11571156443</v>
      </c>
      <c r="D265" s="240">
        <f>SUM(D266)</f>
        <v>11571156443</v>
      </c>
      <c r="E265" s="85">
        <f>SUM(E266)</f>
        <v>0</v>
      </c>
      <c r="F265" s="99"/>
      <c r="G265" s="100"/>
      <c r="H265" s="100"/>
      <c r="I265" s="100"/>
      <c r="J265" s="100"/>
      <c r="K265" s="101"/>
      <c r="L265" s="100"/>
      <c r="M265" s="100"/>
      <c r="N265" s="100"/>
      <c r="O265" s="100"/>
      <c r="P265" s="323"/>
      <c r="Q265" s="101"/>
      <c r="R265" s="101"/>
      <c r="S265" s="101"/>
      <c r="T265" s="101"/>
      <c r="U265" s="101"/>
      <c r="V265" s="101"/>
      <c r="W265" s="101"/>
      <c r="X265" s="101"/>
      <c r="Y265" s="101"/>
      <c r="Z265" s="253">
        <f>SUM(Z266)</f>
        <v>0</v>
      </c>
      <c r="AA265" s="101"/>
      <c r="AB265" s="101"/>
      <c r="AC265" s="101"/>
      <c r="AD265" s="101"/>
      <c r="AE265" s="244"/>
      <c r="AF265" s="225">
        <f>SUM(AF266)</f>
        <v>0</v>
      </c>
      <c r="AG265" s="101"/>
      <c r="AH265" s="101"/>
      <c r="AI265" s="101"/>
      <c r="AJ265" s="103"/>
      <c r="AK265" s="164">
        <f>SUM(AK266:AK266)</f>
        <v>11571156443</v>
      </c>
      <c r="AL265" s="234">
        <f>SUM(AL266)</f>
        <v>11571156443</v>
      </c>
      <c r="AM265" s="164">
        <f>SUM(AM266:AM266)</f>
        <v>0</v>
      </c>
      <c r="AN265" s="105"/>
      <c r="AO265" s="101"/>
      <c r="AP265" s="111"/>
      <c r="AQ265" s="66">
        <f t="shared" si="129"/>
        <v>11571156443</v>
      </c>
      <c r="AR265" s="43">
        <f t="shared" si="130"/>
        <v>0</v>
      </c>
      <c r="AS265" s="44"/>
      <c r="AT265" s="44"/>
    </row>
    <row r="266" spans="1:46" x14ac:dyDescent="0.25">
      <c r="A266" s="222" t="s">
        <v>422</v>
      </c>
      <c r="B266" s="307" t="s">
        <v>423</v>
      </c>
      <c r="C266" s="328">
        <f>+E266+Z266+AF266+AK266</f>
        <v>11571156443</v>
      </c>
      <c r="D266" s="126">
        <f>SUM(F266+G266+H266+I266+J266+K266+L266+M266+N266+O266+P266+Q266+R266+S266+T266+U266+V266+W266+X266+Y266+AA266+AB266+AC266+AD266+AE266+AG266+AH266+AI266+AJ266+AL266+AN266+AO266+AP266)</f>
        <v>11571156443</v>
      </c>
      <c r="E266" s="127">
        <f>SUM(F266:Y266)</f>
        <v>0</v>
      </c>
      <c r="F266" s="99"/>
      <c r="G266" s="100"/>
      <c r="H266" s="100"/>
      <c r="I266" s="100"/>
      <c r="J266" s="100"/>
      <c r="K266" s="101"/>
      <c r="L266" s="100"/>
      <c r="M266" s="100"/>
      <c r="N266" s="100"/>
      <c r="O266" s="100"/>
      <c r="P266" s="323"/>
      <c r="Q266" s="101"/>
      <c r="R266" s="101"/>
      <c r="S266" s="101"/>
      <c r="T266" s="101"/>
      <c r="U266" s="101"/>
      <c r="V266" s="101"/>
      <c r="W266" s="101"/>
      <c r="X266" s="101"/>
      <c r="Y266" s="101"/>
      <c r="Z266" s="133">
        <f>SUM(AA266:AE266)</f>
        <v>0</v>
      </c>
      <c r="AA266" s="101"/>
      <c r="AB266" s="101"/>
      <c r="AC266" s="101"/>
      <c r="AD266" s="101"/>
      <c r="AE266" s="244"/>
      <c r="AF266" s="248">
        <f>SUM(AG266:AJ266)</f>
        <v>0</v>
      </c>
      <c r="AG266" s="101"/>
      <c r="AH266" s="101"/>
      <c r="AI266" s="101"/>
      <c r="AJ266" s="103"/>
      <c r="AK266" s="138">
        <f>SUM(AL266+AM266)</f>
        <v>11571156443</v>
      </c>
      <c r="AL266" s="142">
        <v>11571156443</v>
      </c>
      <c r="AM266" s="294">
        <f>SUM(AN266:AP266)</f>
        <v>0</v>
      </c>
      <c r="AN266" s="105"/>
      <c r="AO266" s="101"/>
      <c r="AP266" s="111"/>
      <c r="AQ266" s="66">
        <f t="shared" si="129"/>
        <v>11571156443</v>
      </c>
      <c r="AR266" s="43">
        <f t="shared" si="130"/>
        <v>0</v>
      </c>
      <c r="AS266" s="44"/>
      <c r="AT266" s="44"/>
    </row>
    <row r="267" spans="1:46" x14ac:dyDescent="0.25">
      <c r="A267" s="222"/>
      <c r="B267" s="307"/>
      <c r="C267" s="324"/>
      <c r="D267" s="229"/>
      <c r="E267" s="85"/>
      <c r="F267" s="99"/>
      <c r="G267" s="100"/>
      <c r="H267" s="100"/>
      <c r="I267" s="100"/>
      <c r="J267" s="100"/>
      <c r="K267" s="101"/>
      <c r="L267" s="100"/>
      <c r="M267" s="100"/>
      <c r="N267" s="100"/>
      <c r="O267" s="100"/>
      <c r="P267" s="323"/>
      <c r="Q267" s="101"/>
      <c r="R267" s="101"/>
      <c r="S267" s="101"/>
      <c r="T267" s="101"/>
      <c r="U267" s="101"/>
      <c r="V267" s="101"/>
      <c r="W267" s="101"/>
      <c r="X267" s="101"/>
      <c r="Y267" s="101"/>
      <c r="Z267" s="253"/>
      <c r="AA267" s="101"/>
      <c r="AB267" s="101"/>
      <c r="AC267" s="101"/>
      <c r="AD267" s="101"/>
      <c r="AE267" s="244"/>
      <c r="AF267" s="225">
        <f>SUM(AG267:AI267)</f>
        <v>0</v>
      </c>
      <c r="AG267" s="101"/>
      <c r="AH267" s="101"/>
      <c r="AI267" s="101"/>
      <c r="AJ267" s="103"/>
      <c r="AK267" s="164"/>
      <c r="AL267" s="110"/>
      <c r="AM267" s="164"/>
      <c r="AN267" s="105"/>
      <c r="AO267" s="101"/>
      <c r="AP267" s="111"/>
      <c r="AQ267" s="66">
        <f t="shared" si="129"/>
        <v>0</v>
      </c>
      <c r="AR267" s="43">
        <f t="shared" si="130"/>
        <v>0</v>
      </c>
      <c r="AS267" s="44"/>
      <c r="AT267" s="44"/>
    </row>
    <row r="268" spans="1:46" x14ac:dyDescent="0.25">
      <c r="A268" s="289">
        <v>9</v>
      </c>
      <c r="B268" s="91" t="s">
        <v>424</v>
      </c>
      <c r="C268" s="304">
        <f>+C270</f>
        <v>5092080404.8900003</v>
      </c>
      <c r="D268" s="240">
        <f>SUM(D270)</f>
        <v>5092080404.8900003</v>
      </c>
      <c r="E268" s="85">
        <f>SUM(E270)</f>
        <v>0</v>
      </c>
      <c r="F268" s="99"/>
      <c r="G268" s="100"/>
      <c r="H268" s="100"/>
      <c r="I268" s="100"/>
      <c r="J268" s="100"/>
      <c r="K268" s="101"/>
      <c r="L268" s="100"/>
      <c r="M268" s="100"/>
      <c r="N268" s="100"/>
      <c r="O268" s="100"/>
      <c r="P268" s="323"/>
      <c r="Q268" s="231">
        <f>SUM(Q270)</f>
        <v>0</v>
      </c>
      <c r="R268" s="101"/>
      <c r="S268" s="101"/>
      <c r="T268" s="101"/>
      <c r="U268" s="101"/>
      <c r="V268" s="101"/>
      <c r="W268" s="101"/>
      <c r="X268" s="101"/>
      <c r="Y268" s="101"/>
      <c r="Z268" s="329">
        <f>SUM(Z270)</f>
        <v>0</v>
      </c>
      <c r="AA268" s="101"/>
      <c r="AB268" s="101"/>
      <c r="AC268" s="101"/>
      <c r="AD268" s="101"/>
      <c r="AE268" s="244"/>
      <c r="AF268" s="225">
        <f>SUM(AF270)</f>
        <v>2136035881.98</v>
      </c>
      <c r="AG268" s="101"/>
      <c r="AH268" s="231">
        <f>SUM(AH270)</f>
        <v>1693293910</v>
      </c>
      <c r="AI268" s="101"/>
      <c r="AJ268" s="103"/>
      <c r="AK268" s="164">
        <f>AK270</f>
        <v>2956044522.9100003</v>
      </c>
      <c r="AL268" s="234">
        <f>SUM(AL270)</f>
        <v>2956044522.9100003</v>
      </c>
      <c r="AM268" s="164">
        <f>AM270</f>
        <v>0</v>
      </c>
      <c r="AN268" s="105"/>
      <c r="AO268" s="101"/>
      <c r="AP268" s="111"/>
      <c r="AQ268" s="66">
        <f t="shared" si="129"/>
        <v>4649338432.9099998</v>
      </c>
      <c r="AR268" s="43">
        <f t="shared" si="130"/>
        <v>442741971.9800005</v>
      </c>
      <c r="AS268" s="44"/>
      <c r="AT268" s="44"/>
    </row>
    <row r="269" spans="1:46" x14ac:dyDescent="0.25">
      <c r="A269" s="289"/>
      <c r="B269" s="91"/>
      <c r="C269" s="330"/>
      <c r="D269" s="229"/>
      <c r="E269" s="85"/>
      <c r="F269" s="99"/>
      <c r="G269" s="100"/>
      <c r="H269" s="100"/>
      <c r="I269" s="100"/>
      <c r="J269" s="100"/>
      <c r="K269" s="101"/>
      <c r="L269" s="100"/>
      <c r="M269" s="100"/>
      <c r="N269" s="100"/>
      <c r="O269" s="100"/>
      <c r="P269" s="323"/>
      <c r="Q269" s="231"/>
      <c r="R269" s="101"/>
      <c r="S269" s="101"/>
      <c r="T269" s="101"/>
      <c r="U269" s="101"/>
      <c r="V269" s="101"/>
      <c r="W269" s="101"/>
      <c r="X269" s="101"/>
      <c r="Y269" s="101"/>
      <c r="Z269" s="331"/>
      <c r="AA269" s="101"/>
      <c r="AB269" s="101"/>
      <c r="AC269" s="101"/>
      <c r="AD269" s="101"/>
      <c r="AE269" s="244"/>
      <c r="AF269" s="225">
        <f>SUM(AG269:AI269)</f>
        <v>0</v>
      </c>
      <c r="AG269" s="101"/>
      <c r="AH269" s="101"/>
      <c r="AI269" s="101"/>
      <c r="AJ269" s="103"/>
      <c r="AK269" s="164"/>
      <c r="AL269" s="234"/>
      <c r="AM269" s="164"/>
      <c r="AN269" s="105"/>
      <c r="AO269" s="101"/>
      <c r="AP269" s="111"/>
      <c r="AQ269" s="66">
        <f t="shared" si="129"/>
        <v>0</v>
      </c>
      <c r="AR269" s="43">
        <f t="shared" si="130"/>
        <v>0</v>
      </c>
      <c r="AS269" s="44"/>
      <c r="AT269" s="44"/>
    </row>
    <row r="270" spans="1:46" x14ac:dyDescent="0.25">
      <c r="A270" s="250" t="s">
        <v>425</v>
      </c>
      <c r="B270" s="91" t="s">
        <v>426</v>
      </c>
      <c r="C270" s="304">
        <f>SUM(C271)</f>
        <v>5092080404.8900003</v>
      </c>
      <c r="D270" s="240">
        <f>SUM(D271)</f>
        <v>5092080404.8900003</v>
      </c>
      <c r="E270" s="85">
        <f>SUM(E271)</f>
        <v>0</v>
      </c>
      <c r="F270" s="99"/>
      <c r="G270" s="100"/>
      <c r="H270" s="100"/>
      <c r="I270" s="100"/>
      <c r="J270" s="100"/>
      <c r="K270" s="101"/>
      <c r="L270" s="100"/>
      <c r="M270" s="100"/>
      <c r="N270" s="100"/>
      <c r="O270" s="100"/>
      <c r="P270" s="323"/>
      <c r="Q270" s="231">
        <f>SUM(Q271)</f>
        <v>0</v>
      </c>
      <c r="R270" s="101"/>
      <c r="S270" s="101"/>
      <c r="T270" s="101"/>
      <c r="U270" s="101"/>
      <c r="V270" s="101"/>
      <c r="W270" s="101"/>
      <c r="X270" s="101"/>
      <c r="Y270" s="101"/>
      <c r="Z270" s="329">
        <f>SUM(Z271)</f>
        <v>0</v>
      </c>
      <c r="AA270" s="101"/>
      <c r="AB270" s="101"/>
      <c r="AC270" s="101"/>
      <c r="AD270" s="101"/>
      <c r="AE270" s="244"/>
      <c r="AF270" s="225">
        <f>SUM(AF271:AF271)</f>
        <v>2136035881.98</v>
      </c>
      <c r="AG270" s="101"/>
      <c r="AH270" s="101">
        <f>SUM(AH271)</f>
        <v>1693293910</v>
      </c>
      <c r="AI270" s="101"/>
      <c r="AJ270" s="103"/>
      <c r="AK270" s="164">
        <f>SUM(AK271:AK271)</f>
        <v>2956044522.9100003</v>
      </c>
      <c r="AL270" s="234">
        <f>SUM(AL271)</f>
        <v>2956044522.9100003</v>
      </c>
      <c r="AM270" s="164">
        <f>SUM(AM271:AM271)</f>
        <v>0</v>
      </c>
      <c r="AN270" s="105"/>
      <c r="AO270" s="101"/>
      <c r="AP270" s="111"/>
      <c r="AQ270" s="66">
        <f t="shared" si="129"/>
        <v>4649338432.9099998</v>
      </c>
      <c r="AR270" s="43">
        <f t="shared" si="130"/>
        <v>442741971.9800005</v>
      </c>
      <c r="AS270" s="44"/>
      <c r="AT270" s="44"/>
    </row>
    <row r="271" spans="1:46" ht="13.8" thickBot="1" x14ac:dyDescent="0.3">
      <c r="A271" s="332" t="s">
        <v>427</v>
      </c>
      <c r="B271" s="333" t="s">
        <v>428</v>
      </c>
      <c r="C271" s="334">
        <f>SUM(E271+Z271+AF271+AK271)</f>
        <v>5092080404.8900003</v>
      </c>
      <c r="D271" s="335">
        <f>SUM(F271+G271+H271+I271+J271+K271+L271+M271+N271+O271+P271+Q271+R271+S271+T271+U271+V271+W271+X271+Y271+AA271+AB271+AC271+AD271+AE271+AG271+AH271+AI271+AJ271+AL271+AN271+AO271+AP271)</f>
        <v>5092080404.8900003</v>
      </c>
      <c r="E271" s="336">
        <f>SUM(F271:Y271)</f>
        <v>0</v>
      </c>
      <c r="F271" s="337"/>
      <c r="G271" s="338"/>
      <c r="H271" s="338"/>
      <c r="I271" s="338"/>
      <c r="J271" s="338"/>
      <c r="K271" s="338"/>
      <c r="L271" s="338"/>
      <c r="M271" s="338"/>
      <c r="N271" s="338"/>
      <c r="O271" s="338"/>
      <c r="P271" s="338"/>
      <c r="Q271" s="338"/>
      <c r="R271" s="338"/>
      <c r="S271" s="338"/>
      <c r="T271" s="338"/>
      <c r="U271" s="338"/>
      <c r="V271" s="338"/>
      <c r="W271" s="338"/>
      <c r="X271" s="338"/>
      <c r="Y271" s="338"/>
      <c r="Z271" s="339">
        <f>SUM(AA271:AE271)</f>
        <v>0</v>
      </c>
      <c r="AA271" s="338"/>
      <c r="AB271" s="338"/>
      <c r="AC271" s="338"/>
      <c r="AD271" s="338"/>
      <c r="AE271" s="340"/>
      <c r="AF271" s="341">
        <f>SUM(AG271:AJ271)</f>
        <v>2136035881.98</v>
      </c>
      <c r="AG271" s="338"/>
      <c r="AH271" s="338">
        <f>1691209060+2084850</f>
        <v>1693293910</v>
      </c>
      <c r="AI271" s="338"/>
      <c r="AJ271" s="342">
        <f>449741971.98-7000000</f>
        <v>442741971.98000002</v>
      </c>
      <c r="AK271" s="343">
        <f>SUM(AL271+AM271)</f>
        <v>2956044522.9100003</v>
      </c>
      <c r="AL271" s="344">
        <f>2958557300.59-2512777.68</f>
        <v>2956044522.9100003</v>
      </c>
      <c r="AM271" s="345">
        <f>SUM(AN271:AP271)</f>
        <v>0</v>
      </c>
      <c r="AN271" s="337"/>
      <c r="AO271" s="338"/>
      <c r="AP271" s="346"/>
      <c r="AQ271" s="66">
        <f t="shared" si="129"/>
        <v>5092080404.8900003</v>
      </c>
      <c r="AR271" s="43">
        <f t="shared" si="130"/>
        <v>0</v>
      </c>
      <c r="AS271" s="44"/>
      <c r="AT271" s="44"/>
    </row>
    <row r="273" spans="1:46" x14ac:dyDescent="0.25">
      <c r="A273" s="440" t="s">
        <v>777</v>
      </c>
      <c r="C273" s="347"/>
      <c r="F273" s="348"/>
      <c r="G273" s="348"/>
      <c r="H273" s="348"/>
      <c r="I273" s="348"/>
      <c r="J273" s="348"/>
      <c r="L273" s="348"/>
      <c r="M273" s="348"/>
      <c r="N273" s="348"/>
      <c r="P273" s="348"/>
      <c r="Y273" s="348"/>
      <c r="AA273" s="348"/>
      <c r="AB273" s="348"/>
      <c r="AC273" s="348"/>
      <c r="AD273" s="348"/>
      <c r="AE273" s="350"/>
      <c r="AF273" s="43"/>
      <c r="AG273" s="348">
        <f>+AG7-28003500</f>
        <v>51298334</v>
      </c>
      <c r="AH273" s="348"/>
      <c r="AI273" s="348"/>
      <c r="AJ273" s="348"/>
      <c r="AL273" s="348"/>
      <c r="AN273" s="348"/>
      <c r="AO273" s="348"/>
      <c r="AP273" s="348"/>
      <c r="AQ273" s="44"/>
      <c r="AR273" s="44"/>
      <c r="AS273" s="44"/>
      <c r="AT273" s="44"/>
    </row>
    <row r="274" spans="1:46" x14ac:dyDescent="0.25">
      <c r="AJ274" s="354">
        <f>+'[2]Detalle de equilibrio'!B16</f>
        <v>-4.5013427734375E-4</v>
      </c>
      <c r="AM274" s="43"/>
      <c r="AQ274" s="44"/>
      <c r="AR274" s="44"/>
      <c r="AS274" s="44"/>
      <c r="AT274" s="44"/>
    </row>
    <row r="275" spans="1:46" x14ac:dyDescent="0.25">
      <c r="AQ275" s="44"/>
      <c r="AR275" s="44"/>
      <c r="AS275" s="44"/>
      <c r="AT275" s="44"/>
    </row>
    <row r="276" spans="1:46" x14ac:dyDescent="0.25">
      <c r="AJ276" s="349" t="e">
        <f>+AJ271-'[2]Detalle de equilibrio'!#REF!</f>
        <v>#REF!</v>
      </c>
      <c r="AQ276" s="44"/>
      <c r="AR276" s="44"/>
      <c r="AS276" s="44"/>
      <c r="AT276" s="44"/>
    </row>
    <row r="277" spans="1:46" x14ac:dyDescent="0.25">
      <c r="AQ277" s="44"/>
      <c r="AR277" s="44"/>
      <c r="AS277" s="44"/>
      <c r="AT277" s="44"/>
    </row>
    <row r="278" spans="1:46" x14ac:dyDescent="0.25">
      <c r="AQ278" s="44"/>
      <c r="AR278" s="44"/>
      <c r="AS278" s="44"/>
      <c r="AT278" s="44"/>
    </row>
    <row r="279" spans="1:46" x14ac:dyDescent="0.25">
      <c r="AQ279" s="44"/>
      <c r="AR279" s="44"/>
      <c r="AS279" s="44"/>
      <c r="AT279" s="44"/>
    </row>
    <row r="280" spans="1:46" x14ac:dyDescent="0.25">
      <c r="C280" s="355"/>
      <c r="K280" s="349"/>
      <c r="P280" s="349"/>
      <c r="Q280" s="349"/>
      <c r="R280" s="349"/>
      <c r="S280" s="349"/>
      <c r="T280" s="349"/>
      <c r="U280" s="349"/>
      <c r="V280" s="349"/>
      <c r="W280" s="349"/>
      <c r="X280" s="349"/>
      <c r="AK280" s="44"/>
      <c r="AM280" s="44"/>
      <c r="AQ280" s="44"/>
      <c r="AR280" s="44"/>
      <c r="AS280" s="44"/>
      <c r="AT280" s="44"/>
    </row>
    <row r="281" spans="1:46" x14ac:dyDescent="0.25">
      <c r="C281" s="355"/>
      <c r="K281" s="349"/>
      <c r="P281" s="349"/>
      <c r="Q281" s="349"/>
      <c r="R281" s="349"/>
      <c r="S281" s="349"/>
      <c r="T281" s="349"/>
      <c r="U281" s="349"/>
      <c r="V281" s="349"/>
      <c r="W281" s="349"/>
      <c r="X281" s="349"/>
      <c r="AK281" s="44"/>
      <c r="AM281" s="44"/>
      <c r="AQ281" s="44"/>
      <c r="AR281" s="44"/>
      <c r="AS281" s="44"/>
      <c r="AT281" s="44"/>
    </row>
    <row r="282" spans="1:46" x14ac:dyDescent="0.25">
      <c r="C282" s="355"/>
      <c r="K282" s="349"/>
      <c r="P282" s="349"/>
      <c r="Q282" s="349"/>
      <c r="R282" s="349"/>
      <c r="S282" s="349"/>
      <c r="T282" s="349"/>
      <c r="U282" s="349"/>
      <c r="V282" s="349"/>
      <c r="W282" s="349"/>
      <c r="X282" s="349"/>
      <c r="AK282" s="44"/>
      <c r="AM282" s="44"/>
      <c r="AQ282" s="44"/>
      <c r="AR282" s="44"/>
      <c r="AS282" s="44"/>
      <c r="AT282" s="44"/>
    </row>
  </sheetData>
  <mergeCells count="1">
    <mergeCell ref="A1:AM5"/>
  </mergeCell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E2911-802C-4CE6-8749-D230CA6150E5}">
  <sheetPr>
    <tabColor theme="9" tint="-0.249977111117893"/>
  </sheetPr>
  <dimension ref="A1:M61"/>
  <sheetViews>
    <sheetView tabSelected="1" zoomScale="80" zoomScaleNormal="80" workbookViewId="0">
      <selection activeCell="J60" sqref="J60"/>
    </sheetView>
  </sheetViews>
  <sheetFormatPr baseColWidth="10" defaultColWidth="12.109375" defaultRowHeight="13.2" x14ac:dyDescent="0.3"/>
  <cols>
    <col min="1" max="1" width="17.77734375" style="17" customWidth="1"/>
    <col min="2" max="2" width="29.109375" style="17" customWidth="1"/>
    <col min="3" max="3" width="30.44140625" style="2" customWidth="1"/>
    <col min="4" max="4" width="34.5546875" style="2" customWidth="1"/>
    <col min="5" max="5" width="42.6640625" style="17" customWidth="1"/>
    <col min="6" max="9" width="13.21875" style="1" customWidth="1"/>
    <col min="10" max="10" width="37" style="535" customWidth="1"/>
    <col min="11" max="11" width="38.5546875" style="2" customWidth="1"/>
    <col min="12" max="12" width="24.33203125" style="2" customWidth="1"/>
    <col min="13" max="13" width="115.6640625" style="17" customWidth="1"/>
    <col min="14" max="16384" width="12.109375" style="2"/>
  </cols>
  <sheetData>
    <row r="1" spans="1:13" ht="29.4" customHeight="1" x14ac:dyDescent="0.3"/>
    <row r="2" spans="1:13" ht="29.4" customHeight="1" x14ac:dyDescent="0.3">
      <c r="A2" s="504" t="s">
        <v>556</v>
      </c>
      <c r="B2" s="504"/>
      <c r="C2" s="504"/>
      <c r="D2" s="504"/>
      <c r="E2" s="504"/>
      <c r="F2" s="504"/>
      <c r="G2" s="504"/>
      <c r="H2" s="504"/>
      <c r="I2" s="504"/>
      <c r="J2" s="504"/>
      <c r="K2" s="504"/>
      <c r="L2" s="504"/>
      <c r="M2" s="504"/>
    </row>
    <row r="3" spans="1:13" ht="29.4" customHeight="1" x14ac:dyDescent="0.3">
      <c r="A3" s="504" t="s">
        <v>557</v>
      </c>
      <c r="B3" s="504"/>
      <c r="C3" s="504"/>
      <c r="D3" s="504"/>
      <c r="E3" s="504"/>
      <c r="F3" s="504"/>
      <c r="G3" s="504"/>
      <c r="H3" s="504"/>
      <c r="I3" s="504"/>
      <c r="J3" s="504"/>
      <c r="K3" s="504"/>
      <c r="L3" s="504"/>
      <c r="M3" s="504"/>
    </row>
    <row r="4" spans="1:13" ht="29.4" customHeight="1" thickBot="1" x14ac:dyDescent="0.35">
      <c r="A4" s="504"/>
      <c r="B4" s="504"/>
      <c r="C4" s="504"/>
      <c r="D4" s="504"/>
      <c r="E4" s="504"/>
      <c r="F4" s="504"/>
      <c r="G4" s="504"/>
      <c r="H4" s="504"/>
      <c r="I4" s="504"/>
      <c r="J4" s="504"/>
      <c r="K4" s="504"/>
      <c r="L4" s="504"/>
      <c r="M4" s="504"/>
    </row>
    <row r="5" spans="1:13" s="1" customFormat="1" ht="32.4" customHeight="1" x14ac:dyDescent="0.3">
      <c r="A5" s="505" t="s">
        <v>766</v>
      </c>
      <c r="B5" s="505" t="s">
        <v>767</v>
      </c>
      <c r="C5" s="505" t="s">
        <v>768</v>
      </c>
      <c r="D5" s="505" t="s">
        <v>769</v>
      </c>
      <c r="E5" s="505" t="s">
        <v>770</v>
      </c>
      <c r="F5" s="505" t="s">
        <v>771</v>
      </c>
      <c r="G5" s="505"/>
      <c r="H5" s="505"/>
      <c r="I5" s="505"/>
      <c r="J5" s="536" t="s">
        <v>772</v>
      </c>
      <c r="K5" s="505" t="s">
        <v>773</v>
      </c>
      <c r="L5" s="505" t="s">
        <v>774</v>
      </c>
      <c r="M5" s="507" t="s">
        <v>558</v>
      </c>
    </row>
    <row r="6" spans="1:13" s="1" customFormat="1" ht="32.4" customHeight="1" thickBot="1" x14ac:dyDescent="0.35">
      <c r="A6" s="506"/>
      <c r="B6" s="506"/>
      <c r="C6" s="506"/>
      <c r="D6" s="506"/>
      <c r="E6" s="506"/>
      <c r="F6" s="32" t="s">
        <v>559</v>
      </c>
      <c r="G6" s="32" t="s">
        <v>560</v>
      </c>
      <c r="H6" s="32" t="s">
        <v>561</v>
      </c>
      <c r="I6" s="32" t="s">
        <v>562</v>
      </c>
      <c r="J6" s="537"/>
      <c r="K6" s="506"/>
      <c r="L6" s="506"/>
      <c r="M6" s="508"/>
    </row>
    <row r="7" spans="1:13" s="1" customFormat="1" ht="30" customHeight="1" x14ac:dyDescent="0.3">
      <c r="A7" s="509" t="s">
        <v>563</v>
      </c>
      <c r="B7" s="510"/>
      <c r="C7" s="510"/>
      <c r="D7" s="510"/>
      <c r="E7" s="510"/>
      <c r="F7" s="510"/>
      <c r="G7" s="510"/>
      <c r="H7" s="510"/>
      <c r="I7" s="510"/>
      <c r="J7" s="510"/>
      <c r="K7" s="510"/>
      <c r="L7" s="510"/>
      <c r="M7" s="511"/>
    </row>
    <row r="8" spans="1:13" ht="87" customHeight="1" x14ac:dyDescent="0.3">
      <c r="A8" s="512" t="s">
        <v>564</v>
      </c>
      <c r="B8" s="512" t="s">
        <v>565</v>
      </c>
      <c r="C8" s="512" t="s">
        <v>566</v>
      </c>
      <c r="D8" s="10" t="s">
        <v>567</v>
      </c>
      <c r="E8" s="35" t="s">
        <v>764</v>
      </c>
      <c r="F8" s="8"/>
      <c r="G8" s="8"/>
      <c r="H8" s="8">
        <v>3</v>
      </c>
      <c r="I8" s="8">
        <v>4</v>
      </c>
      <c r="J8" s="540">
        <f>'Egresos 2021'!E7</f>
        <v>3935157893.3877873</v>
      </c>
      <c r="K8" s="10" t="s">
        <v>568</v>
      </c>
      <c r="L8" s="10" t="s">
        <v>569</v>
      </c>
      <c r="M8" s="18" t="s">
        <v>570</v>
      </c>
    </row>
    <row r="9" spans="1:13" ht="66" x14ac:dyDescent="0.3">
      <c r="A9" s="513"/>
      <c r="B9" s="512"/>
      <c r="C9" s="512"/>
      <c r="D9" s="10" t="s">
        <v>571</v>
      </c>
      <c r="E9" s="7" t="s">
        <v>572</v>
      </c>
      <c r="F9" s="8"/>
      <c r="G9" s="9"/>
      <c r="H9" s="9">
        <v>0.75</v>
      </c>
      <c r="I9" s="9">
        <v>0.75</v>
      </c>
      <c r="J9" s="540"/>
      <c r="K9" s="10" t="s">
        <v>573</v>
      </c>
      <c r="L9" s="10" t="s">
        <v>574</v>
      </c>
      <c r="M9" s="18"/>
    </row>
    <row r="10" spans="1:13" ht="66" x14ac:dyDescent="0.3">
      <c r="A10" s="513"/>
      <c r="B10" s="512"/>
      <c r="C10" s="512"/>
      <c r="D10" s="10" t="s">
        <v>575</v>
      </c>
      <c r="E10" s="7" t="s">
        <v>576</v>
      </c>
      <c r="F10" s="8"/>
      <c r="G10" s="9"/>
      <c r="H10" s="9">
        <v>0.8</v>
      </c>
      <c r="I10" s="9">
        <v>0.8</v>
      </c>
      <c r="J10" s="540"/>
      <c r="K10" s="10" t="s">
        <v>573</v>
      </c>
      <c r="L10" s="10" t="s">
        <v>574</v>
      </c>
      <c r="M10" s="18" t="s">
        <v>577</v>
      </c>
    </row>
    <row r="11" spans="1:13" ht="66" x14ac:dyDescent="0.3">
      <c r="A11" s="513"/>
      <c r="B11" s="512"/>
      <c r="C11" s="512"/>
      <c r="D11" s="10" t="s">
        <v>578</v>
      </c>
      <c r="E11" s="12" t="s">
        <v>579</v>
      </c>
      <c r="F11" s="13">
        <v>150</v>
      </c>
      <c r="G11" s="13">
        <v>150</v>
      </c>
      <c r="H11" s="13">
        <v>150</v>
      </c>
      <c r="I11" s="13">
        <v>150</v>
      </c>
      <c r="J11" s="540"/>
      <c r="K11" s="10" t="s">
        <v>580</v>
      </c>
      <c r="L11" s="10" t="s">
        <v>581</v>
      </c>
      <c r="M11" s="18" t="s">
        <v>582</v>
      </c>
    </row>
    <row r="12" spans="1:13" ht="52.8" x14ac:dyDescent="0.3">
      <c r="A12" s="513"/>
      <c r="B12" s="512"/>
      <c r="C12" s="512"/>
      <c r="D12" s="10" t="s">
        <v>583</v>
      </c>
      <c r="E12" s="7" t="s">
        <v>584</v>
      </c>
      <c r="F12" s="13"/>
      <c r="G12" s="9"/>
      <c r="H12" s="13"/>
      <c r="I12" s="9">
        <v>0.1</v>
      </c>
      <c r="J12" s="540"/>
      <c r="K12" s="10" t="s">
        <v>585</v>
      </c>
      <c r="L12" s="10" t="s">
        <v>586</v>
      </c>
      <c r="M12" s="10"/>
    </row>
    <row r="13" spans="1:13" ht="52.8" x14ac:dyDescent="0.3">
      <c r="A13" s="513"/>
      <c r="B13" s="512"/>
      <c r="C13" s="512"/>
      <c r="D13" s="10" t="s">
        <v>587</v>
      </c>
      <c r="E13" s="7" t="s">
        <v>588</v>
      </c>
      <c r="F13" s="13"/>
      <c r="G13" s="9">
        <v>0.02</v>
      </c>
      <c r="H13" s="13"/>
      <c r="I13" s="9">
        <v>0.02</v>
      </c>
      <c r="J13" s="540"/>
      <c r="K13" s="10" t="s">
        <v>589</v>
      </c>
      <c r="L13" s="10" t="s">
        <v>581</v>
      </c>
      <c r="M13" s="18" t="s">
        <v>590</v>
      </c>
    </row>
    <row r="14" spans="1:13" ht="92.4" x14ac:dyDescent="0.3">
      <c r="A14" s="513"/>
      <c r="B14" s="512"/>
      <c r="C14" s="512"/>
      <c r="D14" s="10" t="s">
        <v>591</v>
      </c>
      <c r="E14" s="12" t="s">
        <v>592</v>
      </c>
      <c r="F14" s="8"/>
      <c r="G14" s="8">
        <v>1</v>
      </c>
      <c r="H14" s="8"/>
      <c r="I14" s="8">
        <v>1</v>
      </c>
      <c r="J14" s="538"/>
      <c r="K14" s="10" t="s">
        <v>593</v>
      </c>
      <c r="L14" s="10" t="s">
        <v>594</v>
      </c>
      <c r="M14" s="18" t="s">
        <v>595</v>
      </c>
    </row>
    <row r="15" spans="1:13" ht="66" x14ac:dyDescent="0.3">
      <c r="A15" s="513"/>
      <c r="B15" s="512"/>
      <c r="C15" s="512"/>
      <c r="D15" s="10" t="s">
        <v>596</v>
      </c>
      <c r="E15" s="18" t="s">
        <v>597</v>
      </c>
      <c r="F15" s="8"/>
      <c r="G15" s="8">
        <v>1</v>
      </c>
      <c r="H15" s="8">
        <v>1</v>
      </c>
      <c r="I15" s="8">
        <v>1</v>
      </c>
      <c r="J15" s="538"/>
      <c r="K15" s="10"/>
      <c r="L15" s="10" t="s">
        <v>598</v>
      </c>
      <c r="M15" s="18" t="s">
        <v>599</v>
      </c>
    </row>
    <row r="16" spans="1:13" ht="24.6" customHeight="1" thickBot="1" x14ac:dyDescent="0.35">
      <c r="A16" s="33"/>
      <c r="B16" s="34"/>
      <c r="C16" s="34"/>
      <c r="J16" s="539"/>
    </row>
    <row r="17" spans="1:13" ht="31.2" customHeight="1" x14ac:dyDescent="0.3">
      <c r="A17" s="505" t="s">
        <v>766</v>
      </c>
      <c r="B17" s="505" t="s">
        <v>767</v>
      </c>
      <c r="C17" s="505" t="s">
        <v>768</v>
      </c>
      <c r="D17" s="505" t="s">
        <v>769</v>
      </c>
      <c r="E17" s="505" t="s">
        <v>770</v>
      </c>
      <c r="F17" s="505" t="s">
        <v>771</v>
      </c>
      <c r="G17" s="505"/>
      <c r="H17" s="505"/>
      <c r="I17" s="505"/>
      <c r="J17" s="536" t="s">
        <v>772</v>
      </c>
      <c r="K17" s="505" t="s">
        <v>773</v>
      </c>
      <c r="L17" s="505" t="s">
        <v>774</v>
      </c>
      <c r="M17" s="507" t="s">
        <v>558</v>
      </c>
    </row>
    <row r="18" spans="1:13" ht="31.2" customHeight="1" thickBot="1" x14ac:dyDescent="0.35">
      <c r="A18" s="506"/>
      <c r="B18" s="506"/>
      <c r="C18" s="506"/>
      <c r="D18" s="506"/>
      <c r="E18" s="506"/>
      <c r="F18" s="32" t="s">
        <v>559</v>
      </c>
      <c r="G18" s="32" t="s">
        <v>560</v>
      </c>
      <c r="H18" s="32" t="s">
        <v>561</v>
      </c>
      <c r="I18" s="32" t="s">
        <v>562</v>
      </c>
      <c r="J18" s="537"/>
      <c r="K18" s="506"/>
      <c r="L18" s="506"/>
      <c r="M18" s="508"/>
    </row>
    <row r="19" spans="1:13" s="17" customFormat="1" ht="25.2" customHeight="1" x14ac:dyDescent="0.3">
      <c r="A19" s="530" t="s">
        <v>600</v>
      </c>
      <c r="B19" s="531"/>
      <c r="C19" s="531"/>
      <c r="D19" s="531"/>
      <c r="E19" s="531"/>
      <c r="F19" s="531"/>
      <c r="G19" s="531"/>
      <c r="H19" s="531"/>
      <c r="I19" s="531"/>
      <c r="J19" s="531"/>
      <c r="K19" s="531"/>
      <c r="L19" s="531"/>
      <c r="M19" s="532"/>
    </row>
    <row r="20" spans="1:13" ht="132" x14ac:dyDescent="0.3">
      <c r="A20" s="533" t="s">
        <v>601</v>
      </c>
      <c r="B20" s="512" t="s">
        <v>602</v>
      </c>
      <c r="C20" s="10" t="s">
        <v>603</v>
      </c>
      <c r="D20" s="10" t="s">
        <v>604</v>
      </c>
      <c r="E20" s="19" t="s">
        <v>605</v>
      </c>
      <c r="F20" s="39"/>
      <c r="G20" s="40">
        <v>1</v>
      </c>
      <c r="H20" s="39"/>
      <c r="I20" s="39"/>
      <c r="J20" s="540">
        <f>+'Egresos 2021'!Z7</f>
        <v>964382620</v>
      </c>
      <c r="K20" s="10" t="s">
        <v>606</v>
      </c>
      <c r="L20" s="10" t="s">
        <v>607</v>
      </c>
      <c r="M20" s="18" t="s">
        <v>608</v>
      </c>
    </row>
    <row r="21" spans="1:13" ht="92.4" x14ac:dyDescent="0.3">
      <c r="A21" s="533"/>
      <c r="B21" s="512"/>
      <c r="C21" s="18" t="s">
        <v>609</v>
      </c>
      <c r="D21" s="10" t="s">
        <v>610</v>
      </c>
      <c r="E21" s="12" t="s">
        <v>611</v>
      </c>
      <c r="F21" s="13"/>
      <c r="G21" s="13">
        <v>24</v>
      </c>
      <c r="H21" s="13">
        <v>46</v>
      </c>
      <c r="I21" s="13">
        <v>46</v>
      </c>
      <c r="J21" s="540"/>
      <c r="K21" s="18" t="s">
        <v>612</v>
      </c>
      <c r="L21" s="10" t="s">
        <v>613</v>
      </c>
      <c r="M21" s="18" t="s">
        <v>614</v>
      </c>
    </row>
    <row r="22" spans="1:13" ht="52.8" x14ac:dyDescent="0.3">
      <c r="A22" s="533"/>
      <c r="B22" s="512"/>
      <c r="C22" s="10" t="s">
        <v>615</v>
      </c>
      <c r="D22" s="10" t="s">
        <v>616</v>
      </c>
      <c r="E22" s="19" t="s">
        <v>617</v>
      </c>
      <c r="F22" s="8">
        <v>3</v>
      </c>
      <c r="G22" s="8">
        <v>3</v>
      </c>
      <c r="H22" s="8">
        <v>3</v>
      </c>
      <c r="I22" s="8">
        <v>3</v>
      </c>
      <c r="J22" s="540"/>
      <c r="K22" s="18" t="s">
        <v>618</v>
      </c>
      <c r="L22" s="10" t="s">
        <v>613</v>
      </c>
      <c r="M22" s="18"/>
    </row>
    <row r="23" spans="1:13" ht="132" x14ac:dyDescent="0.3">
      <c r="A23" s="533"/>
      <c r="B23" s="512"/>
      <c r="C23" s="10" t="s">
        <v>619</v>
      </c>
      <c r="D23" s="10" t="s">
        <v>620</v>
      </c>
      <c r="E23" s="19" t="s">
        <v>621</v>
      </c>
      <c r="F23" s="20">
        <v>0.77</v>
      </c>
      <c r="G23" s="20">
        <v>0.87</v>
      </c>
      <c r="H23" s="20">
        <v>0.97</v>
      </c>
      <c r="I23" s="20">
        <v>1</v>
      </c>
      <c r="J23" s="540"/>
      <c r="K23" s="10" t="s">
        <v>622</v>
      </c>
      <c r="L23" s="10" t="s">
        <v>613</v>
      </c>
      <c r="M23" s="18" t="s">
        <v>623</v>
      </c>
    </row>
    <row r="24" spans="1:13" ht="92.4" x14ac:dyDescent="0.3">
      <c r="A24" s="533"/>
      <c r="B24" s="512"/>
      <c r="C24" s="18" t="s">
        <v>624</v>
      </c>
      <c r="D24" s="10" t="s">
        <v>625</v>
      </c>
      <c r="E24" s="18" t="s">
        <v>626</v>
      </c>
      <c r="F24" s="8"/>
      <c r="G24" s="8">
        <v>1</v>
      </c>
      <c r="H24" s="8">
        <v>1</v>
      </c>
      <c r="I24" s="8">
        <v>2</v>
      </c>
      <c r="J24" s="540"/>
      <c r="K24" s="10" t="s">
        <v>627</v>
      </c>
      <c r="L24" s="10" t="s">
        <v>613</v>
      </c>
      <c r="M24" s="18" t="s">
        <v>628</v>
      </c>
    </row>
    <row r="25" spans="1:13" ht="66" x14ac:dyDescent="0.3">
      <c r="A25" s="533"/>
      <c r="B25" s="512"/>
      <c r="C25" s="18" t="s">
        <v>629</v>
      </c>
      <c r="D25" s="18" t="s">
        <v>630</v>
      </c>
      <c r="E25" s="18" t="s">
        <v>631</v>
      </c>
      <c r="F25" s="20">
        <v>1</v>
      </c>
      <c r="G25" s="20">
        <v>1</v>
      </c>
      <c r="H25" s="20">
        <v>1</v>
      </c>
      <c r="I25" s="20">
        <v>1</v>
      </c>
      <c r="J25" s="540"/>
      <c r="K25" s="10" t="s">
        <v>632</v>
      </c>
      <c r="L25" s="10" t="s">
        <v>613</v>
      </c>
      <c r="M25" s="18"/>
    </row>
    <row r="26" spans="1:13" ht="66" x14ac:dyDescent="0.3">
      <c r="A26" s="533"/>
      <c r="B26" s="512"/>
      <c r="C26" s="10" t="s">
        <v>633</v>
      </c>
      <c r="D26" s="10" t="s">
        <v>634</v>
      </c>
      <c r="E26" s="18" t="s">
        <v>635</v>
      </c>
      <c r="F26" s="8" t="s">
        <v>636</v>
      </c>
      <c r="G26" s="8" t="s">
        <v>636</v>
      </c>
      <c r="H26" s="8" t="s">
        <v>636</v>
      </c>
      <c r="I26" s="8" t="s">
        <v>636</v>
      </c>
      <c r="J26" s="540"/>
      <c r="K26" s="10" t="s">
        <v>637</v>
      </c>
      <c r="L26" s="21" t="s">
        <v>613</v>
      </c>
      <c r="M26" s="18" t="s">
        <v>638</v>
      </c>
    </row>
    <row r="27" spans="1:13" ht="66" x14ac:dyDescent="0.3">
      <c r="A27" s="533"/>
      <c r="B27" s="18" t="s">
        <v>639</v>
      </c>
      <c r="C27" s="10" t="s">
        <v>640</v>
      </c>
      <c r="D27" s="10" t="s">
        <v>641</v>
      </c>
      <c r="E27" s="18" t="s">
        <v>642</v>
      </c>
      <c r="F27" s="8">
        <v>15</v>
      </c>
      <c r="G27" s="8">
        <v>15</v>
      </c>
      <c r="H27" s="8">
        <v>15</v>
      </c>
      <c r="I27" s="8">
        <v>15</v>
      </c>
      <c r="J27" s="540"/>
      <c r="K27" s="10" t="s">
        <v>643</v>
      </c>
      <c r="L27" s="10" t="s">
        <v>644</v>
      </c>
      <c r="M27" s="18" t="s">
        <v>645</v>
      </c>
    </row>
    <row r="28" spans="1:13" ht="118.8" x14ac:dyDescent="0.3">
      <c r="A28" s="533"/>
      <c r="B28" s="534" t="s">
        <v>646</v>
      </c>
      <c r="C28" s="10" t="s">
        <v>647</v>
      </c>
      <c r="D28" s="10" t="s">
        <v>648</v>
      </c>
      <c r="E28" s="18" t="s">
        <v>649</v>
      </c>
      <c r="F28" s="8">
        <v>5</v>
      </c>
      <c r="G28" s="8">
        <v>5</v>
      </c>
      <c r="H28" s="8">
        <v>4</v>
      </c>
      <c r="I28" s="8">
        <v>4</v>
      </c>
      <c r="J28" s="540"/>
      <c r="K28" s="10" t="s">
        <v>650</v>
      </c>
      <c r="L28" s="10" t="s">
        <v>651</v>
      </c>
      <c r="M28" s="18" t="s">
        <v>652</v>
      </c>
    </row>
    <row r="29" spans="1:13" ht="92.4" x14ac:dyDescent="0.3">
      <c r="A29" s="533"/>
      <c r="B29" s="534"/>
      <c r="C29" s="10" t="s">
        <v>647</v>
      </c>
      <c r="D29" s="10" t="s">
        <v>653</v>
      </c>
      <c r="E29" s="18" t="s">
        <v>654</v>
      </c>
      <c r="F29" s="8"/>
      <c r="G29" s="8">
        <v>1</v>
      </c>
      <c r="H29" s="8"/>
      <c r="I29" s="8">
        <v>1</v>
      </c>
      <c r="J29" s="540"/>
      <c r="K29" s="10" t="s">
        <v>655</v>
      </c>
      <c r="L29" s="10" t="s">
        <v>651</v>
      </c>
      <c r="M29" s="18" t="s">
        <v>656</v>
      </c>
    </row>
    <row r="30" spans="1:13" ht="79.2" x14ac:dyDescent="0.3">
      <c r="A30" s="533"/>
      <c r="B30" s="534"/>
      <c r="C30" s="10" t="s">
        <v>657</v>
      </c>
      <c r="D30" s="10" t="s">
        <v>658</v>
      </c>
      <c r="E30" s="19" t="s">
        <v>659</v>
      </c>
      <c r="F30" s="20">
        <v>1</v>
      </c>
      <c r="G30" s="20">
        <v>1</v>
      </c>
      <c r="H30" s="20">
        <v>1</v>
      </c>
      <c r="I30" s="20">
        <v>1</v>
      </c>
      <c r="J30" s="540"/>
      <c r="K30" s="10" t="s">
        <v>660</v>
      </c>
      <c r="L30" s="10" t="s">
        <v>651</v>
      </c>
      <c r="M30" s="18" t="s">
        <v>661</v>
      </c>
    </row>
    <row r="31" spans="1:13" ht="16.2" customHeight="1" thickBot="1" x14ac:dyDescent="0.35">
      <c r="A31" s="36"/>
      <c r="E31" s="37"/>
      <c r="F31" s="38"/>
      <c r="G31" s="38"/>
      <c r="H31" s="38"/>
      <c r="I31" s="38"/>
      <c r="J31" s="541"/>
    </row>
    <row r="32" spans="1:13" ht="30.6" customHeight="1" x14ac:dyDescent="0.3">
      <c r="A32" s="505" t="s">
        <v>766</v>
      </c>
      <c r="B32" s="505" t="s">
        <v>767</v>
      </c>
      <c r="C32" s="505" t="s">
        <v>768</v>
      </c>
      <c r="D32" s="505" t="s">
        <v>769</v>
      </c>
      <c r="E32" s="505" t="s">
        <v>770</v>
      </c>
      <c r="F32" s="505" t="s">
        <v>771</v>
      </c>
      <c r="G32" s="505"/>
      <c r="H32" s="505"/>
      <c r="I32" s="505"/>
      <c r="J32" s="536" t="s">
        <v>772</v>
      </c>
      <c r="K32" s="505" t="s">
        <v>773</v>
      </c>
      <c r="L32" s="505" t="s">
        <v>774</v>
      </c>
      <c r="M32" s="507" t="s">
        <v>558</v>
      </c>
    </row>
    <row r="33" spans="1:13" ht="30.6" customHeight="1" thickBot="1" x14ac:dyDescent="0.35">
      <c r="A33" s="506"/>
      <c r="B33" s="506"/>
      <c r="C33" s="506"/>
      <c r="D33" s="506"/>
      <c r="E33" s="506"/>
      <c r="F33" s="32" t="s">
        <v>559</v>
      </c>
      <c r="G33" s="32" t="s">
        <v>560</v>
      </c>
      <c r="H33" s="32" t="s">
        <v>561</v>
      </c>
      <c r="I33" s="32" t="s">
        <v>562</v>
      </c>
      <c r="J33" s="537"/>
      <c r="K33" s="506"/>
      <c r="L33" s="506"/>
      <c r="M33" s="508"/>
    </row>
    <row r="34" spans="1:13" s="17" customFormat="1" ht="25.8" customHeight="1" x14ac:dyDescent="0.3">
      <c r="A34" s="527" t="s">
        <v>662</v>
      </c>
      <c r="B34" s="528"/>
      <c r="C34" s="528"/>
      <c r="D34" s="528"/>
      <c r="E34" s="528"/>
      <c r="F34" s="528"/>
      <c r="G34" s="528"/>
      <c r="H34" s="528"/>
      <c r="I34" s="528"/>
      <c r="J34" s="528"/>
      <c r="K34" s="528"/>
      <c r="L34" s="528"/>
      <c r="M34" s="529"/>
    </row>
    <row r="35" spans="1:13" ht="79.2" x14ac:dyDescent="0.3">
      <c r="A35" s="526" t="s">
        <v>663</v>
      </c>
      <c r="B35" s="512" t="s">
        <v>664</v>
      </c>
      <c r="C35" s="10" t="s">
        <v>665</v>
      </c>
      <c r="D35" s="10" t="s">
        <v>666</v>
      </c>
      <c r="E35" s="18" t="s">
        <v>667</v>
      </c>
      <c r="F35" s="24"/>
      <c r="G35" s="23">
        <v>1</v>
      </c>
      <c r="H35" s="23">
        <v>1</v>
      </c>
      <c r="I35" s="23"/>
      <c r="J35" s="540">
        <f>+'Egresos 2021'!AF7</f>
        <v>10604062045.519999</v>
      </c>
      <c r="K35" s="10" t="s">
        <v>668</v>
      </c>
      <c r="L35" s="10" t="s">
        <v>669</v>
      </c>
      <c r="M35" s="18" t="s">
        <v>670</v>
      </c>
    </row>
    <row r="36" spans="1:13" ht="79.2" x14ac:dyDescent="0.3">
      <c r="A36" s="526"/>
      <c r="B36" s="512"/>
      <c r="C36" s="10" t="s">
        <v>671</v>
      </c>
      <c r="D36" s="10" t="s">
        <v>672</v>
      </c>
      <c r="E36" s="18" t="s">
        <v>673</v>
      </c>
      <c r="F36" s="20"/>
      <c r="G36" s="23">
        <v>3</v>
      </c>
      <c r="H36" s="23"/>
      <c r="I36" s="23"/>
      <c r="J36" s="540"/>
      <c r="K36" s="10" t="s">
        <v>674</v>
      </c>
      <c r="L36" s="10" t="s">
        <v>675</v>
      </c>
      <c r="M36" s="18" t="s">
        <v>676</v>
      </c>
    </row>
    <row r="37" spans="1:13" ht="118.8" x14ac:dyDescent="0.3">
      <c r="A37" s="526"/>
      <c r="B37" s="512"/>
      <c r="C37" s="10" t="s">
        <v>677</v>
      </c>
      <c r="D37" s="10" t="s">
        <v>678</v>
      </c>
      <c r="E37" s="18" t="s">
        <v>679</v>
      </c>
      <c r="F37" s="20"/>
      <c r="G37" s="20"/>
      <c r="H37" s="20">
        <v>1</v>
      </c>
      <c r="I37" s="20"/>
      <c r="J37" s="540"/>
      <c r="K37" s="10" t="s">
        <v>680</v>
      </c>
      <c r="L37" s="10" t="s">
        <v>681</v>
      </c>
      <c r="M37" s="18" t="s">
        <v>682</v>
      </c>
    </row>
    <row r="38" spans="1:13" ht="66" x14ac:dyDescent="0.3">
      <c r="A38" s="526"/>
      <c r="B38" s="512"/>
      <c r="C38" s="10" t="s">
        <v>683</v>
      </c>
      <c r="D38" s="10" t="s">
        <v>684</v>
      </c>
      <c r="E38" s="18" t="s">
        <v>685</v>
      </c>
      <c r="F38" s="23">
        <v>22</v>
      </c>
      <c r="G38" s="24"/>
      <c r="H38" s="24"/>
      <c r="I38" s="23"/>
      <c r="J38" s="540"/>
      <c r="K38" s="10" t="s">
        <v>686</v>
      </c>
      <c r="L38" s="10" t="s">
        <v>675</v>
      </c>
      <c r="M38" s="18" t="s">
        <v>687</v>
      </c>
    </row>
    <row r="39" spans="1:13" ht="66" x14ac:dyDescent="0.3">
      <c r="A39" s="526"/>
      <c r="B39" s="512"/>
      <c r="C39" s="10" t="s">
        <v>688</v>
      </c>
      <c r="D39" s="10" t="s">
        <v>689</v>
      </c>
      <c r="E39" s="18" t="s">
        <v>690</v>
      </c>
      <c r="F39" s="23"/>
      <c r="G39" s="23">
        <v>22</v>
      </c>
      <c r="H39" s="25"/>
      <c r="I39" s="23"/>
      <c r="J39" s="540"/>
      <c r="K39" s="10" t="s">
        <v>691</v>
      </c>
      <c r="L39" s="10" t="s">
        <v>675</v>
      </c>
      <c r="M39" s="18" t="s">
        <v>692</v>
      </c>
    </row>
    <row r="40" spans="1:13" ht="92.4" x14ac:dyDescent="0.3">
      <c r="A40" s="526"/>
      <c r="B40" s="512"/>
      <c r="C40" s="10" t="s">
        <v>693</v>
      </c>
      <c r="D40" s="10" t="s">
        <v>694</v>
      </c>
      <c r="E40" s="18" t="s">
        <v>695</v>
      </c>
      <c r="F40" s="24"/>
      <c r="G40" s="24"/>
      <c r="H40" s="23"/>
      <c r="I40" s="23">
        <v>21</v>
      </c>
      <c r="J40" s="540"/>
      <c r="K40" s="18" t="s">
        <v>696</v>
      </c>
      <c r="L40" s="10" t="s">
        <v>675</v>
      </c>
      <c r="M40" s="18" t="s">
        <v>697</v>
      </c>
    </row>
    <row r="41" spans="1:13" ht="66" x14ac:dyDescent="0.3">
      <c r="A41" s="526"/>
      <c r="B41" s="512"/>
      <c r="C41" s="10" t="s">
        <v>698</v>
      </c>
      <c r="D41" s="10" t="s">
        <v>699</v>
      </c>
      <c r="E41" s="18" t="s">
        <v>700</v>
      </c>
      <c r="F41" s="24"/>
      <c r="G41" s="24"/>
      <c r="H41" s="23"/>
      <c r="I41" s="23">
        <v>21</v>
      </c>
      <c r="J41" s="540"/>
      <c r="K41" s="10" t="s">
        <v>691</v>
      </c>
      <c r="L41" s="10" t="s">
        <v>675</v>
      </c>
      <c r="M41" s="18" t="s">
        <v>765</v>
      </c>
    </row>
    <row r="42" spans="1:13" ht="171.6" x14ac:dyDescent="0.3">
      <c r="A42" s="526"/>
      <c r="B42" s="512"/>
      <c r="C42" s="10" t="s">
        <v>701</v>
      </c>
      <c r="D42" s="10" t="s">
        <v>702</v>
      </c>
      <c r="E42" s="18" t="s">
        <v>703</v>
      </c>
      <c r="F42" s="20"/>
      <c r="G42" s="20">
        <v>0.3</v>
      </c>
      <c r="H42" s="20">
        <v>0.35</v>
      </c>
      <c r="I42" s="20">
        <v>0.35</v>
      </c>
      <c r="J42" s="540"/>
      <c r="K42" s="10" t="s">
        <v>696</v>
      </c>
      <c r="L42" s="10" t="s">
        <v>675</v>
      </c>
      <c r="M42" s="18" t="s">
        <v>704</v>
      </c>
    </row>
    <row r="43" spans="1:13" ht="184.8" x14ac:dyDescent="0.3">
      <c r="A43" s="526"/>
      <c r="B43" s="512"/>
      <c r="C43" s="10" t="s">
        <v>705</v>
      </c>
      <c r="D43" s="10" t="s">
        <v>706</v>
      </c>
      <c r="E43" s="18" t="s">
        <v>707</v>
      </c>
      <c r="F43" s="10"/>
      <c r="G43" s="10"/>
      <c r="H43" s="24">
        <v>1100</v>
      </c>
      <c r="I43" s="24">
        <v>680</v>
      </c>
      <c r="J43" s="540"/>
      <c r="K43" s="10" t="s">
        <v>708</v>
      </c>
      <c r="L43" s="10" t="s">
        <v>709</v>
      </c>
      <c r="M43" s="18" t="s">
        <v>710</v>
      </c>
    </row>
    <row r="44" spans="1:13" ht="158.4" x14ac:dyDescent="0.3">
      <c r="A44" s="526"/>
      <c r="B44" s="512"/>
      <c r="C44" s="10" t="s">
        <v>711</v>
      </c>
      <c r="D44" s="10" t="s">
        <v>712</v>
      </c>
      <c r="E44" s="18" t="s">
        <v>713</v>
      </c>
      <c r="F44" s="8">
        <v>510</v>
      </c>
      <c r="G44" s="8">
        <v>510</v>
      </c>
      <c r="H44" s="8">
        <v>510</v>
      </c>
      <c r="I44" s="8">
        <v>510</v>
      </c>
      <c r="J44" s="540"/>
      <c r="K44" s="10" t="s">
        <v>714</v>
      </c>
      <c r="L44" s="10" t="s">
        <v>715</v>
      </c>
      <c r="M44" s="19" t="s">
        <v>716</v>
      </c>
    </row>
    <row r="45" spans="1:13" ht="158.4" x14ac:dyDescent="0.3">
      <c r="A45" s="526"/>
      <c r="B45" s="512"/>
      <c r="C45" s="10" t="s">
        <v>717</v>
      </c>
      <c r="D45" s="10" t="s">
        <v>718</v>
      </c>
      <c r="E45" s="18" t="s">
        <v>719</v>
      </c>
      <c r="F45" s="13">
        <v>25</v>
      </c>
      <c r="G45" s="13">
        <v>25</v>
      </c>
      <c r="H45" s="13">
        <v>25</v>
      </c>
      <c r="I45" s="13">
        <v>130</v>
      </c>
      <c r="J45" s="540"/>
      <c r="K45" s="10" t="s">
        <v>720</v>
      </c>
      <c r="L45" s="10" t="s">
        <v>709</v>
      </c>
      <c r="M45" s="18" t="s">
        <v>721</v>
      </c>
    </row>
    <row r="46" spans="1:13" ht="184.8" x14ac:dyDescent="0.3">
      <c r="A46" s="526"/>
      <c r="B46" s="512"/>
      <c r="C46" s="10" t="s">
        <v>722</v>
      </c>
      <c r="D46" s="10" t="s">
        <v>723</v>
      </c>
      <c r="E46" s="18" t="s">
        <v>724</v>
      </c>
      <c r="F46" s="13">
        <v>25</v>
      </c>
      <c r="G46" s="13">
        <v>25</v>
      </c>
      <c r="H46" s="13">
        <v>25</v>
      </c>
      <c r="I46" s="13">
        <v>25</v>
      </c>
      <c r="J46" s="540"/>
      <c r="K46" s="10" t="s">
        <v>725</v>
      </c>
      <c r="L46" s="10" t="s">
        <v>709</v>
      </c>
      <c r="M46" s="18" t="s">
        <v>726</v>
      </c>
    </row>
    <row r="47" spans="1:13" ht="118.8" x14ac:dyDescent="0.3">
      <c r="A47" s="526"/>
      <c r="B47" s="512"/>
      <c r="C47" s="10" t="s">
        <v>727</v>
      </c>
      <c r="D47" s="10" t="s">
        <v>728</v>
      </c>
      <c r="E47" s="18" t="s">
        <v>729</v>
      </c>
      <c r="F47" s="13">
        <v>50</v>
      </c>
      <c r="G47" s="13">
        <v>50</v>
      </c>
      <c r="H47" s="13">
        <v>50</v>
      </c>
      <c r="I47" s="13">
        <v>50</v>
      </c>
      <c r="J47" s="540"/>
      <c r="K47" s="10" t="s">
        <v>730</v>
      </c>
      <c r="L47" s="10" t="s">
        <v>709</v>
      </c>
      <c r="M47" s="18" t="s">
        <v>731</v>
      </c>
    </row>
    <row r="48" spans="1:13" ht="15" hidden="1" customHeight="1" x14ac:dyDescent="0.3">
      <c r="A48" s="526"/>
      <c r="B48" s="512"/>
      <c r="C48" s="10"/>
      <c r="D48" s="10"/>
      <c r="E48" s="18"/>
      <c r="F48" s="26"/>
      <c r="G48" s="26"/>
      <c r="H48" s="26"/>
      <c r="I48" s="26"/>
      <c r="J48" s="540"/>
      <c r="K48" s="27"/>
      <c r="L48" s="10"/>
      <c r="M48" s="18"/>
    </row>
    <row r="49" spans="1:13" ht="79.2" x14ac:dyDescent="0.3">
      <c r="A49" s="526"/>
      <c r="B49" s="512"/>
      <c r="C49" s="10"/>
      <c r="D49" s="10" t="s">
        <v>732</v>
      </c>
      <c r="E49" s="28" t="s">
        <v>733</v>
      </c>
      <c r="F49" s="23">
        <v>706</v>
      </c>
      <c r="G49" s="23">
        <v>706</v>
      </c>
      <c r="H49" s="23">
        <v>706</v>
      </c>
      <c r="I49" s="24">
        <v>706.47</v>
      </c>
      <c r="J49" s="540"/>
      <c r="K49" s="10" t="s">
        <v>734</v>
      </c>
      <c r="L49" s="10" t="s">
        <v>735</v>
      </c>
      <c r="M49" s="18" t="s">
        <v>736</v>
      </c>
    </row>
    <row r="50" spans="1:13" ht="66" customHeight="1" x14ac:dyDescent="0.3">
      <c r="A50" s="526"/>
      <c r="B50" s="512"/>
      <c r="C50" s="10"/>
      <c r="D50" s="10" t="s">
        <v>737</v>
      </c>
      <c r="E50" s="19" t="s">
        <v>738</v>
      </c>
      <c r="F50" s="8" t="s">
        <v>739</v>
      </c>
      <c r="G50" s="8" t="s">
        <v>739</v>
      </c>
      <c r="H50" s="8" t="s">
        <v>739</v>
      </c>
      <c r="I50" s="8" t="s">
        <v>739</v>
      </c>
      <c r="J50" s="540"/>
      <c r="K50" s="10" t="s">
        <v>740</v>
      </c>
      <c r="L50" s="10" t="s">
        <v>735</v>
      </c>
      <c r="M50" s="18"/>
    </row>
    <row r="51" spans="1:13" ht="13.8" thickBot="1" x14ac:dyDescent="0.35">
      <c r="A51" s="41"/>
      <c r="B51" s="34"/>
      <c r="E51" s="37"/>
      <c r="J51" s="541"/>
    </row>
    <row r="52" spans="1:13" ht="31.2" customHeight="1" x14ac:dyDescent="0.3">
      <c r="A52" s="505" t="s">
        <v>766</v>
      </c>
      <c r="B52" s="505" t="s">
        <v>767</v>
      </c>
      <c r="C52" s="505" t="s">
        <v>768</v>
      </c>
      <c r="D52" s="505" t="s">
        <v>769</v>
      </c>
      <c r="E52" s="505" t="s">
        <v>770</v>
      </c>
      <c r="F52" s="505" t="s">
        <v>771</v>
      </c>
      <c r="G52" s="505"/>
      <c r="H52" s="505"/>
      <c r="I52" s="505"/>
      <c r="J52" s="536" t="s">
        <v>772</v>
      </c>
      <c r="K52" s="505" t="s">
        <v>773</v>
      </c>
      <c r="L52" s="505" t="s">
        <v>774</v>
      </c>
      <c r="M52" s="507" t="s">
        <v>558</v>
      </c>
    </row>
    <row r="53" spans="1:13" ht="31.2" customHeight="1" thickBot="1" x14ac:dyDescent="0.35">
      <c r="A53" s="506"/>
      <c r="B53" s="506"/>
      <c r="C53" s="506"/>
      <c r="D53" s="506"/>
      <c r="E53" s="506"/>
      <c r="F53" s="32" t="s">
        <v>559</v>
      </c>
      <c r="G53" s="32" t="s">
        <v>560</v>
      </c>
      <c r="H53" s="32" t="s">
        <v>561</v>
      </c>
      <c r="I53" s="32" t="s">
        <v>562</v>
      </c>
      <c r="J53" s="537"/>
      <c r="K53" s="506"/>
      <c r="L53" s="506"/>
      <c r="M53" s="508"/>
    </row>
    <row r="54" spans="1:13" ht="31.2" customHeight="1" thickBot="1" x14ac:dyDescent="0.35">
      <c r="A54" s="514" t="s">
        <v>741</v>
      </c>
      <c r="B54" s="515"/>
      <c r="C54" s="515"/>
      <c r="D54" s="515"/>
      <c r="E54" s="515"/>
      <c r="F54" s="515"/>
      <c r="G54" s="515"/>
      <c r="H54" s="515"/>
      <c r="I54" s="515"/>
      <c r="J54" s="515"/>
      <c r="K54" s="515"/>
      <c r="L54" s="515"/>
      <c r="M54" s="516"/>
    </row>
    <row r="55" spans="1:13" ht="39.6" x14ac:dyDescent="0.3">
      <c r="A55" s="517" t="s">
        <v>742</v>
      </c>
      <c r="B55" s="520" t="s">
        <v>743</v>
      </c>
      <c r="C55" s="522" t="s">
        <v>744</v>
      </c>
      <c r="D55" s="3" t="s">
        <v>745</v>
      </c>
      <c r="E55" s="29" t="s">
        <v>746</v>
      </c>
      <c r="F55" s="22">
        <v>18225</v>
      </c>
      <c r="G55" s="22">
        <v>18225</v>
      </c>
      <c r="H55" s="22">
        <v>18225</v>
      </c>
      <c r="I55" s="22">
        <v>18225</v>
      </c>
      <c r="J55" s="542">
        <f>+'Egresos 2021'!AK7</f>
        <v>39550588190.910004</v>
      </c>
      <c r="K55" s="4" t="s">
        <v>747</v>
      </c>
      <c r="L55" s="525" t="s">
        <v>748</v>
      </c>
      <c r="M55" s="5" t="s">
        <v>749</v>
      </c>
    </row>
    <row r="56" spans="1:13" ht="79.2" x14ac:dyDescent="0.3">
      <c r="A56" s="518"/>
      <c r="B56" s="512"/>
      <c r="C56" s="523"/>
      <c r="D56" s="6" t="s">
        <v>750</v>
      </c>
      <c r="E56" s="28" t="s">
        <v>751</v>
      </c>
      <c r="F56" s="9">
        <v>0.03</v>
      </c>
      <c r="G56" s="9">
        <v>0.03</v>
      </c>
      <c r="H56" s="9">
        <v>0.03</v>
      </c>
      <c r="I56" s="9">
        <v>0.03</v>
      </c>
      <c r="J56" s="543"/>
      <c r="K56" s="10" t="s">
        <v>752</v>
      </c>
      <c r="L56" s="512"/>
      <c r="M56" s="11" t="s">
        <v>753</v>
      </c>
    </row>
    <row r="57" spans="1:13" ht="92.4" x14ac:dyDescent="0.3">
      <c r="A57" s="518"/>
      <c r="B57" s="512"/>
      <c r="C57" s="523"/>
      <c r="D57" s="6" t="s">
        <v>754</v>
      </c>
      <c r="E57" s="28" t="s">
        <v>755</v>
      </c>
      <c r="F57" s="23">
        <v>4341</v>
      </c>
      <c r="G57" s="23">
        <v>5245</v>
      </c>
      <c r="H57" s="23">
        <v>4884</v>
      </c>
      <c r="I57" s="23">
        <v>3617</v>
      </c>
      <c r="J57" s="543"/>
      <c r="K57" s="10" t="s">
        <v>756</v>
      </c>
      <c r="L57" s="512"/>
      <c r="M57" s="11" t="s">
        <v>757</v>
      </c>
    </row>
    <row r="58" spans="1:13" ht="52.8" x14ac:dyDescent="0.3">
      <c r="A58" s="518"/>
      <c r="B58" s="512"/>
      <c r="C58" s="523"/>
      <c r="D58" s="6" t="s">
        <v>758</v>
      </c>
      <c r="E58" s="18" t="s">
        <v>759</v>
      </c>
      <c r="F58" s="8"/>
      <c r="G58" s="8">
        <v>25</v>
      </c>
      <c r="H58" s="8"/>
      <c r="I58" s="8">
        <v>25</v>
      </c>
      <c r="J58" s="543"/>
      <c r="K58" s="10" t="s">
        <v>760</v>
      </c>
      <c r="L58" s="512"/>
      <c r="M58" s="11"/>
    </row>
    <row r="59" spans="1:13" ht="93" thickBot="1" x14ac:dyDescent="0.35">
      <c r="A59" s="519"/>
      <c r="B59" s="521"/>
      <c r="C59" s="524"/>
      <c r="D59" s="14" t="s">
        <v>761</v>
      </c>
      <c r="E59" s="30" t="s">
        <v>762</v>
      </c>
      <c r="F59" s="31">
        <v>450</v>
      </c>
      <c r="G59" s="31">
        <v>450</v>
      </c>
      <c r="H59" s="31">
        <v>450</v>
      </c>
      <c r="I59" s="31">
        <v>450</v>
      </c>
      <c r="J59" s="544"/>
      <c r="K59" s="15" t="s">
        <v>756</v>
      </c>
      <c r="L59" s="521"/>
      <c r="M59" s="16" t="s">
        <v>763</v>
      </c>
    </row>
    <row r="61" spans="1:13" x14ac:dyDescent="0.25">
      <c r="A61" s="440" t="s">
        <v>777</v>
      </c>
    </row>
  </sheetData>
  <mergeCells count="63">
    <mergeCell ref="E52:E53"/>
    <mergeCell ref="F52:I52"/>
    <mergeCell ref="J52:J53"/>
    <mergeCell ref="J8:J13"/>
    <mergeCell ref="J14:J15"/>
    <mergeCell ref="A19:M19"/>
    <mergeCell ref="A20:A30"/>
    <mergeCell ref="B20:B26"/>
    <mergeCell ref="J20:J30"/>
    <mergeCell ref="B28:B30"/>
    <mergeCell ref="J17:J18"/>
    <mergeCell ref="K17:K18"/>
    <mergeCell ref="L17:L18"/>
    <mergeCell ref="M17:M18"/>
    <mergeCell ref="F17:I17"/>
    <mergeCell ref="A17:A18"/>
    <mergeCell ref="A34:M34"/>
    <mergeCell ref="J32:J33"/>
    <mergeCell ref="K32:K33"/>
    <mergeCell ref="L32:L33"/>
    <mergeCell ref="M32:M33"/>
    <mergeCell ref="F32:I32"/>
    <mergeCell ref="A32:A33"/>
    <mergeCell ref="B32:B33"/>
    <mergeCell ref="C32:C33"/>
    <mergeCell ref="D32:D33"/>
    <mergeCell ref="J35:J50"/>
    <mergeCell ref="A54:M54"/>
    <mergeCell ref="A55:A59"/>
    <mergeCell ref="B55:B59"/>
    <mergeCell ref="C55:C59"/>
    <mergeCell ref="J55:J59"/>
    <mergeCell ref="L55:L59"/>
    <mergeCell ref="A52:A53"/>
    <mergeCell ref="K52:K53"/>
    <mergeCell ref="L52:L53"/>
    <mergeCell ref="M52:M53"/>
    <mergeCell ref="B52:B53"/>
    <mergeCell ref="C52:C53"/>
    <mergeCell ref="D52:D53"/>
    <mergeCell ref="A35:A50"/>
    <mergeCell ref="B35:B50"/>
    <mergeCell ref="E32:E33"/>
    <mergeCell ref="A7:M7"/>
    <mergeCell ref="A8:A15"/>
    <mergeCell ref="B8:B15"/>
    <mergeCell ref="C8:C15"/>
    <mergeCell ref="B17:B18"/>
    <mergeCell ref="C17:C18"/>
    <mergeCell ref="D17:D18"/>
    <mergeCell ref="E17:E18"/>
    <mergeCell ref="A2:M2"/>
    <mergeCell ref="A3:M4"/>
    <mergeCell ref="A5:A6"/>
    <mergeCell ref="B5:B6"/>
    <mergeCell ref="C5:C6"/>
    <mergeCell ref="D5:D6"/>
    <mergeCell ref="E5:E6"/>
    <mergeCell ref="F5:I5"/>
    <mergeCell ref="J5:J6"/>
    <mergeCell ref="K5:K6"/>
    <mergeCell ref="L5:L6"/>
    <mergeCell ref="M5:M6"/>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Ingresos 2021</vt:lpstr>
      <vt:lpstr>Egresos 2021</vt:lpstr>
      <vt:lpstr>Indicadores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Martha Navarro Obando</dc:creator>
  <cp:lastModifiedBy>Martha Navarro Obando</cp:lastModifiedBy>
  <dcterms:created xsi:type="dcterms:W3CDTF">2025-07-04T17:51:56Z</dcterms:created>
  <dcterms:modified xsi:type="dcterms:W3CDTF">2025-07-15T14:09:36Z</dcterms:modified>
</cp:coreProperties>
</file>