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invucr-my.sharepoint.com/personal/msalazar_invu_go_cr/Documents/PLANIFICACION/2025/Públicaciones en el Web/"/>
    </mc:Choice>
  </mc:AlternateContent>
  <xr:revisionPtr revIDLastSave="0" documentId="8_{FDBC6BFF-A43C-459D-AFC4-E5D57E814A5D}" xr6:coauthVersionLast="47" xr6:coauthVersionMax="47" xr10:uidLastSave="{00000000-0000-0000-0000-000000000000}"/>
  <bookViews>
    <workbookView xWindow="10104" yWindow="1128" windowWidth="12516" windowHeight="12960" activeTab="1" xr2:uid="{DEB0A3D2-20F9-4ECE-84B1-2E586444262C}"/>
  </bookViews>
  <sheets>
    <sheet name="Ingresos 2023" sheetId="2" r:id="rId1"/>
    <sheet name="Egresos 2023" sheetId="1" r:id="rId2"/>
    <sheet name="Indicadores"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2" l="1"/>
  <c r="H95" i="2" l="1"/>
  <c r="E95" i="2"/>
  <c r="D95" i="2" s="1"/>
  <c r="C95" i="2" s="1"/>
  <c r="G94" i="2"/>
  <c r="D94" i="2"/>
  <c r="C94" i="2" s="1"/>
  <c r="D93" i="2"/>
  <c r="C93" i="2" s="1"/>
  <c r="G92" i="2"/>
  <c r="D92" i="2" s="1"/>
  <c r="C92" i="2" s="1"/>
  <c r="D91" i="2"/>
  <c r="C91" i="2" s="1"/>
  <c r="D90" i="2"/>
  <c r="C90" i="2"/>
  <c r="G89" i="2"/>
  <c r="D89" i="2" s="1"/>
  <c r="C89" i="2" s="1"/>
  <c r="G88" i="2"/>
  <c r="D88" i="2" s="1"/>
  <c r="C88" i="2" s="1"/>
  <c r="H87" i="2"/>
  <c r="G87" i="2"/>
  <c r="D87" i="2" s="1"/>
  <c r="C87" i="2" s="1"/>
  <c r="J86" i="2"/>
  <c r="I86" i="2"/>
  <c r="I82" i="2" s="1"/>
  <c r="F86" i="2"/>
  <c r="H84" i="2"/>
  <c r="G84" i="2"/>
  <c r="D84" i="2" s="1"/>
  <c r="J83" i="2"/>
  <c r="H83" i="2"/>
  <c r="F83" i="2"/>
  <c r="E83" i="2"/>
  <c r="I80" i="2"/>
  <c r="I79" i="2" s="1"/>
  <c r="I78" i="2" s="1"/>
  <c r="D80" i="2"/>
  <c r="C80" i="2"/>
  <c r="C78" i="2" s="1"/>
  <c r="C77" i="2" s="1"/>
  <c r="J79" i="2"/>
  <c r="J78" i="2" s="1"/>
  <c r="D79" i="2"/>
  <c r="D78" i="2" s="1"/>
  <c r="G78" i="2"/>
  <c r="D74" i="2"/>
  <c r="C74" i="2" s="1"/>
  <c r="H73" i="2"/>
  <c r="D73" i="2"/>
  <c r="C73" i="2"/>
  <c r="G72" i="2"/>
  <c r="G71" i="2" s="1"/>
  <c r="G70" i="2" s="1"/>
  <c r="D72" i="2"/>
  <c r="D71" i="2" s="1"/>
  <c r="D70" i="2" s="1"/>
  <c r="J71" i="2"/>
  <c r="J70" i="2" s="1"/>
  <c r="H71" i="2"/>
  <c r="H70" i="2" s="1"/>
  <c r="F71" i="2"/>
  <c r="F70" i="2" s="1"/>
  <c r="E71" i="2"/>
  <c r="E70" i="2" s="1"/>
  <c r="I68" i="2"/>
  <c r="H68" i="2" s="1"/>
  <c r="J67" i="2"/>
  <c r="H67" i="2" s="1"/>
  <c r="E67" i="2"/>
  <c r="E66" i="2"/>
  <c r="E65" i="2" s="1"/>
  <c r="E64" i="2" s="1"/>
  <c r="G65" i="2"/>
  <c r="G64" i="2" s="1"/>
  <c r="F65" i="2"/>
  <c r="F64" i="2" s="1"/>
  <c r="G62" i="2"/>
  <c r="D62" i="2" s="1"/>
  <c r="J61" i="2"/>
  <c r="I61" i="2"/>
  <c r="H61" i="2"/>
  <c r="F61" i="2"/>
  <c r="F59" i="2" s="1"/>
  <c r="E61" i="2"/>
  <c r="E59" i="2" s="1"/>
  <c r="J59" i="2"/>
  <c r="I59" i="2"/>
  <c r="H59" i="2"/>
  <c r="H55" i="2"/>
  <c r="H54" i="2" s="1"/>
  <c r="H53" i="2" s="1"/>
  <c r="D55" i="2"/>
  <c r="C55" i="2" s="1"/>
  <c r="C54" i="2" s="1"/>
  <c r="C53" i="2" s="1"/>
  <c r="J54" i="2"/>
  <c r="G54" i="2"/>
  <c r="G53" i="2" s="1"/>
  <c r="F54" i="2"/>
  <c r="F53" i="2" s="1"/>
  <c r="E54" i="2"/>
  <c r="E53" i="2" s="1"/>
  <c r="J53" i="2"/>
  <c r="I53" i="2"/>
  <c r="I51" i="2"/>
  <c r="I48" i="2" s="1"/>
  <c r="I47" i="2" s="1"/>
  <c r="H51" i="2"/>
  <c r="D51" i="2"/>
  <c r="G50" i="2"/>
  <c r="G48" i="2" s="1"/>
  <c r="G47" i="2" s="1"/>
  <c r="H49" i="2"/>
  <c r="E49" i="2"/>
  <c r="D49" i="2"/>
  <c r="C49" i="2" s="1"/>
  <c r="J48" i="2"/>
  <c r="E48" i="2"/>
  <c r="J47" i="2"/>
  <c r="F47" i="2"/>
  <c r="E47" i="2"/>
  <c r="I45" i="2"/>
  <c r="H45" i="2" s="1"/>
  <c r="H42" i="2" s="1"/>
  <c r="H41" i="2" s="1"/>
  <c r="D45" i="2"/>
  <c r="D44" i="2"/>
  <c r="E43" i="2"/>
  <c r="D43" i="2" s="1"/>
  <c r="J42" i="2"/>
  <c r="G42" i="2"/>
  <c r="F42" i="2"/>
  <c r="E42" i="2"/>
  <c r="E41" i="2" s="1"/>
  <c r="J41" i="2"/>
  <c r="G41" i="2"/>
  <c r="G30" i="2" s="1"/>
  <c r="F41" i="2"/>
  <c r="I39" i="2"/>
  <c r="I36" i="2" s="1"/>
  <c r="J37" i="2"/>
  <c r="H37" i="2"/>
  <c r="E37" i="2"/>
  <c r="E36" i="2" s="1"/>
  <c r="D37" i="2"/>
  <c r="D36" i="2" s="1"/>
  <c r="J36" i="2"/>
  <c r="G36" i="2"/>
  <c r="F36" i="2"/>
  <c r="H34" i="2"/>
  <c r="D34" i="2"/>
  <c r="I33" i="2"/>
  <c r="I32" i="2" s="1"/>
  <c r="E33" i="2"/>
  <c r="D33" i="2" s="1"/>
  <c r="J32" i="2"/>
  <c r="G32" i="2"/>
  <c r="F32" i="2"/>
  <c r="J31" i="2"/>
  <c r="G31" i="2"/>
  <c r="F31" i="2"/>
  <c r="D28" i="2"/>
  <c r="C28" i="2" s="1"/>
  <c r="J27" i="2"/>
  <c r="J26" i="2" s="1"/>
  <c r="I27" i="2"/>
  <c r="H27" i="2"/>
  <c r="G27" i="2"/>
  <c r="F27" i="2"/>
  <c r="E27" i="2"/>
  <c r="D27" i="2"/>
  <c r="C27" i="2" s="1"/>
  <c r="I26" i="2"/>
  <c r="H26" i="2"/>
  <c r="G26" i="2"/>
  <c r="F26" i="2"/>
  <c r="E26" i="2"/>
  <c r="D26" i="2" s="1"/>
  <c r="C26" i="2" s="1"/>
  <c r="H24" i="2"/>
  <c r="H21" i="2" s="1"/>
  <c r="C24" i="2"/>
  <c r="D23" i="2"/>
  <c r="C23" i="2"/>
  <c r="G22" i="2"/>
  <c r="G21" i="2" s="1"/>
  <c r="E22" i="2"/>
  <c r="J21" i="2"/>
  <c r="I21" i="2"/>
  <c r="F21" i="2"/>
  <c r="G19" i="2"/>
  <c r="G18" i="2" s="1"/>
  <c r="J18" i="2"/>
  <c r="I18" i="2"/>
  <c r="H18" i="2"/>
  <c r="F18" i="2"/>
  <c r="F15" i="2" s="1"/>
  <c r="E18" i="2"/>
  <c r="E15" i="2" s="1"/>
  <c r="O16" i="2"/>
  <c r="I16" i="2"/>
  <c r="I15" i="2" s="1"/>
  <c r="H16" i="2"/>
  <c r="H15" i="2" s="1"/>
  <c r="C16" i="2"/>
  <c r="C15" i="2" s="1"/>
  <c r="J15" i="2"/>
  <c r="J66" i="2" l="1"/>
  <c r="J65" i="2" s="1"/>
  <c r="J64" i="2" s="1"/>
  <c r="D67" i="2"/>
  <c r="F30" i="2"/>
  <c r="G83" i="2"/>
  <c r="C72" i="2"/>
  <c r="C71" i="2" s="1"/>
  <c r="C70" i="2" s="1"/>
  <c r="D19" i="2"/>
  <c r="D18" i="2" s="1"/>
  <c r="H86" i="2"/>
  <c r="H82" i="2" s="1"/>
  <c r="E86" i="2"/>
  <c r="E82" i="2" s="1"/>
  <c r="E77" i="2" s="1"/>
  <c r="E76" i="2" s="1"/>
  <c r="D50" i="2"/>
  <c r="C50" i="2" s="1"/>
  <c r="C51" i="2"/>
  <c r="J58" i="2"/>
  <c r="C19" i="2"/>
  <c r="C18" i="2" s="1"/>
  <c r="C37" i="2"/>
  <c r="J82" i="2"/>
  <c r="J77" i="2" s="1"/>
  <c r="J76" i="2" s="1"/>
  <c r="J57" i="2" s="1"/>
  <c r="F13" i="2"/>
  <c r="F11" i="2" s="1"/>
  <c r="F9" i="2" s="1"/>
  <c r="J30" i="2"/>
  <c r="C39" i="2"/>
  <c r="J13" i="2"/>
  <c r="D22" i="2"/>
  <c r="H39" i="2"/>
  <c r="H36" i="2" s="1"/>
  <c r="D42" i="2"/>
  <c r="D41" i="2" s="1"/>
  <c r="C43" i="2"/>
  <c r="D83" i="2"/>
  <c r="C84" i="2"/>
  <c r="C83" i="2" s="1"/>
  <c r="D59" i="2"/>
  <c r="C59" i="2" s="1"/>
  <c r="C62" i="2"/>
  <c r="C86" i="2"/>
  <c r="C82" i="2" s="1"/>
  <c r="C76" i="2" s="1"/>
  <c r="D21" i="2"/>
  <c r="D13" i="2" s="1"/>
  <c r="C22" i="2"/>
  <c r="C21" i="2" s="1"/>
  <c r="G13" i="2"/>
  <c r="G11" i="2" s="1"/>
  <c r="G9" i="2" s="1"/>
  <c r="H33" i="2"/>
  <c r="H32" i="2" s="1"/>
  <c r="D86" i="2"/>
  <c r="H13" i="2"/>
  <c r="H80" i="2"/>
  <c r="H79" i="2" s="1"/>
  <c r="I13" i="2"/>
  <c r="C48" i="2"/>
  <c r="C47" i="2" s="1"/>
  <c r="E21" i="2"/>
  <c r="E13" i="2" s="1"/>
  <c r="G86" i="2"/>
  <c r="G82" i="2" s="1"/>
  <c r="G77" i="2" s="1"/>
  <c r="G76" i="2" s="1"/>
  <c r="C45" i="2"/>
  <c r="H66" i="2"/>
  <c r="H65" i="2" s="1"/>
  <c r="H64" i="2" s="1"/>
  <c r="H58" i="2" s="1"/>
  <c r="H48" i="2"/>
  <c r="H47" i="2" s="1"/>
  <c r="F82" i="2"/>
  <c r="F77" i="2" s="1"/>
  <c r="F76" i="2" s="1"/>
  <c r="G61" i="2"/>
  <c r="G59" i="2" s="1"/>
  <c r="G58" i="2" s="1"/>
  <c r="E58" i="2"/>
  <c r="C33" i="2"/>
  <c r="D32" i="2"/>
  <c r="D31" i="2" s="1"/>
  <c r="D30" i="2" s="1"/>
  <c r="I77" i="2"/>
  <c r="I76" i="2" s="1"/>
  <c r="F58" i="2"/>
  <c r="I42" i="2"/>
  <c r="I41" i="2" s="1"/>
  <c r="I31" i="2"/>
  <c r="I30" i="2" s="1"/>
  <c r="I66" i="2"/>
  <c r="I65" i="2" s="1"/>
  <c r="I64" i="2" s="1"/>
  <c r="I58" i="2" s="1"/>
  <c r="D54" i="2"/>
  <c r="D53" i="2" s="1"/>
  <c r="C68" i="2"/>
  <c r="D48" i="2"/>
  <c r="D47" i="2" s="1"/>
  <c r="E32" i="2"/>
  <c r="E31" i="2" s="1"/>
  <c r="E30" i="2" s="1"/>
  <c r="C13" i="2" l="1"/>
  <c r="E57" i="2"/>
  <c r="J11" i="2"/>
  <c r="J9" i="2" s="1"/>
  <c r="C67" i="2"/>
  <c r="C66" i="2" s="1"/>
  <c r="C65" i="2" s="1"/>
  <c r="C64" i="2" s="1"/>
  <c r="C58" i="2" s="1"/>
  <c r="C57" i="2" s="1"/>
  <c r="D66" i="2"/>
  <c r="D65" i="2" s="1"/>
  <c r="D64" i="2" s="1"/>
  <c r="D58" i="2" s="1"/>
  <c r="G7" i="2"/>
  <c r="C34" i="2"/>
  <c r="C32" i="2" s="1"/>
  <c r="C31" i="2" s="1"/>
  <c r="C30" i="2" s="1"/>
  <c r="C11" i="2" s="1"/>
  <c r="C9" i="2" s="1"/>
  <c r="C7" i="2" s="1"/>
  <c r="F57" i="2"/>
  <c r="C42" i="2"/>
  <c r="C41" i="2" s="1"/>
  <c r="C36" i="2"/>
  <c r="D82" i="2"/>
  <c r="D77" i="2" s="1"/>
  <c r="D76" i="2" s="1"/>
  <c r="H78" i="2"/>
  <c r="H77" i="2" s="1"/>
  <c r="H76" i="2" s="1"/>
  <c r="H57" i="2" s="1"/>
  <c r="C79" i="2"/>
  <c r="F7" i="2"/>
  <c r="C61" i="2"/>
  <c r="D61" i="2"/>
  <c r="D11" i="2"/>
  <c r="D9" i="2" s="1"/>
  <c r="E11" i="2"/>
  <c r="E9" i="2" s="1"/>
  <c r="E7" i="2" s="1"/>
  <c r="I11" i="2"/>
  <c r="I9" i="2" s="1"/>
  <c r="I7" i="2" s="1"/>
  <c r="H31" i="2"/>
  <c r="H30" i="2" s="1"/>
  <c r="H11" i="2" s="1"/>
  <c r="H9" i="2" s="1"/>
  <c r="H7" i="2" s="1"/>
  <c r="D7" i="2"/>
  <c r="AB9" i="2"/>
  <c r="I57" i="2"/>
  <c r="G57" i="2"/>
  <c r="J7" i="2"/>
  <c r="D57" i="2" l="1"/>
  <c r="O14" i="2"/>
  <c r="AL239" i="1"/>
  <c r="AJ239" i="1" s="1"/>
  <c r="AJ237" i="1" s="1"/>
  <c r="AJ236" i="1" s="1"/>
  <c r="AE239" i="1"/>
  <c r="Y239" i="1"/>
  <c r="D239" i="1"/>
  <c r="AL238" i="1"/>
  <c r="AJ238" i="1"/>
  <c r="AE238" i="1"/>
  <c r="Y238" i="1"/>
  <c r="D238" i="1"/>
  <c r="D237" i="1" s="1"/>
  <c r="D236" i="1" s="1"/>
  <c r="C238" i="1"/>
  <c r="AO237" i="1"/>
  <c r="AO236" i="1" s="1"/>
  <c r="AN237" i="1"/>
  <c r="AN236" i="1" s="1"/>
  <c r="AM237" i="1"/>
  <c r="AM236" i="1" s="1"/>
  <c r="AL237" i="1"/>
  <c r="AL236" i="1" s="1"/>
  <c r="AK237" i="1"/>
  <c r="AK236" i="1" s="1"/>
  <c r="AI237" i="1"/>
  <c r="AI236" i="1" s="1"/>
  <c r="AH237" i="1"/>
  <c r="AH236" i="1" s="1"/>
  <c r="AG237" i="1"/>
  <c r="AG236" i="1" s="1"/>
  <c r="AF237" i="1"/>
  <c r="AF236" i="1" s="1"/>
  <c r="AD237" i="1"/>
  <c r="AD236" i="1" s="1"/>
  <c r="AC237" i="1"/>
  <c r="AC236" i="1" s="1"/>
  <c r="AB237" i="1"/>
  <c r="AA237" i="1"/>
  <c r="AA236" i="1" s="1"/>
  <c r="Z237" i="1"/>
  <c r="Z236" i="1" s="1"/>
  <c r="X237" i="1"/>
  <c r="X236" i="1" s="1"/>
  <c r="W237" i="1"/>
  <c r="W236" i="1" s="1"/>
  <c r="V237" i="1"/>
  <c r="V236" i="1" s="1"/>
  <c r="U237" i="1"/>
  <c r="T237" i="1"/>
  <c r="T236" i="1" s="1"/>
  <c r="S237" i="1"/>
  <c r="S236" i="1" s="1"/>
  <c r="R237" i="1"/>
  <c r="R236" i="1" s="1"/>
  <c r="Q237" i="1"/>
  <c r="Q236" i="1" s="1"/>
  <c r="P237" i="1"/>
  <c r="P236" i="1" s="1"/>
  <c r="O237" i="1"/>
  <c r="O236" i="1" s="1"/>
  <c r="N237" i="1"/>
  <c r="N236" i="1" s="1"/>
  <c r="M237" i="1"/>
  <c r="M236" i="1" s="1"/>
  <c r="L237" i="1"/>
  <c r="L236" i="1" s="1"/>
  <c r="K237" i="1"/>
  <c r="K236" i="1" s="1"/>
  <c r="J237" i="1"/>
  <c r="J236" i="1" s="1"/>
  <c r="I237" i="1"/>
  <c r="I236" i="1" s="1"/>
  <c r="H237" i="1"/>
  <c r="H236" i="1" s="1"/>
  <c r="G237" i="1"/>
  <c r="G236" i="1" s="1"/>
  <c r="F237" i="1"/>
  <c r="F236" i="1" s="1"/>
  <c r="E237" i="1"/>
  <c r="AB236" i="1"/>
  <c r="U236" i="1"/>
  <c r="E236" i="1"/>
  <c r="AL234" i="1"/>
  <c r="AJ234" i="1" s="1"/>
  <c r="AE234" i="1"/>
  <c r="Y234" i="1"/>
  <c r="D234" i="1"/>
  <c r="AL233" i="1"/>
  <c r="AJ233" i="1" s="1"/>
  <c r="AH233" i="1"/>
  <c r="AE233" i="1" s="1"/>
  <c r="Y233" i="1"/>
  <c r="D233" i="1"/>
  <c r="AL232" i="1"/>
  <c r="AJ232" i="1" s="1"/>
  <c r="AJ231" i="1" s="1"/>
  <c r="AH232" i="1"/>
  <c r="AE232" i="1"/>
  <c r="Y232" i="1"/>
  <c r="D232" i="1"/>
  <c r="AO231" i="1"/>
  <c r="AN231" i="1"/>
  <c r="AM231" i="1"/>
  <c r="AK231" i="1"/>
  <c r="AI231" i="1"/>
  <c r="AG231" i="1"/>
  <c r="AF231" i="1"/>
  <c r="AD231" i="1"/>
  <c r="AC231" i="1"/>
  <c r="AB231" i="1"/>
  <c r="AA231" i="1"/>
  <c r="Z231" i="1"/>
  <c r="X231" i="1"/>
  <c r="W231" i="1"/>
  <c r="V231" i="1"/>
  <c r="U231" i="1"/>
  <c r="T231" i="1"/>
  <c r="T226" i="1" s="1"/>
  <c r="S231" i="1"/>
  <c r="R231" i="1"/>
  <c r="R226" i="1" s="1"/>
  <c r="Q231" i="1"/>
  <c r="P231" i="1"/>
  <c r="O231" i="1"/>
  <c r="N231" i="1"/>
  <c r="M231" i="1"/>
  <c r="L231" i="1"/>
  <c r="K231" i="1"/>
  <c r="J231" i="1"/>
  <c r="I231" i="1"/>
  <c r="H231" i="1"/>
  <c r="G231" i="1"/>
  <c r="F231" i="1"/>
  <c r="E231" i="1"/>
  <c r="AL229" i="1"/>
  <c r="AL228" i="1" s="1"/>
  <c r="AI229" i="1"/>
  <c r="AI228" i="1" s="1"/>
  <c r="AI226" i="1" s="1"/>
  <c r="AH229" i="1"/>
  <c r="AH228" i="1" s="1"/>
  <c r="Y229" i="1"/>
  <c r="Y228" i="1" s="1"/>
  <c r="D229" i="1"/>
  <c r="D228" i="1" s="1"/>
  <c r="AO228" i="1"/>
  <c r="AO226" i="1" s="1"/>
  <c r="AN228" i="1"/>
  <c r="AN226" i="1" s="1"/>
  <c r="AM228" i="1"/>
  <c r="AK228" i="1"/>
  <c r="AG228" i="1"/>
  <c r="AG226" i="1" s="1"/>
  <c r="AF228" i="1"/>
  <c r="AD228" i="1"/>
  <c r="AD226" i="1" s="1"/>
  <c r="AC228" i="1"/>
  <c r="AB228" i="1"/>
  <c r="AB226" i="1" s="1"/>
  <c r="AA228" i="1"/>
  <c r="AA226" i="1" s="1"/>
  <c r="Z228" i="1"/>
  <c r="Z226" i="1" s="1"/>
  <c r="X228" i="1"/>
  <c r="W228" i="1"/>
  <c r="V228" i="1"/>
  <c r="U228" i="1"/>
  <c r="T228" i="1"/>
  <c r="S228" i="1"/>
  <c r="R228" i="1"/>
  <c r="Q228" i="1"/>
  <c r="P228" i="1"/>
  <c r="O228" i="1"/>
  <c r="N228" i="1"/>
  <c r="M228" i="1"/>
  <c r="M226" i="1" s="1"/>
  <c r="L228" i="1"/>
  <c r="K228" i="1"/>
  <c r="J228" i="1"/>
  <c r="I228" i="1"/>
  <c r="I226" i="1" s="1"/>
  <c r="H228" i="1"/>
  <c r="H226" i="1" s="1"/>
  <c r="G228" i="1"/>
  <c r="F228" i="1"/>
  <c r="F226" i="1" s="1"/>
  <c r="E228" i="1"/>
  <c r="E226" i="1" s="1"/>
  <c r="AL224" i="1"/>
  <c r="AE224" i="1"/>
  <c r="AE223" i="1" s="1"/>
  <c r="Y224" i="1"/>
  <c r="Y223" i="1" s="1"/>
  <c r="D224" i="1"/>
  <c r="D223" i="1" s="1"/>
  <c r="AO223" i="1"/>
  <c r="AN223" i="1"/>
  <c r="AM223" i="1"/>
  <c r="AK223" i="1"/>
  <c r="AI223" i="1"/>
  <c r="AH223" i="1"/>
  <c r="AG223" i="1"/>
  <c r="AF223" i="1"/>
  <c r="AD223" i="1"/>
  <c r="AC223" i="1"/>
  <c r="AB223" i="1"/>
  <c r="AA223" i="1"/>
  <c r="Z223" i="1"/>
  <c r="X223" i="1"/>
  <c r="W223" i="1"/>
  <c r="V223" i="1"/>
  <c r="U223" i="1"/>
  <c r="T223" i="1"/>
  <c r="S223" i="1"/>
  <c r="R223" i="1"/>
  <c r="Q223" i="1"/>
  <c r="P223" i="1"/>
  <c r="O223" i="1"/>
  <c r="N223" i="1"/>
  <c r="M223" i="1"/>
  <c r="L223" i="1"/>
  <c r="K223" i="1"/>
  <c r="J223" i="1"/>
  <c r="I223" i="1"/>
  <c r="H223" i="1"/>
  <c r="G223" i="1"/>
  <c r="F223" i="1"/>
  <c r="E223" i="1"/>
  <c r="AL221" i="1"/>
  <c r="AJ221" i="1" s="1"/>
  <c r="AE221" i="1"/>
  <c r="Y221" i="1"/>
  <c r="D221" i="1"/>
  <c r="AL220" i="1"/>
  <c r="AJ220" i="1"/>
  <c r="AE220" i="1"/>
  <c r="Y220" i="1"/>
  <c r="M220" i="1"/>
  <c r="M219" i="1" s="1"/>
  <c r="D220" i="1"/>
  <c r="D219" i="1" s="1"/>
  <c r="AO219" i="1"/>
  <c r="AN219" i="1"/>
  <c r="AM219" i="1"/>
  <c r="AK219" i="1"/>
  <c r="AI219" i="1"/>
  <c r="AH219" i="1"/>
  <c r="AG219" i="1"/>
  <c r="AF219" i="1"/>
  <c r="AD219" i="1"/>
  <c r="AC219" i="1"/>
  <c r="AB219" i="1"/>
  <c r="AA219" i="1"/>
  <c r="Z219" i="1"/>
  <c r="X219" i="1"/>
  <c r="W219" i="1"/>
  <c r="V219" i="1"/>
  <c r="U219" i="1"/>
  <c r="T219" i="1"/>
  <c r="S219" i="1"/>
  <c r="R219" i="1"/>
  <c r="Q219" i="1"/>
  <c r="P219" i="1"/>
  <c r="O219" i="1"/>
  <c r="N219" i="1"/>
  <c r="L219" i="1"/>
  <c r="K219" i="1"/>
  <c r="J219" i="1"/>
  <c r="I219" i="1"/>
  <c r="H219" i="1"/>
  <c r="G219" i="1"/>
  <c r="F219" i="1"/>
  <c r="E219" i="1"/>
  <c r="AL217" i="1"/>
  <c r="AJ217" i="1"/>
  <c r="AE217" i="1"/>
  <c r="Y217" i="1"/>
  <c r="D217" i="1"/>
  <c r="C217" i="1" s="1"/>
  <c r="AL216" i="1"/>
  <c r="AJ216" i="1"/>
  <c r="AE216" i="1"/>
  <c r="Y216" i="1"/>
  <c r="Y215" i="1" s="1"/>
  <c r="D216" i="1"/>
  <c r="AO215" i="1"/>
  <c r="AN215" i="1"/>
  <c r="AM215" i="1"/>
  <c r="AK215" i="1"/>
  <c r="AI215" i="1"/>
  <c r="AH215" i="1"/>
  <c r="AG215" i="1"/>
  <c r="AF215" i="1"/>
  <c r="AD215" i="1"/>
  <c r="AC215" i="1"/>
  <c r="AB215" i="1"/>
  <c r="AA215" i="1"/>
  <c r="Z215" i="1"/>
  <c r="X215" i="1"/>
  <c r="W215" i="1"/>
  <c r="V215" i="1"/>
  <c r="U215" i="1"/>
  <c r="T215" i="1"/>
  <c r="S215" i="1"/>
  <c r="R215" i="1"/>
  <c r="Q215" i="1"/>
  <c r="P215" i="1"/>
  <c r="O215" i="1"/>
  <c r="N215" i="1"/>
  <c r="M215" i="1"/>
  <c r="L215" i="1"/>
  <c r="K215" i="1"/>
  <c r="J215" i="1"/>
  <c r="I215" i="1"/>
  <c r="H215" i="1"/>
  <c r="G215" i="1"/>
  <c r="F215" i="1"/>
  <c r="E215" i="1"/>
  <c r="AL213" i="1"/>
  <c r="AJ213" i="1" s="1"/>
  <c r="AE213" i="1"/>
  <c r="Y213" i="1"/>
  <c r="D213" i="1"/>
  <c r="AL212" i="1"/>
  <c r="AK212" i="1"/>
  <c r="AE212" i="1"/>
  <c r="Y212" i="1"/>
  <c r="H212" i="1"/>
  <c r="D212" i="1" s="1"/>
  <c r="AL211" i="1"/>
  <c r="AJ211" i="1" s="1"/>
  <c r="AE211" i="1"/>
  <c r="Y211" i="1"/>
  <c r="D211" i="1"/>
  <c r="AO210" i="1"/>
  <c r="AN210" i="1"/>
  <c r="AM210" i="1"/>
  <c r="AK210" i="1"/>
  <c r="AI210" i="1"/>
  <c r="AH210" i="1"/>
  <c r="AG210" i="1"/>
  <c r="AF210" i="1"/>
  <c r="AD210" i="1"/>
  <c r="AC210" i="1"/>
  <c r="AB210" i="1"/>
  <c r="AA210" i="1"/>
  <c r="Z210" i="1"/>
  <c r="X210" i="1"/>
  <c r="W210" i="1"/>
  <c r="V210" i="1"/>
  <c r="U210" i="1"/>
  <c r="T210" i="1"/>
  <c r="S210" i="1"/>
  <c r="R210" i="1"/>
  <c r="Q210" i="1"/>
  <c r="P210" i="1"/>
  <c r="O210" i="1"/>
  <c r="N210" i="1"/>
  <c r="M210" i="1"/>
  <c r="L210" i="1"/>
  <c r="K210" i="1"/>
  <c r="J210" i="1"/>
  <c r="I210" i="1"/>
  <c r="H210" i="1"/>
  <c r="G210" i="1"/>
  <c r="F210" i="1"/>
  <c r="E210" i="1"/>
  <c r="AL208" i="1"/>
  <c r="AJ208" i="1" s="1"/>
  <c r="AJ207" i="1" s="1"/>
  <c r="AE208" i="1"/>
  <c r="AE207" i="1" s="1"/>
  <c r="Y208" i="1"/>
  <c r="Y207" i="1" s="1"/>
  <c r="D208" i="1"/>
  <c r="D207" i="1" s="1"/>
  <c r="AO207" i="1"/>
  <c r="AN207" i="1"/>
  <c r="AM207" i="1"/>
  <c r="AK207" i="1"/>
  <c r="AI207" i="1"/>
  <c r="AH207" i="1"/>
  <c r="AG207" i="1"/>
  <c r="AF207" i="1"/>
  <c r="AD207" i="1"/>
  <c r="AC207" i="1"/>
  <c r="AB207" i="1"/>
  <c r="AA207" i="1"/>
  <c r="Z207" i="1"/>
  <c r="X207" i="1"/>
  <c r="W207" i="1"/>
  <c r="V207" i="1"/>
  <c r="V205" i="1" s="1"/>
  <c r="U207" i="1"/>
  <c r="T207" i="1"/>
  <c r="S207" i="1"/>
  <c r="R207" i="1"/>
  <c r="Q207" i="1"/>
  <c r="P207" i="1"/>
  <c r="O207" i="1"/>
  <c r="N207" i="1"/>
  <c r="M207" i="1"/>
  <c r="L207" i="1"/>
  <c r="K207" i="1"/>
  <c r="J207" i="1"/>
  <c r="I207" i="1"/>
  <c r="H207" i="1"/>
  <c r="G207" i="1"/>
  <c r="F207" i="1"/>
  <c r="E207" i="1"/>
  <c r="AI205" i="1"/>
  <c r="G205" i="1"/>
  <c r="F205" i="1"/>
  <c r="AL203" i="1"/>
  <c r="AL202" i="1" s="1"/>
  <c r="AK203" i="1"/>
  <c r="AJ203" i="1" s="1"/>
  <c r="AJ202" i="1" s="1"/>
  <c r="AE203" i="1"/>
  <c r="Y203" i="1"/>
  <c r="I203" i="1"/>
  <c r="D203" i="1" s="1"/>
  <c r="D202" i="1" s="1"/>
  <c r="AO202" i="1"/>
  <c r="AN202" i="1"/>
  <c r="AM202" i="1"/>
  <c r="AI202" i="1"/>
  <c r="AH202" i="1"/>
  <c r="AG202" i="1"/>
  <c r="AF202" i="1"/>
  <c r="AE202" i="1"/>
  <c r="AD202" i="1"/>
  <c r="AC202" i="1"/>
  <c r="AB202" i="1"/>
  <c r="AA202" i="1"/>
  <c r="Z202" i="1"/>
  <c r="Y202" i="1"/>
  <c r="X202" i="1"/>
  <c r="W202" i="1"/>
  <c r="V202" i="1"/>
  <c r="U202" i="1"/>
  <c r="T202" i="1"/>
  <c r="S202" i="1"/>
  <c r="R202" i="1"/>
  <c r="Q202" i="1"/>
  <c r="P202" i="1"/>
  <c r="O202" i="1"/>
  <c r="N202" i="1"/>
  <c r="M202" i="1"/>
  <c r="L202" i="1"/>
  <c r="K202" i="1"/>
  <c r="J202" i="1"/>
  <c r="H202" i="1"/>
  <c r="G202" i="1"/>
  <c r="F202" i="1"/>
  <c r="E202" i="1"/>
  <c r="AL200" i="1"/>
  <c r="AJ200" i="1" s="1"/>
  <c r="AJ199" i="1" s="1"/>
  <c r="AE200" i="1"/>
  <c r="AE199" i="1" s="1"/>
  <c r="Y200" i="1"/>
  <c r="D200" i="1"/>
  <c r="D199" i="1" s="1"/>
  <c r="AO199" i="1"/>
  <c r="AN199" i="1"/>
  <c r="AM199" i="1"/>
  <c r="AK199" i="1"/>
  <c r="AI199" i="1"/>
  <c r="AH199" i="1"/>
  <c r="AG199" i="1"/>
  <c r="AF199" i="1"/>
  <c r="AD199" i="1"/>
  <c r="AC199" i="1"/>
  <c r="AB199" i="1"/>
  <c r="AA199" i="1"/>
  <c r="Z199" i="1"/>
  <c r="X199" i="1"/>
  <c r="W199" i="1"/>
  <c r="V199" i="1"/>
  <c r="U199" i="1"/>
  <c r="T199" i="1"/>
  <c r="S199" i="1"/>
  <c r="R199" i="1"/>
  <c r="Q199" i="1"/>
  <c r="P199" i="1"/>
  <c r="O199" i="1"/>
  <c r="N199" i="1"/>
  <c r="M199" i="1"/>
  <c r="L199" i="1"/>
  <c r="K199" i="1"/>
  <c r="J199" i="1"/>
  <c r="I199" i="1"/>
  <c r="H199" i="1"/>
  <c r="G199" i="1"/>
  <c r="F199" i="1"/>
  <c r="E199" i="1"/>
  <c r="AL197" i="1"/>
  <c r="AJ197" i="1" s="1"/>
  <c r="AE197" i="1"/>
  <c r="Y197" i="1"/>
  <c r="D197" i="1"/>
  <c r="AL195" i="1"/>
  <c r="AJ195" i="1" s="1"/>
  <c r="AE195" i="1"/>
  <c r="Y195" i="1"/>
  <c r="D195" i="1"/>
  <c r="C195" i="1" s="1"/>
  <c r="AL194" i="1"/>
  <c r="AJ194" i="1" s="1"/>
  <c r="AE194" i="1"/>
  <c r="Y194" i="1"/>
  <c r="D194" i="1"/>
  <c r="AL193" i="1"/>
  <c r="AE193" i="1"/>
  <c r="Y193" i="1"/>
  <c r="D193" i="1"/>
  <c r="AL192" i="1"/>
  <c r="AJ192" i="1" s="1"/>
  <c r="AE192" i="1"/>
  <c r="Y192" i="1"/>
  <c r="D192" i="1"/>
  <c r="AO191" i="1"/>
  <c r="AO188" i="1" s="1"/>
  <c r="AN191" i="1"/>
  <c r="AN188" i="1" s="1"/>
  <c r="AM191" i="1"/>
  <c r="AM188" i="1" s="1"/>
  <c r="AK191" i="1"/>
  <c r="AI191" i="1"/>
  <c r="AI188" i="1" s="1"/>
  <c r="AH191" i="1"/>
  <c r="AH188" i="1" s="1"/>
  <c r="AG191" i="1"/>
  <c r="AG188" i="1" s="1"/>
  <c r="AF191" i="1"/>
  <c r="AF188" i="1" s="1"/>
  <c r="AD191" i="1"/>
  <c r="AD188" i="1" s="1"/>
  <c r="AC191" i="1"/>
  <c r="AC188" i="1" s="1"/>
  <c r="AB191" i="1"/>
  <c r="AB188" i="1" s="1"/>
  <c r="AA191" i="1"/>
  <c r="AA188" i="1" s="1"/>
  <c r="AA179" i="1" s="1"/>
  <c r="Z191" i="1"/>
  <c r="Z188" i="1" s="1"/>
  <c r="Z179" i="1" s="1"/>
  <c r="X191" i="1"/>
  <c r="X188" i="1" s="1"/>
  <c r="W191" i="1"/>
  <c r="W188" i="1" s="1"/>
  <c r="W179" i="1" s="1"/>
  <c r="V191" i="1"/>
  <c r="V188" i="1" s="1"/>
  <c r="U191" i="1"/>
  <c r="U188" i="1" s="1"/>
  <c r="T191" i="1"/>
  <c r="T188" i="1" s="1"/>
  <c r="T179" i="1" s="1"/>
  <c r="S191" i="1"/>
  <c r="S188" i="1" s="1"/>
  <c r="R191" i="1"/>
  <c r="R188" i="1" s="1"/>
  <c r="Q191" i="1"/>
  <c r="Q188" i="1" s="1"/>
  <c r="P191" i="1"/>
  <c r="P188" i="1" s="1"/>
  <c r="O191" i="1"/>
  <c r="N191" i="1"/>
  <c r="N188" i="1" s="1"/>
  <c r="M191" i="1"/>
  <c r="M188" i="1" s="1"/>
  <c r="L191" i="1"/>
  <c r="L188" i="1" s="1"/>
  <c r="K191" i="1"/>
  <c r="K188" i="1" s="1"/>
  <c r="J191" i="1"/>
  <c r="J188" i="1" s="1"/>
  <c r="I191" i="1"/>
  <c r="I188" i="1" s="1"/>
  <c r="H191" i="1"/>
  <c r="H188" i="1" s="1"/>
  <c r="G191" i="1"/>
  <c r="G188" i="1" s="1"/>
  <c r="F191" i="1"/>
  <c r="F188" i="1" s="1"/>
  <c r="E191" i="1"/>
  <c r="E188" i="1" s="1"/>
  <c r="AL189" i="1"/>
  <c r="AK189" i="1"/>
  <c r="AJ189" i="1" s="1"/>
  <c r="AE189" i="1"/>
  <c r="Y189" i="1"/>
  <c r="O189" i="1"/>
  <c r="D189" i="1" s="1"/>
  <c r="AL186" i="1"/>
  <c r="AJ186" i="1" s="1"/>
  <c r="AE186" i="1"/>
  <c r="Y186" i="1"/>
  <c r="D186" i="1"/>
  <c r="AL185" i="1"/>
  <c r="AK185" i="1"/>
  <c r="AJ185" i="1"/>
  <c r="AE185" i="1"/>
  <c r="Y185" i="1"/>
  <c r="I185" i="1"/>
  <c r="I181" i="1" s="1"/>
  <c r="AL184" i="1"/>
  <c r="AJ184" i="1"/>
  <c r="AE184" i="1"/>
  <c r="Y184" i="1"/>
  <c r="D184" i="1"/>
  <c r="AL183" i="1"/>
  <c r="AK183" i="1"/>
  <c r="AE183" i="1"/>
  <c r="Y183" i="1"/>
  <c r="O183" i="1"/>
  <c r="O181" i="1" s="1"/>
  <c r="AL182" i="1"/>
  <c r="AJ182" i="1" s="1"/>
  <c r="AE182" i="1"/>
  <c r="Y182" i="1"/>
  <c r="D182" i="1"/>
  <c r="AO181" i="1"/>
  <c r="AN181" i="1"/>
  <c r="AM181" i="1"/>
  <c r="AI181" i="1"/>
  <c r="AH181" i="1"/>
  <c r="AG181" i="1"/>
  <c r="AF181" i="1"/>
  <c r="AD181" i="1"/>
  <c r="AC181" i="1"/>
  <c r="AB181" i="1"/>
  <c r="AA181" i="1"/>
  <c r="Z181" i="1"/>
  <c r="X181" i="1"/>
  <c r="W181" i="1"/>
  <c r="V181" i="1"/>
  <c r="U181" i="1"/>
  <c r="T181" i="1"/>
  <c r="S181" i="1"/>
  <c r="R181" i="1"/>
  <c r="Q181" i="1"/>
  <c r="P181" i="1"/>
  <c r="N181" i="1"/>
  <c r="M181" i="1"/>
  <c r="L181" i="1"/>
  <c r="K181" i="1"/>
  <c r="J181" i="1"/>
  <c r="H181" i="1"/>
  <c r="H179" i="1" s="1"/>
  <c r="G181" i="1"/>
  <c r="F181" i="1"/>
  <c r="E181" i="1"/>
  <c r="E179" i="1" s="1"/>
  <c r="AL177" i="1"/>
  <c r="AJ177" i="1"/>
  <c r="AE177" i="1"/>
  <c r="Y177" i="1"/>
  <c r="D177" i="1"/>
  <c r="AL176" i="1"/>
  <c r="AE176" i="1"/>
  <c r="AE175" i="1" s="1"/>
  <c r="Y176" i="1"/>
  <c r="D176" i="1"/>
  <c r="AO175" i="1"/>
  <c r="AN175" i="1"/>
  <c r="AM175" i="1"/>
  <c r="AK175" i="1"/>
  <c r="AI175" i="1"/>
  <c r="AH175" i="1"/>
  <c r="AG175" i="1"/>
  <c r="AF175" i="1"/>
  <c r="AD175" i="1"/>
  <c r="AC175" i="1"/>
  <c r="AB175" i="1"/>
  <c r="AA175" i="1"/>
  <c r="Z175" i="1"/>
  <c r="X175" i="1"/>
  <c r="W175" i="1"/>
  <c r="V175" i="1"/>
  <c r="U175" i="1"/>
  <c r="T175" i="1"/>
  <c r="S175" i="1"/>
  <c r="R175" i="1"/>
  <c r="Q175" i="1"/>
  <c r="P175" i="1"/>
  <c r="O175" i="1"/>
  <c r="N175" i="1"/>
  <c r="M175" i="1"/>
  <c r="L175" i="1"/>
  <c r="K175" i="1"/>
  <c r="J175" i="1"/>
  <c r="I175" i="1"/>
  <c r="H175" i="1"/>
  <c r="G175" i="1"/>
  <c r="F175" i="1"/>
  <c r="E175" i="1"/>
  <c r="AL173" i="1"/>
  <c r="AJ173" i="1" s="1"/>
  <c r="AJ172" i="1" s="1"/>
  <c r="AJ171" i="1" s="1"/>
  <c r="AE173" i="1"/>
  <c r="AE172" i="1" s="1"/>
  <c r="AE171" i="1" s="1"/>
  <c r="Y173" i="1"/>
  <c r="Y172" i="1" s="1"/>
  <c r="Y171" i="1" s="1"/>
  <c r="D173" i="1"/>
  <c r="D172" i="1" s="1"/>
  <c r="D171" i="1" s="1"/>
  <c r="AO172" i="1"/>
  <c r="AO171" i="1" s="1"/>
  <c r="AN172" i="1"/>
  <c r="AN171" i="1" s="1"/>
  <c r="AM172" i="1"/>
  <c r="AM171" i="1" s="1"/>
  <c r="AK172" i="1"/>
  <c r="AK171" i="1" s="1"/>
  <c r="AI172" i="1"/>
  <c r="AI171" i="1" s="1"/>
  <c r="AH172" i="1"/>
  <c r="AH171" i="1" s="1"/>
  <c r="AG172" i="1"/>
  <c r="AG171" i="1" s="1"/>
  <c r="AF172" i="1"/>
  <c r="AF171" i="1" s="1"/>
  <c r="AD172" i="1"/>
  <c r="AD171" i="1" s="1"/>
  <c r="AC172" i="1"/>
  <c r="AC171" i="1" s="1"/>
  <c r="AB172" i="1"/>
  <c r="AB171" i="1" s="1"/>
  <c r="AA172" i="1"/>
  <c r="AA171" i="1" s="1"/>
  <c r="Z172" i="1"/>
  <c r="Z171" i="1" s="1"/>
  <c r="X172" i="1"/>
  <c r="X171" i="1" s="1"/>
  <c r="W172" i="1"/>
  <c r="W171" i="1" s="1"/>
  <c r="V172" i="1"/>
  <c r="V171" i="1" s="1"/>
  <c r="U172" i="1"/>
  <c r="U171" i="1" s="1"/>
  <c r="T172" i="1"/>
  <c r="T171" i="1" s="1"/>
  <c r="S172" i="1"/>
  <c r="S171" i="1" s="1"/>
  <c r="R172" i="1"/>
  <c r="R171" i="1" s="1"/>
  <c r="Q172" i="1"/>
  <c r="P172" i="1"/>
  <c r="P171" i="1" s="1"/>
  <c r="O172" i="1"/>
  <c r="O171" i="1" s="1"/>
  <c r="N172" i="1"/>
  <c r="N171" i="1" s="1"/>
  <c r="M172" i="1"/>
  <c r="M171" i="1" s="1"/>
  <c r="L172" i="1"/>
  <c r="L171" i="1" s="1"/>
  <c r="K172" i="1"/>
  <c r="K171" i="1" s="1"/>
  <c r="J172" i="1"/>
  <c r="J171" i="1" s="1"/>
  <c r="I172" i="1"/>
  <c r="I171" i="1" s="1"/>
  <c r="H172" i="1"/>
  <c r="H171" i="1" s="1"/>
  <c r="G172" i="1"/>
  <c r="G171" i="1" s="1"/>
  <c r="F172" i="1"/>
  <c r="F171" i="1" s="1"/>
  <c r="E172" i="1"/>
  <c r="E171" i="1" s="1"/>
  <c r="Q171" i="1"/>
  <c r="AL169" i="1"/>
  <c r="AJ169" i="1" s="1"/>
  <c r="AE169" i="1"/>
  <c r="Y169" i="1"/>
  <c r="D169" i="1"/>
  <c r="AL168" i="1"/>
  <c r="AJ168" i="1" s="1"/>
  <c r="AE168" i="1"/>
  <c r="Y168" i="1"/>
  <c r="D168" i="1"/>
  <c r="AL167" i="1"/>
  <c r="AJ167" i="1" s="1"/>
  <c r="AE167" i="1"/>
  <c r="Y167" i="1"/>
  <c r="D167" i="1"/>
  <c r="AL166" i="1"/>
  <c r="AJ166" i="1" s="1"/>
  <c r="AE166" i="1"/>
  <c r="Y166" i="1"/>
  <c r="D166" i="1"/>
  <c r="AO165" i="1"/>
  <c r="AL165" i="1"/>
  <c r="AJ165" i="1"/>
  <c r="AG165" i="1"/>
  <c r="AE165" i="1" s="1"/>
  <c r="Y165" i="1"/>
  <c r="R165" i="1"/>
  <c r="D165" i="1" s="1"/>
  <c r="AL164" i="1"/>
  <c r="AJ164" i="1" s="1"/>
  <c r="AE164" i="1"/>
  <c r="Y164" i="1"/>
  <c r="D164" i="1"/>
  <c r="AO163" i="1"/>
  <c r="AL163" i="1" s="1"/>
  <c r="AG163" i="1"/>
  <c r="AE163" i="1" s="1"/>
  <c r="Y163" i="1"/>
  <c r="R163" i="1"/>
  <c r="J163" i="1"/>
  <c r="J162" i="1" s="1"/>
  <c r="AN162" i="1"/>
  <c r="AM162" i="1"/>
  <c r="AK162" i="1"/>
  <c r="AI162" i="1"/>
  <c r="AH162" i="1"/>
  <c r="AF162" i="1"/>
  <c r="AD162" i="1"/>
  <c r="AC162" i="1"/>
  <c r="AB162" i="1"/>
  <c r="AA162" i="1"/>
  <c r="Z162" i="1"/>
  <c r="X162" i="1"/>
  <c r="W162" i="1"/>
  <c r="V162" i="1"/>
  <c r="U162" i="1"/>
  <c r="T162" i="1"/>
  <c r="S162" i="1"/>
  <c r="Q162" i="1"/>
  <c r="P162" i="1"/>
  <c r="O162" i="1"/>
  <c r="N162" i="1"/>
  <c r="M162" i="1"/>
  <c r="L162" i="1"/>
  <c r="K162" i="1"/>
  <c r="I162" i="1"/>
  <c r="H162" i="1"/>
  <c r="G162" i="1"/>
  <c r="F162" i="1"/>
  <c r="E162" i="1"/>
  <c r="AL160" i="1"/>
  <c r="AJ160" i="1" s="1"/>
  <c r="AE160" i="1"/>
  <c r="Y160" i="1"/>
  <c r="D160" i="1"/>
  <c r="AL159" i="1"/>
  <c r="AJ159" i="1" s="1"/>
  <c r="AE159" i="1"/>
  <c r="AE158" i="1" s="1"/>
  <c r="Y159" i="1"/>
  <c r="D159" i="1"/>
  <c r="AO158" i="1"/>
  <c r="AN158" i="1"/>
  <c r="AM158" i="1"/>
  <c r="AK158" i="1"/>
  <c r="AI158" i="1"/>
  <c r="AH158" i="1"/>
  <c r="AG158" i="1"/>
  <c r="AF158" i="1"/>
  <c r="AD158" i="1"/>
  <c r="AC158" i="1"/>
  <c r="AB158" i="1"/>
  <c r="AA158" i="1"/>
  <c r="Z158" i="1"/>
  <c r="X158" i="1"/>
  <c r="W158" i="1"/>
  <c r="V158" i="1"/>
  <c r="U158" i="1"/>
  <c r="T158" i="1"/>
  <c r="S158" i="1"/>
  <c r="R158" i="1"/>
  <c r="Q158" i="1"/>
  <c r="P158" i="1"/>
  <c r="O158" i="1"/>
  <c r="N158" i="1"/>
  <c r="M158" i="1"/>
  <c r="L158" i="1"/>
  <c r="K158" i="1"/>
  <c r="J158" i="1"/>
  <c r="I158" i="1"/>
  <c r="H158" i="1"/>
  <c r="G158" i="1"/>
  <c r="F158" i="1"/>
  <c r="E158" i="1"/>
  <c r="AL156" i="1"/>
  <c r="AJ156" i="1"/>
  <c r="AE156" i="1"/>
  <c r="Y156" i="1"/>
  <c r="D156" i="1"/>
  <c r="AL155" i="1"/>
  <c r="AJ155" i="1" s="1"/>
  <c r="AE155" i="1"/>
  <c r="Y155" i="1"/>
  <c r="D155" i="1"/>
  <c r="AL154" i="1"/>
  <c r="AJ154" i="1" s="1"/>
  <c r="C154" i="1" s="1"/>
  <c r="AE154" i="1"/>
  <c r="Y154" i="1"/>
  <c r="D154" i="1"/>
  <c r="AL153" i="1"/>
  <c r="AK153" i="1"/>
  <c r="AJ153" i="1" s="1"/>
  <c r="AE153" i="1"/>
  <c r="Y153" i="1"/>
  <c r="O153" i="1"/>
  <c r="I153" i="1"/>
  <c r="D153" i="1"/>
  <c r="AL152" i="1"/>
  <c r="AK152" i="1"/>
  <c r="AE152" i="1"/>
  <c r="Y152" i="1"/>
  <c r="O152" i="1"/>
  <c r="D152" i="1" s="1"/>
  <c r="AL151" i="1"/>
  <c r="AJ151" i="1" s="1"/>
  <c r="AK151" i="1"/>
  <c r="AE151" i="1"/>
  <c r="Y151" i="1"/>
  <c r="O151" i="1"/>
  <c r="D151" i="1" s="1"/>
  <c r="AL150" i="1"/>
  <c r="AK150" i="1"/>
  <c r="AE150" i="1"/>
  <c r="Y150" i="1"/>
  <c r="O150" i="1"/>
  <c r="D150" i="1" s="1"/>
  <c r="AO149" i="1"/>
  <c r="AN149" i="1"/>
  <c r="AM149" i="1"/>
  <c r="AI149" i="1"/>
  <c r="AH149" i="1"/>
  <c r="AG149" i="1"/>
  <c r="AF149" i="1"/>
  <c r="AD149" i="1"/>
  <c r="AC149" i="1"/>
  <c r="AB149" i="1"/>
  <c r="AA149" i="1"/>
  <c r="Z149" i="1"/>
  <c r="X149" i="1"/>
  <c r="W149" i="1"/>
  <c r="V149" i="1"/>
  <c r="U149" i="1"/>
  <c r="T149" i="1"/>
  <c r="S149" i="1"/>
  <c r="R149" i="1"/>
  <c r="Q149" i="1"/>
  <c r="P149" i="1"/>
  <c r="N149" i="1"/>
  <c r="M149" i="1"/>
  <c r="L149" i="1"/>
  <c r="K149" i="1"/>
  <c r="J149" i="1"/>
  <c r="I149" i="1"/>
  <c r="H149" i="1"/>
  <c r="G149" i="1"/>
  <c r="F149" i="1"/>
  <c r="E149" i="1"/>
  <c r="AL147" i="1"/>
  <c r="AE147" i="1"/>
  <c r="AE145" i="1" s="1"/>
  <c r="Y147" i="1"/>
  <c r="Y145" i="1" s="1"/>
  <c r="D147" i="1"/>
  <c r="AL146" i="1"/>
  <c r="AJ146" i="1"/>
  <c r="AE146" i="1"/>
  <c r="Y146" i="1"/>
  <c r="D146" i="1"/>
  <c r="C146" i="1" s="1"/>
  <c r="AO145" i="1"/>
  <c r="AN145" i="1"/>
  <c r="AM145" i="1"/>
  <c r="AK145" i="1"/>
  <c r="AI145" i="1"/>
  <c r="AH145" i="1"/>
  <c r="AG145" i="1"/>
  <c r="AF145" i="1"/>
  <c r="AD145" i="1"/>
  <c r="AC145" i="1"/>
  <c r="AB145" i="1"/>
  <c r="AA145" i="1"/>
  <c r="Z145" i="1"/>
  <c r="X145" i="1"/>
  <c r="W145" i="1"/>
  <c r="V145" i="1"/>
  <c r="U145" i="1"/>
  <c r="T145" i="1"/>
  <c r="S145" i="1"/>
  <c r="R145" i="1"/>
  <c r="Q145" i="1"/>
  <c r="P145" i="1"/>
  <c r="O145" i="1"/>
  <c r="N145" i="1"/>
  <c r="M145" i="1"/>
  <c r="L145" i="1"/>
  <c r="K145" i="1"/>
  <c r="J145" i="1"/>
  <c r="I145" i="1"/>
  <c r="H145" i="1"/>
  <c r="G145" i="1"/>
  <c r="F145" i="1"/>
  <c r="E145" i="1"/>
  <c r="AL143" i="1"/>
  <c r="AJ143" i="1" s="1"/>
  <c r="C143" i="1" s="1"/>
  <c r="AE143" i="1"/>
  <c r="Y143" i="1"/>
  <c r="D143" i="1"/>
  <c r="AL142" i="1"/>
  <c r="AJ142" i="1" s="1"/>
  <c r="AG142" i="1"/>
  <c r="AE142" i="1" s="1"/>
  <c r="Y142" i="1"/>
  <c r="D142" i="1"/>
  <c r="AL141" i="1"/>
  <c r="AJ141" i="1" s="1"/>
  <c r="AE141" i="1"/>
  <c r="Y141" i="1"/>
  <c r="D141" i="1"/>
  <c r="AL140" i="1"/>
  <c r="AJ140" i="1" s="1"/>
  <c r="AE140" i="1"/>
  <c r="Y140" i="1"/>
  <c r="D140" i="1"/>
  <c r="AL139" i="1"/>
  <c r="AK139" i="1"/>
  <c r="AJ139" i="1" s="1"/>
  <c r="AE139" i="1"/>
  <c r="Y139" i="1"/>
  <c r="O139" i="1"/>
  <c r="O138" i="1" s="1"/>
  <c r="D139" i="1"/>
  <c r="AO138" i="1"/>
  <c r="AN138" i="1"/>
  <c r="AM138" i="1"/>
  <c r="AI138" i="1"/>
  <c r="AH138" i="1"/>
  <c r="AG138" i="1"/>
  <c r="AF138" i="1"/>
  <c r="AD138" i="1"/>
  <c r="AC138" i="1"/>
  <c r="AB138" i="1"/>
  <c r="AA138" i="1"/>
  <c r="Z138" i="1"/>
  <c r="X138" i="1"/>
  <c r="W138" i="1"/>
  <c r="V138" i="1"/>
  <c r="U138" i="1"/>
  <c r="T138" i="1"/>
  <c r="S138" i="1"/>
  <c r="R138" i="1"/>
  <c r="Q138" i="1"/>
  <c r="Q136" i="1" s="1"/>
  <c r="P138" i="1"/>
  <c r="N138" i="1"/>
  <c r="M138" i="1"/>
  <c r="L138" i="1"/>
  <c r="K138" i="1"/>
  <c r="J138" i="1"/>
  <c r="I138" i="1"/>
  <c r="H138" i="1"/>
  <c r="G138" i="1"/>
  <c r="F138" i="1"/>
  <c r="E138" i="1"/>
  <c r="AL134" i="1"/>
  <c r="AJ134" i="1" s="1"/>
  <c r="AE134" i="1"/>
  <c r="Y134" i="1"/>
  <c r="D134" i="1"/>
  <c r="AL133" i="1"/>
  <c r="AJ133" i="1" s="1"/>
  <c r="AE133" i="1"/>
  <c r="Y133" i="1"/>
  <c r="D133" i="1"/>
  <c r="AL132" i="1"/>
  <c r="AJ132" i="1" s="1"/>
  <c r="AE132" i="1"/>
  <c r="Y132" i="1"/>
  <c r="D132" i="1"/>
  <c r="AO131" i="1"/>
  <c r="AN131" i="1"/>
  <c r="AM131" i="1"/>
  <c r="AL131" i="1"/>
  <c r="AK131" i="1"/>
  <c r="AI131" i="1"/>
  <c r="AH131" i="1"/>
  <c r="AG131" i="1"/>
  <c r="AF131" i="1"/>
  <c r="AD131" i="1"/>
  <c r="AC131" i="1"/>
  <c r="AB131" i="1"/>
  <c r="AA131" i="1"/>
  <c r="Z131" i="1"/>
  <c r="X131" i="1"/>
  <c r="W131" i="1"/>
  <c r="V131" i="1"/>
  <c r="U131" i="1"/>
  <c r="T131" i="1"/>
  <c r="S131" i="1"/>
  <c r="R131" i="1"/>
  <c r="Q131" i="1"/>
  <c r="P131" i="1"/>
  <c r="O131" i="1"/>
  <c r="N131" i="1"/>
  <c r="M131" i="1"/>
  <c r="L131" i="1"/>
  <c r="K131" i="1"/>
  <c r="J131" i="1"/>
  <c r="I131" i="1"/>
  <c r="H131" i="1"/>
  <c r="G131" i="1"/>
  <c r="F131" i="1"/>
  <c r="E131" i="1"/>
  <c r="AL129" i="1"/>
  <c r="AE129" i="1"/>
  <c r="AE128" i="1" s="1"/>
  <c r="Y129" i="1"/>
  <c r="Y128" i="1" s="1"/>
  <c r="D129" i="1"/>
  <c r="D128" i="1" s="1"/>
  <c r="AO128" i="1"/>
  <c r="AN128" i="1"/>
  <c r="AM128" i="1"/>
  <c r="AK128" i="1"/>
  <c r="AI128" i="1"/>
  <c r="AH128" i="1"/>
  <c r="AG128" i="1"/>
  <c r="AF128" i="1"/>
  <c r="AD128" i="1"/>
  <c r="AC128" i="1"/>
  <c r="AB128" i="1"/>
  <c r="AA128" i="1"/>
  <c r="Z128" i="1"/>
  <c r="X128" i="1"/>
  <c r="W128" i="1"/>
  <c r="V128" i="1"/>
  <c r="U128" i="1"/>
  <c r="T128" i="1"/>
  <c r="S128" i="1"/>
  <c r="R128" i="1"/>
  <c r="Q128" i="1"/>
  <c r="P128" i="1"/>
  <c r="O128" i="1"/>
  <c r="N128" i="1"/>
  <c r="M128" i="1"/>
  <c r="L128" i="1"/>
  <c r="K128" i="1"/>
  <c r="J128" i="1"/>
  <c r="I128" i="1"/>
  <c r="H128" i="1"/>
  <c r="G128" i="1"/>
  <c r="F128" i="1"/>
  <c r="E128" i="1"/>
  <c r="AL126" i="1"/>
  <c r="AJ126" i="1"/>
  <c r="AE126" i="1"/>
  <c r="Y126" i="1"/>
  <c r="D126" i="1"/>
  <c r="AL125" i="1"/>
  <c r="AK125" i="1"/>
  <c r="AJ125" i="1" s="1"/>
  <c r="AE125" i="1"/>
  <c r="Y125" i="1"/>
  <c r="I125" i="1"/>
  <c r="I119" i="1" s="1"/>
  <c r="D125" i="1"/>
  <c r="AL124" i="1"/>
  <c r="AK124" i="1"/>
  <c r="AJ124" i="1" s="1"/>
  <c r="AE124" i="1"/>
  <c r="Y124" i="1"/>
  <c r="O124" i="1"/>
  <c r="D124" i="1"/>
  <c r="AL123" i="1"/>
  <c r="AK123" i="1"/>
  <c r="AE123" i="1"/>
  <c r="Y123" i="1"/>
  <c r="O123" i="1"/>
  <c r="D123" i="1"/>
  <c r="AL122" i="1"/>
  <c r="AJ122" i="1" s="1"/>
  <c r="AE122" i="1"/>
  <c r="Y122" i="1"/>
  <c r="D122" i="1"/>
  <c r="AL121" i="1"/>
  <c r="AJ121" i="1" s="1"/>
  <c r="C121" i="1" s="1"/>
  <c r="AE121" i="1"/>
  <c r="Y121" i="1"/>
  <c r="D121" i="1"/>
  <c r="AL120" i="1"/>
  <c r="AK120" i="1"/>
  <c r="AJ120" i="1" s="1"/>
  <c r="AE120" i="1"/>
  <c r="AE119" i="1" s="1"/>
  <c r="Y120" i="1"/>
  <c r="Y119" i="1" s="1"/>
  <c r="O120" i="1"/>
  <c r="D120" i="1"/>
  <c r="AO119" i="1"/>
  <c r="AN119" i="1"/>
  <c r="AM119" i="1"/>
  <c r="AI119" i="1"/>
  <c r="AH119" i="1"/>
  <c r="AG119" i="1"/>
  <c r="AF119" i="1"/>
  <c r="AD119" i="1"/>
  <c r="AC119" i="1"/>
  <c r="AB119" i="1"/>
  <c r="AA119" i="1"/>
  <c r="Z119" i="1"/>
  <c r="X119" i="1"/>
  <c r="W119" i="1"/>
  <c r="V119" i="1"/>
  <c r="U119" i="1"/>
  <c r="T119" i="1"/>
  <c r="S119" i="1"/>
  <c r="R119" i="1"/>
  <c r="Q119" i="1"/>
  <c r="P119" i="1"/>
  <c r="N119" i="1"/>
  <c r="M119" i="1"/>
  <c r="L119" i="1"/>
  <c r="K119" i="1"/>
  <c r="J119" i="1"/>
  <c r="H119" i="1"/>
  <c r="G119" i="1"/>
  <c r="F119" i="1"/>
  <c r="E119" i="1"/>
  <c r="AL117" i="1"/>
  <c r="AJ117" i="1" s="1"/>
  <c r="AE117" i="1"/>
  <c r="Y117" i="1"/>
  <c r="C117" i="1" s="1"/>
  <c r="D117" i="1"/>
  <c r="AL116" i="1"/>
  <c r="AE116" i="1"/>
  <c r="AE115" i="1" s="1"/>
  <c r="Y116" i="1"/>
  <c r="D116" i="1"/>
  <c r="AO115" i="1"/>
  <c r="AN115" i="1"/>
  <c r="AM115" i="1"/>
  <c r="AK115" i="1"/>
  <c r="AI115" i="1"/>
  <c r="AH115" i="1"/>
  <c r="AG115" i="1"/>
  <c r="AF115" i="1"/>
  <c r="AD115" i="1"/>
  <c r="AC115" i="1"/>
  <c r="AB115" i="1"/>
  <c r="AA115" i="1"/>
  <c r="Z115" i="1"/>
  <c r="X115" i="1"/>
  <c r="W115" i="1"/>
  <c r="V115" i="1"/>
  <c r="U115" i="1"/>
  <c r="T115" i="1"/>
  <c r="S115" i="1"/>
  <c r="R115" i="1"/>
  <c r="Q115" i="1"/>
  <c r="P115" i="1"/>
  <c r="O115" i="1"/>
  <c r="N115" i="1"/>
  <c r="M115" i="1"/>
  <c r="L115" i="1"/>
  <c r="K115" i="1"/>
  <c r="J115" i="1"/>
  <c r="I115" i="1"/>
  <c r="H115" i="1"/>
  <c r="G115" i="1"/>
  <c r="F115" i="1"/>
  <c r="E115" i="1"/>
  <c r="AL113" i="1"/>
  <c r="AJ113" i="1" s="1"/>
  <c r="AE113" i="1"/>
  <c r="Y113" i="1"/>
  <c r="D113" i="1"/>
  <c r="AL112" i="1"/>
  <c r="AJ112" i="1" s="1"/>
  <c r="C112" i="1" s="1"/>
  <c r="AE112" i="1"/>
  <c r="Y112" i="1"/>
  <c r="D112" i="1"/>
  <c r="AE111" i="1"/>
  <c r="C111" i="1"/>
  <c r="AL110" i="1"/>
  <c r="AK110" i="1"/>
  <c r="AE110" i="1"/>
  <c r="Y110" i="1"/>
  <c r="Y108" i="1" s="1"/>
  <c r="S110" i="1"/>
  <c r="S108" i="1" s="1"/>
  <c r="D110" i="1"/>
  <c r="AL109" i="1"/>
  <c r="AK109" i="1"/>
  <c r="AE109" i="1"/>
  <c r="Y109" i="1"/>
  <c r="P109" i="1"/>
  <c r="O109" i="1"/>
  <c r="O108" i="1" s="1"/>
  <c r="O107" i="1" s="1"/>
  <c r="AO108" i="1"/>
  <c r="AN108" i="1"/>
  <c r="AN107" i="1" s="1"/>
  <c r="AM108" i="1"/>
  <c r="AM107" i="1" s="1"/>
  <c r="AI108" i="1"/>
  <c r="AI107" i="1" s="1"/>
  <c r="AH108" i="1"/>
  <c r="AG108" i="1"/>
  <c r="AG107" i="1" s="1"/>
  <c r="AF108" i="1"/>
  <c r="AF107" i="1" s="1"/>
  <c r="AD108" i="1"/>
  <c r="AD107" i="1" s="1"/>
  <c r="AC108" i="1"/>
  <c r="AC107" i="1" s="1"/>
  <c r="AB108" i="1"/>
  <c r="AB107" i="1" s="1"/>
  <c r="AA108" i="1"/>
  <c r="AA107" i="1" s="1"/>
  <c r="Z108" i="1"/>
  <c r="Z107" i="1" s="1"/>
  <c r="X108" i="1"/>
  <c r="X107" i="1" s="1"/>
  <c r="W108" i="1"/>
  <c r="V108" i="1"/>
  <c r="V107" i="1" s="1"/>
  <c r="U108" i="1"/>
  <c r="U107" i="1" s="1"/>
  <c r="T108" i="1"/>
  <c r="R108" i="1"/>
  <c r="Q108" i="1"/>
  <c r="P108" i="1"/>
  <c r="P107" i="1" s="1"/>
  <c r="N108" i="1"/>
  <c r="N107" i="1" s="1"/>
  <c r="M108" i="1"/>
  <c r="M107" i="1" s="1"/>
  <c r="L108" i="1"/>
  <c r="L107" i="1" s="1"/>
  <c r="K108" i="1"/>
  <c r="K107" i="1" s="1"/>
  <c r="J108" i="1"/>
  <c r="J107" i="1" s="1"/>
  <c r="I108" i="1"/>
  <c r="I107" i="1" s="1"/>
  <c r="H108" i="1"/>
  <c r="H107" i="1" s="1"/>
  <c r="G108" i="1"/>
  <c r="G107" i="1" s="1"/>
  <c r="F108" i="1"/>
  <c r="F107" i="1" s="1"/>
  <c r="E108" i="1"/>
  <c r="E107" i="1" s="1"/>
  <c r="AO107" i="1"/>
  <c r="AH107" i="1"/>
  <c r="W107" i="1"/>
  <c r="T107" i="1"/>
  <c r="S107" i="1"/>
  <c r="R107" i="1"/>
  <c r="Q107" i="1"/>
  <c r="AL105" i="1"/>
  <c r="AJ105" i="1" s="1"/>
  <c r="AE105" i="1"/>
  <c r="Y105" i="1"/>
  <c r="D105" i="1"/>
  <c r="AL104" i="1"/>
  <c r="AL103" i="1" s="1"/>
  <c r="AE104" i="1"/>
  <c r="AE103" i="1" s="1"/>
  <c r="Y104" i="1"/>
  <c r="D104" i="1"/>
  <c r="AO103" i="1"/>
  <c r="AN103" i="1"/>
  <c r="AM103" i="1"/>
  <c r="AK103" i="1"/>
  <c r="AI103" i="1"/>
  <c r="AH103" i="1"/>
  <c r="AG103" i="1"/>
  <c r="AF103" i="1"/>
  <c r="AD103" i="1"/>
  <c r="AC103" i="1"/>
  <c r="AB103" i="1"/>
  <c r="AA103" i="1"/>
  <c r="Z103" i="1"/>
  <c r="X103" i="1"/>
  <c r="W103" i="1"/>
  <c r="V103" i="1"/>
  <c r="U103" i="1"/>
  <c r="T103" i="1"/>
  <c r="S103" i="1"/>
  <c r="R103" i="1"/>
  <c r="Q103" i="1"/>
  <c r="P103" i="1"/>
  <c r="O103" i="1"/>
  <c r="N103" i="1"/>
  <c r="M103" i="1"/>
  <c r="L103" i="1"/>
  <c r="K103" i="1"/>
  <c r="J103" i="1"/>
  <c r="I103" i="1"/>
  <c r="H103" i="1"/>
  <c r="G103" i="1"/>
  <c r="F103" i="1"/>
  <c r="E103" i="1"/>
  <c r="AL101" i="1"/>
  <c r="AK101" i="1"/>
  <c r="AJ101" i="1" s="1"/>
  <c r="AE101" i="1"/>
  <c r="Y101" i="1"/>
  <c r="O101" i="1"/>
  <c r="D101" i="1"/>
  <c r="AL100" i="1"/>
  <c r="AK100" i="1"/>
  <c r="AI100" i="1"/>
  <c r="AE100" i="1" s="1"/>
  <c r="Y100" i="1"/>
  <c r="U100" i="1"/>
  <c r="O100" i="1"/>
  <c r="AL99" i="1"/>
  <c r="AK99" i="1"/>
  <c r="AJ99" i="1" s="1"/>
  <c r="AE99" i="1"/>
  <c r="Y99" i="1"/>
  <c r="I99" i="1"/>
  <c r="D99" i="1" s="1"/>
  <c r="AL97" i="1"/>
  <c r="AJ97" i="1" s="1"/>
  <c r="AE97" i="1"/>
  <c r="Y97" i="1"/>
  <c r="D97" i="1"/>
  <c r="AL96" i="1"/>
  <c r="AJ96" i="1"/>
  <c r="AE96" i="1"/>
  <c r="Y96" i="1"/>
  <c r="D96" i="1"/>
  <c r="AL95" i="1"/>
  <c r="AJ95" i="1"/>
  <c r="AE95" i="1"/>
  <c r="Y95" i="1"/>
  <c r="D95" i="1"/>
  <c r="C95" i="1" s="1"/>
  <c r="AL94" i="1"/>
  <c r="AK94" i="1"/>
  <c r="AK93" i="1" s="1"/>
  <c r="AE94" i="1"/>
  <c r="Y94" i="1"/>
  <c r="N94" i="1"/>
  <c r="D94" i="1" s="1"/>
  <c r="AO93" i="1"/>
  <c r="AN93" i="1"/>
  <c r="AM93" i="1"/>
  <c r="AI93" i="1"/>
  <c r="AH93" i="1"/>
  <c r="AG93" i="1"/>
  <c r="AF93" i="1"/>
  <c r="AD93" i="1"/>
  <c r="AC93" i="1"/>
  <c r="AB93" i="1"/>
  <c r="AA93" i="1"/>
  <c r="Z93" i="1"/>
  <c r="X93" i="1"/>
  <c r="W93" i="1"/>
  <c r="V93" i="1"/>
  <c r="U93" i="1"/>
  <c r="T93" i="1"/>
  <c r="S93" i="1"/>
  <c r="R93" i="1"/>
  <c r="Q93" i="1"/>
  <c r="P93" i="1"/>
  <c r="O93" i="1"/>
  <c r="M93" i="1"/>
  <c r="L93" i="1"/>
  <c r="K93" i="1"/>
  <c r="J93" i="1"/>
  <c r="I93" i="1"/>
  <c r="H93" i="1"/>
  <c r="G93" i="1"/>
  <c r="F93" i="1"/>
  <c r="E93" i="1"/>
  <c r="AL91" i="1"/>
  <c r="AJ91" i="1" s="1"/>
  <c r="AE91" i="1"/>
  <c r="Y91" i="1"/>
  <c r="D91" i="1"/>
  <c r="AL90" i="1"/>
  <c r="AJ90" i="1" s="1"/>
  <c r="AE90" i="1"/>
  <c r="Y90" i="1"/>
  <c r="D90" i="1"/>
  <c r="C90" i="1" s="1"/>
  <c r="AL89" i="1"/>
  <c r="AJ89" i="1" s="1"/>
  <c r="AE89" i="1"/>
  <c r="Y89" i="1"/>
  <c r="D89" i="1"/>
  <c r="AL88" i="1"/>
  <c r="AJ88" i="1" s="1"/>
  <c r="AE88" i="1"/>
  <c r="Y88" i="1"/>
  <c r="D88" i="1"/>
  <c r="AL87" i="1"/>
  <c r="AJ87" i="1" s="1"/>
  <c r="AG87" i="1"/>
  <c r="AE87" i="1" s="1"/>
  <c r="Y87" i="1"/>
  <c r="D87" i="1"/>
  <c r="AL86" i="1"/>
  <c r="AJ86" i="1" s="1"/>
  <c r="AE86" i="1"/>
  <c r="Y86" i="1"/>
  <c r="D86" i="1"/>
  <c r="AL85" i="1"/>
  <c r="AJ85" i="1" s="1"/>
  <c r="AE85" i="1"/>
  <c r="Y85" i="1"/>
  <c r="D85" i="1"/>
  <c r="AL84" i="1"/>
  <c r="AJ84" i="1" s="1"/>
  <c r="AE84" i="1"/>
  <c r="Y84" i="1"/>
  <c r="D84" i="1"/>
  <c r="AO83" i="1"/>
  <c r="AN83" i="1"/>
  <c r="AM83" i="1"/>
  <c r="AK83" i="1"/>
  <c r="AI83" i="1"/>
  <c r="AH83" i="1"/>
  <c r="AG83" i="1"/>
  <c r="AF83" i="1"/>
  <c r="AD83" i="1"/>
  <c r="AC83" i="1"/>
  <c r="AB83" i="1"/>
  <c r="AA83" i="1"/>
  <c r="Z83" i="1"/>
  <c r="X83" i="1"/>
  <c r="W83" i="1"/>
  <c r="V83" i="1"/>
  <c r="U83" i="1"/>
  <c r="T83" i="1"/>
  <c r="S83" i="1"/>
  <c r="R83" i="1"/>
  <c r="Q83" i="1"/>
  <c r="P83" i="1"/>
  <c r="O83" i="1"/>
  <c r="N83" i="1"/>
  <c r="M83" i="1"/>
  <c r="L83" i="1"/>
  <c r="L73" i="1" s="1"/>
  <c r="K83" i="1"/>
  <c r="K73" i="1" s="1"/>
  <c r="J83" i="1"/>
  <c r="I83" i="1"/>
  <c r="H83" i="1"/>
  <c r="G83" i="1"/>
  <c r="F83" i="1"/>
  <c r="E83" i="1"/>
  <c r="AL81" i="1"/>
  <c r="AJ81" i="1" s="1"/>
  <c r="AE81" i="1"/>
  <c r="Y81" i="1"/>
  <c r="D81" i="1"/>
  <c r="AL80" i="1"/>
  <c r="AJ80" i="1" s="1"/>
  <c r="AE80" i="1"/>
  <c r="Y80" i="1"/>
  <c r="C80" i="1" s="1"/>
  <c r="D80" i="1"/>
  <c r="AL79" i="1"/>
  <c r="AJ79" i="1"/>
  <c r="AE79" i="1"/>
  <c r="Y79" i="1"/>
  <c r="D79" i="1"/>
  <c r="C79" i="1"/>
  <c r="AL78" i="1"/>
  <c r="AJ78" i="1" s="1"/>
  <c r="AE78" i="1"/>
  <c r="Y78" i="1"/>
  <c r="C78" i="1" s="1"/>
  <c r="D78" i="1"/>
  <c r="AL77" i="1"/>
  <c r="AJ77" i="1" s="1"/>
  <c r="AE77" i="1"/>
  <c r="Y77" i="1"/>
  <c r="D77" i="1"/>
  <c r="AO76" i="1"/>
  <c r="AN76" i="1"/>
  <c r="AM76" i="1"/>
  <c r="AK76" i="1"/>
  <c r="AI76" i="1"/>
  <c r="AH76" i="1"/>
  <c r="AG76" i="1"/>
  <c r="AF76" i="1"/>
  <c r="AD76" i="1"/>
  <c r="AC76" i="1"/>
  <c r="AB76" i="1"/>
  <c r="AA76" i="1"/>
  <c r="Z76" i="1"/>
  <c r="X76" i="1"/>
  <c r="W76" i="1"/>
  <c r="V76" i="1"/>
  <c r="U76" i="1"/>
  <c r="T76" i="1"/>
  <c r="S76" i="1"/>
  <c r="R76" i="1"/>
  <c r="Q76" i="1"/>
  <c r="P76" i="1"/>
  <c r="O76" i="1"/>
  <c r="N76" i="1"/>
  <c r="M76" i="1"/>
  <c r="L76" i="1"/>
  <c r="K76" i="1"/>
  <c r="J76" i="1"/>
  <c r="I76" i="1"/>
  <c r="H76" i="1"/>
  <c r="G76" i="1"/>
  <c r="F76" i="1"/>
  <c r="E76" i="1"/>
  <c r="AL74" i="1"/>
  <c r="AJ74" i="1"/>
  <c r="AE74" i="1"/>
  <c r="Y74" i="1"/>
  <c r="D74" i="1"/>
  <c r="R73" i="1"/>
  <c r="Q73" i="1"/>
  <c r="AL71" i="1"/>
  <c r="AK71" i="1"/>
  <c r="AE71" i="1"/>
  <c r="Y71" i="1"/>
  <c r="I71" i="1"/>
  <c r="D71" i="1" s="1"/>
  <c r="AL70" i="1"/>
  <c r="AJ70" i="1"/>
  <c r="AE70" i="1"/>
  <c r="Y70" i="1"/>
  <c r="D70" i="1"/>
  <c r="C70" i="1"/>
  <c r="AL69" i="1"/>
  <c r="AL68" i="1" s="1"/>
  <c r="AE69" i="1"/>
  <c r="AE68" i="1" s="1"/>
  <c r="Y69" i="1"/>
  <c r="Y68" i="1" s="1"/>
  <c r="D69" i="1"/>
  <c r="AO68" i="1"/>
  <c r="AO63" i="1" s="1"/>
  <c r="AN68" i="1"/>
  <c r="AN63" i="1" s="1"/>
  <c r="AM68" i="1"/>
  <c r="AM63" i="1" s="1"/>
  <c r="AK68" i="1"/>
  <c r="AI68" i="1"/>
  <c r="AI63" i="1" s="1"/>
  <c r="AH68" i="1"/>
  <c r="AH63" i="1" s="1"/>
  <c r="AG68" i="1"/>
  <c r="AG63" i="1" s="1"/>
  <c r="AF68" i="1"/>
  <c r="AF63" i="1" s="1"/>
  <c r="AD68" i="1"/>
  <c r="AC68" i="1"/>
  <c r="AB68" i="1"/>
  <c r="AA68" i="1"/>
  <c r="Z68" i="1"/>
  <c r="Z63" i="1" s="1"/>
  <c r="X68" i="1"/>
  <c r="W68" i="1"/>
  <c r="W63" i="1" s="1"/>
  <c r="V68" i="1"/>
  <c r="V63" i="1" s="1"/>
  <c r="U68" i="1"/>
  <c r="U63" i="1" s="1"/>
  <c r="T68" i="1"/>
  <c r="T63" i="1" s="1"/>
  <c r="S68" i="1"/>
  <c r="S63" i="1" s="1"/>
  <c r="R68" i="1"/>
  <c r="R63" i="1" s="1"/>
  <c r="Q68" i="1"/>
  <c r="Q63" i="1" s="1"/>
  <c r="P68" i="1"/>
  <c r="P63" i="1" s="1"/>
  <c r="O68" i="1"/>
  <c r="O63" i="1" s="1"/>
  <c r="N68" i="1"/>
  <c r="N63" i="1" s="1"/>
  <c r="M68" i="1"/>
  <c r="L68" i="1"/>
  <c r="K68" i="1"/>
  <c r="K63" i="1" s="1"/>
  <c r="J68" i="1"/>
  <c r="J63" i="1" s="1"/>
  <c r="I68" i="1"/>
  <c r="H68" i="1"/>
  <c r="G68" i="1"/>
  <c r="G63" i="1" s="1"/>
  <c r="F68" i="1"/>
  <c r="E68" i="1"/>
  <c r="E63" i="1" s="1"/>
  <c r="AL67" i="1"/>
  <c r="AJ67" i="1" s="1"/>
  <c r="AE67" i="1"/>
  <c r="Y67" i="1"/>
  <c r="D67" i="1"/>
  <c r="AL66" i="1"/>
  <c r="AJ66" i="1"/>
  <c r="AE66" i="1"/>
  <c r="Y66" i="1"/>
  <c r="D66" i="1"/>
  <c r="AJ65" i="1"/>
  <c r="AE65" i="1"/>
  <c r="Y65" i="1"/>
  <c r="X65" i="1"/>
  <c r="AL64" i="1"/>
  <c r="AJ64" i="1" s="1"/>
  <c r="C64" i="1" s="1"/>
  <c r="AE64" i="1"/>
  <c r="Y64" i="1"/>
  <c r="D64" i="1"/>
  <c r="AD63" i="1"/>
  <c r="AC63" i="1"/>
  <c r="AB63" i="1"/>
  <c r="AA63" i="1"/>
  <c r="M63" i="1"/>
  <c r="L63" i="1"/>
  <c r="H63" i="1"/>
  <c r="F63" i="1"/>
  <c r="AL61" i="1"/>
  <c r="AK61" i="1"/>
  <c r="AE61" i="1"/>
  <c r="Y61" i="1"/>
  <c r="O61" i="1"/>
  <c r="D61" i="1" s="1"/>
  <c r="AL60" i="1"/>
  <c r="AK60" i="1"/>
  <c r="AE60" i="1"/>
  <c r="Y60" i="1"/>
  <c r="O60" i="1"/>
  <c r="I60" i="1"/>
  <c r="AL59" i="1"/>
  <c r="AK59" i="1"/>
  <c r="AE59" i="1"/>
  <c r="Y59" i="1"/>
  <c r="O59" i="1"/>
  <c r="D59" i="1" s="1"/>
  <c r="AL58" i="1"/>
  <c r="AK58" i="1"/>
  <c r="AJ58" i="1"/>
  <c r="AE58" i="1"/>
  <c r="Y58" i="1"/>
  <c r="O58" i="1"/>
  <c r="D58" i="1" s="1"/>
  <c r="AL57" i="1"/>
  <c r="AK57" i="1"/>
  <c r="AE57" i="1"/>
  <c r="Y57" i="1"/>
  <c r="O57" i="1"/>
  <c r="D57" i="1" s="1"/>
  <c r="AO56" i="1"/>
  <c r="AN56" i="1"/>
  <c r="AM56" i="1"/>
  <c r="AI56" i="1"/>
  <c r="AH56" i="1"/>
  <c r="AG56" i="1"/>
  <c r="AF56" i="1"/>
  <c r="AD56" i="1"/>
  <c r="AC56" i="1"/>
  <c r="AB56" i="1"/>
  <c r="AA56" i="1"/>
  <c r="Z56" i="1"/>
  <c r="X56" i="1"/>
  <c r="W56" i="1"/>
  <c r="V56" i="1"/>
  <c r="U56" i="1"/>
  <c r="T56" i="1"/>
  <c r="S56" i="1"/>
  <c r="R56" i="1"/>
  <c r="Q56" i="1"/>
  <c r="P56" i="1"/>
  <c r="N56" i="1"/>
  <c r="M56" i="1"/>
  <c r="L56" i="1"/>
  <c r="K56" i="1"/>
  <c r="J56" i="1"/>
  <c r="H56" i="1"/>
  <c r="G56" i="1"/>
  <c r="F56" i="1"/>
  <c r="E56" i="1"/>
  <c r="AL54" i="1"/>
  <c r="AK54" i="1"/>
  <c r="AE54" i="1"/>
  <c r="Y54" i="1"/>
  <c r="O54" i="1"/>
  <c r="D54" i="1" s="1"/>
  <c r="AL53" i="1"/>
  <c r="AK53" i="1"/>
  <c r="AE53" i="1"/>
  <c r="Y53" i="1"/>
  <c r="O53" i="1"/>
  <c r="D53" i="1" s="1"/>
  <c r="AL52" i="1"/>
  <c r="AK52" i="1"/>
  <c r="AJ52" i="1"/>
  <c r="AE52" i="1"/>
  <c r="Y52" i="1"/>
  <c r="O52" i="1"/>
  <c r="D52" i="1" s="1"/>
  <c r="AL51" i="1"/>
  <c r="AK51" i="1"/>
  <c r="AJ51" i="1" s="1"/>
  <c r="AE51" i="1"/>
  <c r="Y51" i="1"/>
  <c r="V51" i="1"/>
  <c r="V49" i="1" s="1"/>
  <c r="O51" i="1"/>
  <c r="D51" i="1" s="1"/>
  <c r="AL50" i="1"/>
  <c r="AK50" i="1"/>
  <c r="AE50" i="1"/>
  <c r="Y50" i="1"/>
  <c r="O50" i="1"/>
  <c r="D50" i="1" s="1"/>
  <c r="AO49" i="1"/>
  <c r="AN49" i="1"/>
  <c r="AM49" i="1"/>
  <c r="AI49" i="1"/>
  <c r="AH49" i="1"/>
  <c r="AG49" i="1"/>
  <c r="AF49" i="1"/>
  <c r="AD49" i="1"/>
  <c r="AC49" i="1"/>
  <c r="AB49" i="1"/>
  <c r="AA49" i="1"/>
  <c r="Z49" i="1"/>
  <c r="X49" i="1"/>
  <c r="W49" i="1"/>
  <c r="U49" i="1"/>
  <c r="T49" i="1"/>
  <c r="S49" i="1"/>
  <c r="R49" i="1"/>
  <c r="Q49" i="1"/>
  <c r="P49" i="1"/>
  <c r="N49" i="1"/>
  <c r="M49" i="1"/>
  <c r="L49" i="1"/>
  <c r="K49" i="1"/>
  <c r="J49" i="1"/>
  <c r="I49" i="1"/>
  <c r="H49" i="1"/>
  <c r="G49" i="1"/>
  <c r="F49" i="1"/>
  <c r="E49" i="1"/>
  <c r="AL45" i="1"/>
  <c r="AJ45" i="1"/>
  <c r="AE45" i="1"/>
  <c r="Y45" i="1"/>
  <c r="C45" i="1" s="1"/>
  <c r="D45" i="1"/>
  <c r="AL44" i="1"/>
  <c r="AJ44" i="1" s="1"/>
  <c r="AE44" i="1"/>
  <c r="Y44" i="1"/>
  <c r="D44" i="1"/>
  <c r="AL43" i="1"/>
  <c r="AJ43" i="1"/>
  <c r="AE43" i="1"/>
  <c r="Y43" i="1"/>
  <c r="D43" i="1"/>
  <c r="AL42" i="1"/>
  <c r="AJ42" i="1" s="1"/>
  <c r="AJ41" i="1" s="1"/>
  <c r="AE42" i="1"/>
  <c r="Y42" i="1"/>
  <c r="D42" i="1"/>
  <c r="AO41" i="1"/>
  <c r="AN41" i="1"/>
  <c r="AM41" i="1"/>
  <c r="AK41" i="1"/>
  <c r="AI41" i="1"/>
  <c r="AH41" i="1"/>
  <c r="AG41" i="1"/>
  <c r="AF41" i="1"/>
  <c r="AD41" i="1"/>
  <c r="AC41" i="1"/>
  <c r="AB41" i="1"/>
  <c r="AA41" i="1"/>
  <c r="Z41" i="1"/>
  <c r="X41" i="1"/>
  <c r="W41" i="1"/>
  <c r="V41" i="1"/>
  <c r="U41" i="1"/>
  <c r="T41" i="1"/>
  <c r="S41" i="1"/>
  <c r="R41" i="1"/>
  <c r="Q41" i="1"/>
  <c r="P41" i="1"/>
  <c r="O41" i="1"/>
  <c r="N41" i="1"/>
  <c r="M41" i="1"/>
  <c r="L41" i="1"/>
  <c r="K41" i="1"/>
  <c r="J41" i="1"/>
  <c r="I41" i="1"/>
  <c r="H41" i="1"/>
  <c r="G41" i="1"/>
  <c r="F41" i="1"/>
  <c r="E41" i="1"/>
  <c r="AL39" i="1"/>
  <c r="AJ39" i="1" s="1"/>
  <c r="AE39" i="1"/>
  <c r="Y39" i="1"/>
  <c r="D39" i="1"/>
  <c r="AL38" i="1"/>
  <c r="AJ38" i="1"/>
  <c r="AE38" i="1"/>
  <c r="Y38" i="1"/>
  <c r="D38" i="1"/>
  <c r="AL37" i="1"/>
  <c r="AJ37" i="1" s="1"/>
  <c r="AE37" i="1"/>
  <c r="Y37" i="1"/>
  <c r="D37" i="1"/>
  <c r="C37" i="1" s="1"/>
  <c r="AL36" i="1"/>
  <c r="AJ36" i="1" s="1"/>
  <c r="AE36" i="1"/>
  <c r="Y36" i="1"/>
  <c r="D36" i="1"/>
  <c r="AL35" i="1"/>
  <c r="AE35" i="1"/>
  <c r="Y35" i="1"/>
  <c r="D35" i="1"/>
  <c r="AO34" i="1"/>
  <c r="AN34" i="1"/>
  <c r="AM34" i="1"/>
  <c r="AK34" i="1"/>
  <c r="AI34" i="1"/>
  <c r="AH34" i="1"/>
  <c r="AG34" i="1"/>
  <c r="AF34" i="1"/>
  <c r="AD34" i="1"/>
  <c r="AC34" i="1"/>
  <c r="AB34" i="1"/>
  <c r="AA34" i="1"/>
  <c r="Z34" i="1"/>
  <c r="X34" i="1"/>
  <c r="W34" i="1"/>
  <c r="V34" i="1"/>
  <c r="U34" i="1"/>
  <c r="T34" i="1"/>
  <c r="S34" i="1"/>
  <c r="R34" i="1"/>
  <c r="Q34" i="1"/>
  <c r="P34" i="1"/>
  <c r="O34" i="1"/>
  <c r="N34" i="1"/>
  <c r="M34" i="1"/>
  <c r="L34" i="1"/>
  <c r="K34" i="1"/>
  <c r="J34" i="1"/>
  <c r="I34" i="1"/>
  <c r="H34" i="1"/>
  <c r="G34" i="1"/>
  <c r="F34" i="1"/>
  <c r="E34" i="1"/>
  <c r="AL32" i="1"/>
  <c r="AL31" i="1" s="1"/>
  <c r="AE32" i="1"/>
  <c r="AE31" i="1" s="1"/>
  <c r="Y32" i="1"/>
  <c r="Y31" i="1" s="1"/>
  <c r="D32" i="1"/>
  <c r="AO31" i="1"/>
  <c r="AN31" i="1"/>
  <c r="AM31" i="1"/>
  <c r="AK31" i="1"/>
  <c r="AI31" i="1"/>
  <c r="AH31" i="1"/>
  <c r="AG31" i="1"/>
  <c r="AF31" i="1"/>
  <c r="AD31" i="1"/>
  <c r="AC31" i="1"/>
  <c r="AB31" i="1"/>
  <c r="AA31" i="1"/>
  <c r="Z31" i="1"/>
  <c r="X31" i="1"/>
  <c r="W31" i="1"/>
  <c r="V31" i="1"/>
  <c r="U31" i="1"/>
  <c r="T31" i="1"/>
  <c r="S31" i="1"/>
  <c r="R31" i="1"/>
  <c r="Q31" i="1"/>
  <c r="P31" i="1"/>
  <c r="O31" i="1"/>
  <c r="N31" i="1"/>
  <c r="M31" i="1"/>
  <c r="L31" i="1"/>
  <c r="K31" i="1"/>
  <c r="J31" i="1"/>
  <c r="I31" i="1"/>
  <c r="H31" i="1"/>
  <c r="G31" i="1"/>
  <c r="F31" i="1"/>
  <c r="E31" i="1"/>
  <c r="AL29" i="1"/>
  <c r="AJ29" i="1" s="1"/>
  <c r="C29" i="1" s="1"/>
  <c r="AE29" i="1"/>
  <c r="Y29" i="1"/>
  <c r="D29" i="1"/>
  <c r="AL28" i="1"/>
  <c r="AJ28" i="1" s="1"/>
  <c r="AE28" i="1"/>
  <c r="Y28" i="1"/>
  <c r="D28" i="1"/>
  <c r="AL26" i="1"/>
  <c r="AJ26" i="1" s="1"/>
  <c r="AE26" i="1"/>
  <c r="Y26" i="1"/>
  <c r="D26" i="1"/>
  <c r="AL25" i="1"/>
  <c r="AJ25" i="1" s="1"/>
  <c r="AE25" i="1"/>
  <c r="Y25" i="1"/>
  <c r="D25" i="1"/>
  <c r="AO24" i="1"/>
  <c r="AN24" i="1"/>
  <c r="AM24" i="1"/>
  <c r="AL24" i="1"/>
  <c r="AK24" i="1"/>
  <c r="AI24" i="1"/>
  <c r="AH24" i="1"/>
  <c r="AG24" i="1"/>
  <c r="AF24" i="1"/>
  <c r="AD24" i="1"/>
  <c r="AC24" i="1"/>
  <c r="AB24" i="1"/>
  <c r="AA24" i="1"/>
  <c r="Z24" i="1"/>
  <c r="X24" i="1"/>
  <c r="W24" i="1"/>
  <c r="V24" i="1"/>
  <c r="U24" i="1"/>
  <c r="T24" i="1"/>
  <c r="S24" i="1"/>
  <c r="R24" i="1"/>
  <c r="Q24" i="1"/>
  <c r="P24" i="1"/>
  <c r="P19" i="1" s="1"/>
  <c r="O24" i="1"/>
  <c r="O19" i="1" s="1"/>
  <c r="N24" i="1"/>
  <c r="M24" i="1"/>
  <c r="L24" i="1"/>
  <c r="K24" i="1"/>
  <c r="J24" i="1"/>
  <c r="I24" i="1"/>
  <c r="H24" i="1"/>
  <c r="G24" i="1"/>
  <c r="F24" i="1"/>
  <c r="E24" i="1"/>
  <c r="AL22" i="1"/>
  <c r="AJ22" i="1" s="1"/>
  <c r="AE22" i="1"/>
  <c r="Y22" i="1"/>
  <c r="D22" i="1"/>
  <c r="AL21" i="1"/>
  <c r="AJ21" i="1" s="1"/>
  <c r="AE21" i="1"/>
  <c r="Y21" i="1"/>
  <c r="Y20" i="1" s="1"/>
  <c r="D21" i="1"/>
  <c r="AO20" i="1"/>
  <c r="AN20" i="1"/>
  <c r="AM20" i="1"/>
  <c r="AK20" i="1"/>
  <c r="AI20" i="1"/>
  <c r="AH20" i="1"/>
  <c r="AG20" i="1"/>
  <c r="AF20" i="1"/>
  <c r="AD20" i="1"/>
  <c r="AC20" i="1"/>
  <c r="AC19" i="1" s="1"/>
  <c r="AB20" i="1"/>
  <c r="AA20" i="1"/>
  <c r="Z20" i="1"/>
  <c r="X20" i="1"/>
  <c r="W20" i="1"/>
  <c r="V20" i="1"/>
  <c r="U20" i="1"/>
  <c r="T20" i="1"/>
  <c r="S20" i="1"/>
  <c r="R20" i="1"/>
  <c r="Q20" i="1"/>
  <c r="P20" i="1"/>
  <c r="O20" i="1"/>
  <c r="N20" i="1"/>
  <c r="M20" i="1"/>
  <c r="L20" i="1"/>
  <c r="K20" i="1"/>
  <c r="J20" i="1"/>
  <c r="I20" i="1"/>
  <c r="H20" i="1"/>
  <c r="G20" i="1"/>
  <c r="F20" i="1"/>
  <c r="F19" i="1" s="1"/>
  <c r="F8" i="1" s="1"/>
  <c r="E20" i="1"/>
  <c r="AL17" i="1"/>
  <c r="AJ17" i="1" s="1"/>
  <c r="AE17" i="1"/>
  <c r="Y17" i="1"/>
  <c r="D17" i="1"/>
  <c r="AL16" i="1"/>
  <c r="AJ16" i="1" s="1"/>
  <c r="AE16" i="1"/>
  <c r="Y16" i="1"/>
  <c r="D16" i="1"/>
  <c r="AL15" i="1"/>
  <c r="AJ15" i="1"/>
  <c r="AE15" i="1"/>
  <c r="Y15" i="1"/>
  <c r="D15" i="1"/>
  <c r="D14" i="1" s="1"/>
  <c r="C15" i="1"/>
  <c r="AO14" i="1"/>
  <c r="AN14" i="1"/>
  <c r="AM14" i="1"/>
  <c r="AK14" i="1"/>
  <c r="AI14" i="1"/>
  <c r="AH14" i="1"/>
  <c r="AG14" i="1"/>
  <c r="AF14" i="1"/>
  <c r="AD14" i="1"/>
  <c r="AC14" i="1"/>
  <c r="AB14" i="1"/>
  <c r="AA14" i="1"/>
  <c r="Z14" i="1"/>
  <c r="X14" i="1"/>
  <c r="W14" i="1"/>
  <c r="V14" i="1"/>
  <c r="U14" i="1"/>
  <c r="T14" i="1"/>
  <c r="S14" i="1"/>
  <c r="R14" i="1"/>
  <c r="Q14" i="1"/>
  <c r="P14" i="1"/>
  <c r="O14" i="1"/>
  <c r="N14" i="1"/>
  <c r="M14" i="1"/>
  <c r="L14" i="1"/>
  <c r="K14" i="1"/>
  <c r="J14" i="1"/>
  <c r="I14" i="1"/>
  <c r="H14" i="1"/>
  <c r="G14" i="1"/>
  <c r="F14" i="1"/>
  <c r="E14" i="1"/>
  <c r="AL12" i="1"/>
  <c r="AJ12" i="1" s="1"/>
  <c r="AE12" i="1"/>
  <c r="Y12" i="1"/>
  <c r="D12" i="1"/>
  <c r="AL11" i="1"/>
  <c r="AL10" i="1" s="1"/>
  <c r="AJ11" i="1"/>
  <c r="AJ10" i="1" s="1"/>
  <c r="AE11" i="1"/>
  <c r="AE10" i="1" s="1"/>
  <c r="Y11" i="1"/>
  <c r="Y10" i="1" s="1"/>
  <c r="D11" i="1"/>
  <c r="D10" i="1" s="1"/>
  <c r="C11" i="1"/>
  <c r="AO10" i="1"/>
  <c r="AN10" i="1"/>
  <c r="AM10" i="1"/>
  <c r="AK10" i="1"/>
  <c r="AI10" i="1"/>
  <c r="AH10" i="1"/>
  <c r="AG10" i="1"/>
  <c r="AF10" i="1"/>
  <c r="AD10" i="1"/>
  <c r="AC10" i="1"/>
  <c r="AB10" i="1"/>
  <c r="AA10" i="1"/>
  <c r="Z10" i="1"/>
  <c r="X10" i="1"/>
  <c r="W10" i="1"/>
  <c r="V10" i="1"/>
  <c r="U10" i="1"/>
  <c r="T10" i="1"/>
  <c r="S10" i="1"/>
  <c r="R10" i="1"/>
  <c r="Q10" i="1"/>
  <c r="P10" i="1"/>
  <c r="O10" i="1"/>
  <c r="N10" i="1"/>
  <c r="M10" i="1"/>
  <c r="L10" i="1"/>
  <c r="K10" i="1"/>
  <c r="J10" i="1"/>
  <c r="I10" i="1"/>
  <c r="H10" i="1"/>
  <c r="G10" i="1"/>
  <c r="F10" i="1"/>
  <c r="E10" i="1"/>
  <c r="Y41" i="1" l="1"/>
  <c r="V179" i="1"/>
  <c r="C38" i="1"/>
  <c r="D131" i="1"/>
  <c r="C155" i="1"/>
  <c r="P226" i="1"/>
  <c r="Y231" i="1"/>
  <c r="R136" i="1"/>
  <c r="AO73" i="1"/>
  <c r="AG179" i="1"/>
  <c r="C16" i="1"/>
  <c r="AJ24" i="1"/>
  <c r="AH179" i="1"/>
  <c r="C211" i="1"/>
  <c r="C234" i="1"/>
  <c r="C26" i="1"/>
  <c r="AJ59" i="1"/>
  <c r="C59" i="1" s="1"/>
  <c r="AI179" i="1"/>
  <c r="C134" i="1"/>
  <c r="D163" i="1"/>
  <c r="D162" i="1" s="1"/>
  <c r="M179" i="1"/>
  <c r="S226" i="1"/>
  <c r="C36" i="1"/>
  <c r="AJ104" i="1"/>
  <c r="AN136" i="1"/>
  <c r="N179" i="1"/>
  <c r="C216" i="1"/>
  <c r="C215" i="1" s="1"/>
  <c r="M205" i="1"/>
  <c r="C44" i="1"/>
  <c r="AL56" i="1"/>
  <c r="AK188" i="1"/>
  <c r="I202" i="1"/>
  <c r="I179" i="1" s="1"/>
  <c r="AE237" i="1"/>
  <c r="AE236" i="1" s="1"/>
  <c r="P73" i="1"/>
  <c r="D103" i="1"/>
  <c r="Y162" i="1"/>
  <c r="C167" i="1"/>
  <c r="C182" i="1"/>
  <c r="AE219" i="1"/>
  <c r="AF226" i="1"/>
  <c r="AM73" i="1"/>
  <c r="AM47" i="1" s="1"/>
  <c r="L226" i="1"/>
  <c r="AL63" i="1"/>
  <c r="D83" i="1"/>
  <c r="R162" i="1"/>
  <c r="Y219" i="1"/>
  <c r="E19" i="1"/>
  <c r="E8" i="1" s="1"/>
  <c r="C86" i="1"/>
  <c r="C96" i="1"/>
  <c r="C126" i="1"/>
  <c r="D145" i="1"/>
  <c r="AJ215" i="1"/>
  <c r="X226" i="1"/>
  <c r="AJ14" i="1"/>
  <c r="S19" i="1"/>
  <c r="AJ32" i="1"/>
  <c r="AJ31" i="1" s="1"/>
  <c r="AJ71" i="1"/>
  <c r="AA73" i="1"/>
  <c r="AA47" i="1" s="1"/>
  <c r="S136" i="1"/>
  <c r="C151" i="1"/>
  <c r="D175" i="1"/>
  <c r="AE191" i="1"/>
  <c r="AE188" i="1" s="1"/>
  <c r="AL215" i="1"/>
  <c r="J226" i="1"/>
  <c r="AK108" i="1"/>
  <c r="AK107" i="1" s="1"/>
  <c r="Y175" i="1"/>
  <c r="U179" i="1"/>
  <c r="K226" i="1"/>
  <c r="C239" i="1"/>
  <c r="C237" i="1" s="1"/>
  <c r="C236" i="1" s="1"/>
  <c r="AD19" i="1"/>
  <c r="AD8" i="1" s="1"/>
  <c r="Y158" i="1"/>
  <c r="AL172" i="1"/>
  <c r="AL171" i="1" s="1"/>
  <c r="H19" i="1"/>
  <c r="H8" i="1" s="1"/>
  <c r="V73" i="1"/>
  <c r="D76" i="1"/>
  <c r="C169" i="1"/>
  <c r="X179" i="1"/>
  <c r="C184" i="1"/>
  <c r="AC205" i="1"/>
  <c r="G226" i="1"/>
  <c r="AC226" i="1"/>
  <c r="C164" i="1"/>
  <c r="AF136" i="1"/>
  <c r="C213" i="1"/>
  <c r="AL138" i="1"/>
  <c r="Y149" i="1"/>
  <c r="D68" i="1"/>
  <c r="C105" i="1"/>
  <c r="K179" i="1"/>
  <c r="AD73" i="1"/>
  <c r="AD47" i="1" s="1"/>
  <c r="L179" i="1"/>
  <c r="H73" i="1"/>
  <c r="H47" i="1" s="1"/>
  <c r="AK226" i="1"/>
  <c r="Y56" i="1"/>
  <c r="C97" i="1"/>
  <c r="C192" i="1"/>
  <c r="AN73" i="1"/>
  <c r="K205" i="1"/>
  <c r="AH231" i="1"/>
  <c r="AH226" i="1" s="1"/>
  <c r="Y237" i="1"/>
  <c r="Y236" i="1" s="1"/>
  <c r="AC8" i="1"/>
  <c r="AE20" i="1"/>
  <c r="Y24" i="1"/>
  <c r="AJ57" i="1"/>
  <c r="C57" i="1" s="1"/>
  <c r="AJ61" i="1"/>
  <c r="C61" i="1" s="1"/>
  <c r="AI73" i="1"/>
  <c r="AI47" i="1" s="1"/>
  <c r="C89" i="1"/>
  <c r="I205" i="1"/>
  <c r="E205" i="1"/>
  <c r="N226" i="1"/>
  <c r="AL41" i="1"/>
  <c r="C122" i="1"/>
  <c r="T136" i="1"/>
  <c r="AO162" i="1"/>
  <c r="AO136" i="1" s="1"/>
  <c r="C173" i="1"/>
  <c r="C172" i="1" s="1"/>
  <c r="C171" i="1" s="1"/>
  <c r="C186" i="1"/>
  <c r="AF205" i="1"/>
  <c r="O226" i="1"/>
  <c r="G19" i="1"/>
  <c r="G8" i="1" s="1"/>
  <c r="C66" i="1"/>
  <c r="C200" i="1"/>
  <c r="C199" i="1" s="1"/>
  <c r="E73" i="1"/>
  <c r="E47" i="1" s="1"/>
  <c r="M19" i="1"/>
  <c r="F73" i="1"/>
  <c r="AM179" i="1"/>
  <c r="AE14" i="1"/>
  <c r="AM19" i="1"/>
  <c r="AM8" i="1" s="1"/>
  <c r="AF73" i="1"/>
  <c r="AF47" i="1" s="1"/>
  <c r="P136" i="1"/>
  <c r="C133" i="1"/>
  <c r="AE231" i="1"/>
  <c r="R19" i="1"/>
  <c r="R8" i="1" s="1"/>
  <c r="Q47" i="1"/>
  <c r="C88" i="1"/>
  <c r="Y138" i="1"/>
  <c r="Y136" i="1" s="1"/>
  <c r="C17" i="1"/>
  <c r="C14" i="1" s="1"/>
  <c r="AL20" i="1"/>
  <c r="AL19" i="1" s="1"/>
  <c r="S73" i="1"/>
  <c r="S47" i="1" s="1"/>
  <c r="AE108" i="1"/>
  <c r="AE107" i="1" s="1"/>
  <c r="U136" i="1"/>
  <c r="D158" i="1"/>
  <c r="S179" i="1"/>
  <c r="AL191" i="1"/>
  <c r="AL207" i="1"/>
  <c r="AG205" i="1"/>
  <c r="AB73" i="1"/>
  <c r="AM136" i="1"/>
  <c r="AB205" i="1"/>
  <c r="AC73" i="1"/>
  <c r="AC47" i="1" s="1"/>
  <c r="AD205" i="1"/>
  <c r="AN179" i="1"/>
  <c r="Y199" i="1"/>
  <c r="AN19" i="1"/>
  <c r="AN8" i="1" s="1"/>
  <c r="C166" i="1"/>
  <c r="AO179" i="1"/>
  <c r="AO19" i="1"/>
  <c r="AO8" i="1" s="1"/>
  <c r="AG73" i="1"/>
  <c r="AG47" i="1" s="1"/>
  <c r="J205" i="1"/>
  <c r="AL219" i="1"/>
  <c r="AM226" i="1"/>
  <c r="AH73" i="1"/>
  <c r="AH47" i="1" s="1"/>
  <c r="AL14" i="1"/>
  <c r="C22" i="1"/>
  <c r="T73" i="1"/>
  <c r="V136" i="1"/>
  <c r="AJ152" i="1"/>
  <c r="C156" i="1"/>
  <c r="AL181" i="1"/>
  <c r="L205" i="1"/>
  <c r="AH205" i="1"/>
  <c r="Q226" i="1"/>
  <c r="AE229" i="1"/>
  <c r="AE228" i="1" s="1"/>
  <c r="AE226" i="1" s="1"/>
  <c r="V226" i="1"/>
  <c r="Y34" i="1"/>
  <c r="D115" i="1"/>
  <c r="Y115" i="1"/>
  <c r="AJ20" i="1"/>
  <c r="AJ19" i="1" s="1"/>
  <c r="AJ8" i="1" s="1"/>
  <c r="AE56" i="1"/>
  <c r="AL108" i="1"/>
  <c r="AL107" i="1" s="1"/>
  <c r="W136" i="1"/>
  <c r="AA205" i="1"/>
  <c r="Z136" i="1"/>
  <c r="AE34" i="1"/>
  <c r="C81" i="1"/>
  <c r="W73" i="1"/>
  <c r="C140" i="1"/>
  <c r="AA136" i="1"/>
  <c r="AE181" i="1"/>
  <c r="AJ229" i="1"/>
  <c r="AJ228" i="1" s="1"/>
  <c r="C233" i="1"/>
  <c r="AI19" i="1"/>
  <c r="AI8" i="1" s="1"/>
  <c r="AI7" i="1" s="1"/>
  <c r="M8" i="1"/>
  <c r="AL34" i="1"/>
  <c r="AB136" i="1"/>
  <c r="AJ183" i="1"/>
  <c r="AE210" i="1"/>
  <c r="D215" i="1"/>
  <c r="C197" i="1"/>
  <c r="C67" i="1"/>
  <c r="G73" i="1"/>
  <c r="G47" i="1" s="1"/>
  <c r="N136" i="1"/>
  <c r="J73" i="1"/>
  <c r="J47" i="1" s="1"/>
  <c r="AJ219" i="1"/>
  <c r="C12" i="1"/>
  <c r="Q19" i="1"/>
  <c r="Q8" i="1" s="1"/>
  <c r="Q7" i="1" s="1"/>
  <c r="AA19" i="1"/>
  <c r="AE49" i="1"/>
  <c r="Y93" i="1"/>
  <c r="C104" i="1"/>
  <c r="C103" i="1" s="1"/>
  <c r="Y107" i="1"/>
  <c r="M136" i="1"/>
  <c r="AI136" i="1"/>
  <c r="AB19" i="1"/>
  <c r="D34" i="1"/>
  <c r="AJ54" i="1"/>
  <c r="C54" i="1" s="1"/>
  <c r="AE93" i="1"/>
  <c r="AJ100" i="1"/>
  <c r="Y103" i="1"/>
  <c r="AJ123" i="1"/>
  <c r="C123" i="1" s="1"/>
  <c r="AL199" i="1"/>
  <c r="U205" i="1"/>
  <c r="AE215" i="1"/>
  <c r="C220" i="1"/>
  <c r="C124" i="1"/>
  <c r="N93" i="1"/>
  <c r="D183" i="1"/>
  <c r="I63" i="1"/>
  <c r="C152" i="1"/>
  <c r="D60" i="1"/>
  <c r="D56" i="1" s="1"/>
  <c r="C52" i="1"/>
  <c r="I56" i="1"/>
  <c r="U73" i="1"/>
  <c r="U47" i="1" s="1"/>
  <c r="D100" i="1"/>
  <c r="O119" i="1"/>
  <c r="AK202" i="1"/>
  <c r="C58" i="1"/>
  <c r="C125" i="1"/>
  <c r="C139" i="1"/>
  <c r="AJ138" i="1"/>
  <c r="I73" i="1"/>
  <c r="C120" i="1"/>
  <c r="O188" i="1"/>
  <c r="O179" i="1" s="1"/>
  <c r="C99" i="1"/>
  <c r="D109" i="1"/>
  <c r="D108" i="1" s="1"/>
  <c r="D107" i="1" s="1"/>
  <c r="AK138" i="1"/>
  <c r="D93" i="1"/>
  <c r="AK181" i="1"/>
  <c r="D210" i="1"/>
  <c r="AJ109" i="1"/>
  <c r="AJ150" i="1"/>
  <c r="AJ149" i="1" s="1"/>
  <c r="O149" i="1"/>
  <c r="O136" i="1" s="1"/>
  <c r="AK205" i="1"/>
  <c r="AK63" i="1"/>
  <c r="AJ94" i="1"/>
  <c r="AJ93" i="1" s="1"/>
  <c r="D149" i="1"/>
  <c r="AK49" i="1"/>
  <c r="AJ60" i="1"/>
  <c r="C101" i="1"/>
  <c r="D185" i="1"/>
  <c r="C185" i="1" s="1"/>
  <c r="AJ35" i="1"/>
  <c r="AJ34" i="1" s="1"/>
  <c r="C85" i="1"/>
  <c r="AL76" i="1"/>
  <c r="AL73" i="1" s="1"/>
  <c r="AJ69" i="1"/>
  <c r="AJ68" i="1" s="1"/>
  <c r="AJ63" i="1" s="1"/>
  <c r="C142" i="1"/>
  <c r="AL223" i="1"/>
  <c r="AJ224" i="1"/>
  <c r="AJ223" i="1" s="1"/>
  <c r="AE76" i="1"/>
  <c r="C160" i="1"/>
  <c r="AJ158" i="1"/>
  <c r="C74" i="1"/>
  <c r="C32" i="1"/>
  <c r="C31" i="1" s="1"/>
  <c r="D31" i="1"/>
  <c r="AJ76" i="1"/>
  <c r="W47" i="1"/>
  <c r="Y131" i="1"/>
  <c r="Y49" i="1"/>
  <c r="C51" i="1"/>
  <c r="AB8" i="1"/>
  <c r="Y19" i="1"/>
  <c r="AE19" i="1"/>
  <c r="AB47" i="1"/>
  <c r="D49" i="1"/>
  <c r="F47" i="1"/>
  <c r="AJ129" i="1"/>
  <c r="AL128" i="1"/>
  <c r="D41" i="1"/>
  <c r="C43" i="1"/>
  <c r="C177" i="1"/>
  <c r="Z73" i="1"/>
  <c r="Z47" i="1" s="1"/>
  <c r="D138" i="1"/>
  <c r="AJ119" i="1"/>
  <c r="AL115" i="1"/>
  <c r="AJ116" i="1"/>
  <c r="AJ115" i="1" s="1"/>
  <c r="AL119" i="1"/>
  <c r="AE149" i="1"/>
  <c r="P8" i="1"/>
  <c r="C10" i="1"/>
  <c r="T19" i="1"/>
  <c r="T8" i="1" s="1"/>
  <c r="C84" i="1"/>
  <c r="E136" i="1"/>
  <c r="AB179" i="1"/>
  <c r="U19" i="1"/>
  <c r="U8" i="1" s="1"/>
  <c r="C42" i="1"/>
  <c r="O56" i="1"/>
  <c r="AE63" i="1"/>
  <c r="Y83" i="1"/>
  <c r="D119" i="1"/>
  <c r="I136" i="1"/>
  <c r="F136" i="1"/>
  <c r="AC179" i="1"/>
  <c r="F179" i="1"/>
  <c r="C189" i="1"/>
  <c r="AL210" i="1"/>
  <c r="AJ212" i="1"/>
  <c r="AJ210" i="1" s="1"/>
  <c r="AJ205" i="1" s="1"/>
  <c r="V19" i="1"/>
  <c r="V8" i="1" s="1"/>
  <c r="V7" i="1" s="1"/>
  <c r="AL49" i="1"/>
  <c r="AJ53" i="1"/>
  <c r="C53" i="1" s="1"/>
  <c r="P47" i="1"/>
  <c r="AE83" i="1"/>
  <c r="J136" i="1"/>
  <c r="AD179" i="1"/>
  <c r="AL188" i="1"/>
  <c r="Y191" i="1"/>
  <c r="Y188" i="1" s="1"/>
  <c r="AJ193" i="1"/>
  <c r="AJ191" i="1" s="1"/>
  <c r="AJ188" i="1" s="1"/>
  <c r="X73" i="1"/>
  <c r="D231" i="1"/>
  <c r="D226" i="1" s="1"/>
  <c r="C232" i="1"/>
  <c r="K47" i="1"/>
  <c r="AK119" i="1"/>
  <c r="C21" i="1"/>
  <c r="C20" i="1" s="1"/>
  <c r="D20" i="1"/>
  <c r="AJ147" i="1"/>
  <c r="AJ145" i="1" s="1"/>
  <c r="AL145" i="1"/>
  <c r="O8" i="1"/>
  <c r="D24" i="1"/>
  <c r="C25" i="1"/>
  <c r="C24" i="1" s="1"/>
  <c r="S8" i="1"/>
  <c r="W19" i="1"/>
  <c r="W8" i="1" s="1"/>
  <c r="AE41" i="1"/>
  <c r="AJ83" i="1"/>
  <c r="W205" i="1"/>
  <c r="AJ226" i="1"/>
  <c r="X19" i="1"/>
  <c r="X8" i="1" s="1"/>
  <c r="AL83" i="1"/>
  <c r="AJ131" i="1"/>
  <c r="C141" i="1"/>
  <c r="L136" i="1"/>
  <c r="AH136" i="1"/>
  <c r="G179" i="1"/>
  <c r="H205" i="1"/>
  <c r="X205" i="1"/>
  <c r="U226" i="1"/>
  <c r="C39" i="1"/>
  <c r="O49" i="1"/>
  <c r="C77" i="1"/>
  <c r="C76" i="1" s="1"/>
  <c r="AJ163" i="1"/>
  <c r="AL162" i="1"/>
  <c r="C194" i="1"/>
  <c r="Z19" i="1"/>
  <c r="Z8" i="1" s="1"/>
  <c r="V47" i="1"/>
  <c r="T47" i="1"/>
  <c r="Y76" i="1"/>
  <c r="K136" i="1"/>
  <c r="Z205" i="1"/>
  <c r="W226" i="1"/>
  <c r="AL231" i="1"/>
  <c r="AL226" i="1" s="1"/>
  <c r="Y63" i="1"/>
  <c r="D191" i="1"/>
  <c r="D188" i="1" s="1"/>
  <c r="Y226" i="1"/>
  <c r="C71" i="1"/>
  <c r="C165" i="1"/>
  <c r="AF179" i="1"/>
  <c r="AE24" i="1"/>
  <c r="AJ110" i="1"/>
  <c r="D65" i="1"/>
  <c r="C65" i="1" s="1"/>
  <c r="X63" i="1"/>
  <c r="L47" i="1"/>
  <c r="AK73" i="1"/>
  <c r="N47" i="1"/>
  <c r="AF19" i="1"/>
  <c r="AF8" i="1" s="1"/>
  <c r="AN47" i="1"/>
  <c r="K19" i="1"/>
  <c r="K8" i="1" s="1"/>
  <c r="AG19" i="1"/>
  <c r="AG8" i="1" s="1"/>
  <c r="AO47" i="1"/>
  <c r="AE138" i="1"/>
  <c r="C153" i="1"/>
  <c r="P179" i="1"/>
  <c r="N205" i="1"/>
  <c r="L19" i="1"/>
  <c r="L8" i="1" s="1"/>
  <c r="AH19" i="1"/>
  <c r="AH8" i="1" s="1"/>
  <c r="M73" i="1"/>
  <c r="M47" i="1" s="1"/>
  <c r="X136" i="1"/>
  <c r="AL158" i="1"/>
  <c r="Q179" i="1"/>
  <c r="O205" i="1"/>
  <c r="R47" i="1"/>
  <c r="N73" i="1"/>
  <c r="AL175" i="1"/>
  <c r="AJ176" i="1"/>
  <c r="R179" i="1"/>
  <c r="D181" i="1"/>
  <c r="P205" i="1"/>
  <c r="AM205" i="1"/>
  <c r="N19" i="1"/>
  <c r="N8" i="1" s="1"/>
  <c r="O73" i="1"/>
  <c r="C91" i="1"/>
  <c r="C132" i="1"/>
  <c r="Y181" i="1"/>
  <c r="Q205" i="1"/>
  <c r="AN205" i="1"/>
  <c r="AK19" i="1"/>
  <c r="AK8" i="1" s="1"/>
  <c r="C113" i="1"/>
  <c r="AE131" i="1"/>
  <c r="AE162" i="1"/>
  <c r="C203" i="1"/>
  <c r="C202" i="1" s="1"/>
  <c r="R205" i="1"/>
  <c r="AO205" i="1"/>
  <c r="AK56" i="1"/>
  <c r="AK149" i="1"/>
  <c r="AG162" i="1"/>
  <c r="AG136" i="1" s="1"/>
  <c r="S205" i="1"/>
  <c r="C208" i="1"/>
  <c r="C207" i="1" s="1"/>
  <c r="Y210" i="1"/>
  <c r="Y205" i="1" s="1"/>
  <c r="J179" i="1"/>
  <c r="I19" i="1"/>
  <c r="I8" i="1" s="1"/>
  <c r="J19" i="1"/>
  <c r="J8" i="1" s="1"/>
  <c r="AJ103" i="1"/>
  <c r="AJ50" i="1"/>
  <c r="AL93" i="1"/>
  <c r="AL149" i="1"/>
  <c r="T205" i="1"/>
  <c r="C221" i="1"/>
  <c r="AA8" i="1"/>
  <c r="Y14" i="1"/>
  <c r="C28" i="1"/>
  <c r="G136" i="1"/>
  <c r="AC136" i="1"/>
  <c r="C87" i="1"/>
  <c r="H136" i="1"/>
  <c r="AD136" i="1"/>
  <c r="C168" i="1"/>
  <c r="C159" i="1"/>
  <c r="AC7" i="1" l="1"/>
  <c r="C131" i="1"/>
  <c r="K7" i="1"/>
  <c r="AN7" i="1"/>
  <c r="C60" i="1"/>
  <c r="AL136" i="1"/>
  <c r="AL179" i="1"/>
  <c r="C231" i="1"/>
  <c r="AE179" i="1"/>
  <c r="AF7" i="1"/>
  <c r="M7" i="1"/>
  <c r="C229" i="1"/>
  <c r="C228" i="1" s="1"/>
  <c r="AL205" i="1"/>
  <c r="AL8" i="1"/>
  <c r="Y73" i="1"/>
  <c r="Y47" i="1" s="1"/>
  <c r="Y7" i="1" s="1"/>
  <c r="AE8" i="1"/>
  <c r="AE205" i="1"/>
  <c r="AD7" i="1"/>
  <c r="C183" i="1"/>
  <c r="C181" i="1" s="1"/>
  <c r="C226" i="1"/>
  <c r="AG7" i="1"/>
  <c r="U7" i="1"/>
  <c r="Y8" i="1"/>
  <c r="AJ181" i="1"/>
  <c r="AJ179" i="1" s="1"/>
  <c r="AJ73" i="1"/>
  <c r="C100" i="1"/>
  <c r="E7" i="1"/>
  <c r="C83" i="1"/>
  <c r="T7" i="1"/>
  <c r="C193" i="1"/>
  <c r="C191" i="1" s="1"/>
  <c r="C188" i="1" s="1"/>
  <c r="Y179" i="1"/>
  <c r="W7" i="1"/>
  <c r="G7" i="1"/>
  <c r="AA7" i="1"/>
  <c r="D19" i="1"/>
  <c r="D8" i="1" s="1"/>
  <c r="C119" i="1"/>
  <c r="X47" i="1"/>
  <c r="X7" i="1" s="1"/>
  <c r="AE73" i="1"/>
  <c r="AE47" i="1" s="1"/>
  <c r="C219" i="1"/>
  <c r="H7" i="1"/>
  <c r="L7" i="1"/>
  <c r="C116" i="1"/>
  <c r="C115" i="1" s="1"/>
  <c r="F7" i="1"/>
  <c r="D205" i="1"/>
  <c r="AE136" i="1"/>
  <c r="I47" i="1"/>
  <c r="I7" i="1" s="1"/>
  <c r="D73" i="1"/>
  <c r="AK136" i="1"/>
  <c r="C138" i="1"/>
  <c r="C109" i="1"/>
  <c r="AK179" i="1"/>
  <c r="C150" i="1"/>
  <c r="C149" i="1" s="1"/>
  <c r="C56" i="1"/>
  <c r="O47" i="1"/>
  <c r="C94" i="1"/>
  <c r="C93" i="1" s="1"/>
  <c r="D136" i="1"/>
  <c r="O7" i="1"/>
  <c r="AJ56" i="1"/>
  <c r="AK47" i="1"/>
  <c r="AJ108" i="1"/>
  <c r="AJ107" i="1" s="1"/>
  <c r="C176" i="1"/>
  <c r="C175" i="1" s="1"/>
  <c r="AJ175" i="1"/>
  <c r="AJ49" i="1"/>
  <c r="C50" i="1"/>
  <c r="C49" i="1" s="1"/>
  <c r="J7" i="1"/>
  <c r="P7" i="1"/>
  <c r="AL47" i="1"/>
  <c r="AL7" i="1" s="1"/>
  <c r="AB7" i="1"/>
  <c r="D179" i="1"/>
  <c r="C19" i="1"/>
  <c r="AM7" i="1"/>
  <c r="Z7" i="1"/>
  <c r="C147" i="1"/>
  <c r="C145" i="1" s="1"/>
  <c r="AO7" i="1"/>
  <c r="D63" i="1"/>
  <c r="N7" i="1"/>
  <c r="R7" i="1"/>
  <c r="AJ162" i="1"/>
  <c r="AJ136" i="1" s="1"/>
  <c r="C163" i="1"/>
  <c r="C162" i="1" s="1"/>
  <c r="C212" i="1"/>
  <c r="C210" i="1" s="1"/>
  <c r="C158" i="1"/>
  <c r="C224" i="1"/>
  <c r="C223" i="1" s="1"/>
  <c r="AH7" i="1"/>
  <c r="S7" i="1"/>
  <c r="C110" i="1"/>
  <c r="C69" i="1"/>
  <c r="C68" i="1" s="1"/>
  <c r="C63" i="1" s="1"/>
  <c r="C35" i="1"/>
  <c r="C34" i="1" s="1"/>
  <c r="AJ128" i="1"/>
  <c r="C129" i="1"/>
  <c r="C128" i="1" s="1"/>
  <c r="C41" i="1"/>
  <c r="AK7" i="1" l="1"/>
  <c r="C8" i="1"/>
  <c r="AE7" i="1"/>
  <c r="D47" i="1"/>
  <c r="D7" i="1" s="1"/>
  <c r="C108" i="1"/>
  <c r="C107" i="1" s="1"/>
  <c r="C73" i="1"/>
  <c r="C205" i="1"/>
  <c r="C179" i="1"/>
  <c r="C136" i="1"/>
  <c r="C47" i="1"/>
  <c r="AJ47" i="1"/>
  <c r="AJ7" i="1" s="1"/>
  <c r="C7" i="1" l="1"/>
</calcChain>
</file>

<file path=xl/sharedStrings.xml><?xml version="1.0" encoding="utf-8"?>
<sst xmlns="http://schemas.openxmlformats.org/spreadsheetml/2006/main" count="854" uniqueCount="738">
  <si>
    <t>Gerencia General</t>
  </si>
  <si>
    <t>Jefatura de Programas Habitacionales</t>
  </si>
  <si>
    <t>Proyectos Habitacionales</t>
  </si>
  <si>
    <t>Mecanismos de Financiamiento</t>
  </si>
  <si>
    <t>Fondo de Inversiones de bienes Inmuebles</t>
  </si>
  <si>
    <t>Jefatura Gestión Programas de Financiamiento</t>
  </si>
  <si>
    <t>Administración de Canales de Servicios</t>
  </si>
  <si>
    <t>Gestión de Servicios</t>
  </si>
  <si>
    <t>TOTAL</t>
  </si>
  <si>
    <t>REMUNEARCIONES</t>
  </si>
  <si>
    <t>0.01</t>
  </si>
  <si>
    <t>REMUNERACIONES BASICAS</t>
  </si>
  <si>
    <t>0.01.01</t>
  </si>
  <si>
    <t>Sueldos para cargos fijos</t>
  </si>
  <si>
    <t>0.01.05</t>
  </si>
  <si>
    <t>Suplencias</t>
  </si>
  <si>
    <t>0.02</t>
  </si>
  <si>
    <t>REMUNERACIONES EVENTUALES</t>
  </si>
  <si>
    <t>0.02.01</t>
  </si>
  <si>
    <t>Tiempo extraordinario</t>
  </si>
  <si>
    <t>0.02.02</t>
  </si>
  <si>
    <t>Recargo de funciones</t>
  </si>
  <si>
    <t>0.02.05</t>
  </si>
  <si>
    <t>Dietas</t>
  </si>
  <si>
    <t>0.03</t>
  </si>
  <si>
    <t>INCENTIVOS SALARIALES</t>
  </si>
  <si>
    <t>0.03.01</t>
  </si>
  <si>
    <t xml:space="preserve">Retribución por años servidos  </t>
  </si>
  <si>
    <t>0.03.01.01</t>
  </si>
  <si>
    <t>Antigüedad</t>
  </si>
  <si>
    <t>0.03.01.02</t>
  </si>
  <si>
    <t>Méritos</t>
  </si>
  <si>
    <t>0.03.02</t>
  </si>
  <si>
    <t xml:space="preserve">Restricción al ejercicio liberal de la profesión  </t>
  </si>
  <si>
    <t>0.03.02.01</t>
  </si>
  <si>
    <t>Dedicación Exclusiva</t>
  </si>
  <si>
    <t>0.03.02.02</t>
  </si>
  <si>
    <t>Prohibición</t>
  </si>
  <si>
    <t>0.03.03</t>
  </si>
  <si>
    <t>Decimotercer mes</t>
  </si>
  <si>
    <t>0.03.04</t>
  </si>
  <si>
    <t>Salario escolar</t>
  </si>
  <si>
    <t>0.03.99</t>
  </si>
  <si>
    <t xml:space="preserve">Otros incentivos salariales </t>
  </si>
  <si>
    <t>0.03.99.02</t>
  </si>
  <si>
    <t>Carrera Profesional</t>
  </si>
  <si>
    <t>0.04</t>
  </si>
  <si>
    <t>CONTRIBUCIONES PATRONALES AL DESARROLLO Y LA SEGURIDAD SOCIAL</t>
  </si>
  <si>
    <t>0.04.01</t>
  </si>
  <si>
    <t>Contribución Patronal al Seguro de Salud de la CCSS</t>
  </si>
  <si>
    <t>0.04.02</t>
  </si>
  <si>
    <t xml:space="preserve">Contribución Patronal al IMAS </t>
  </si>
  <si>
    <t>0.04.03</t>
  </si>
  <si>
    <t xml:space="preserve">Contribución Patronal al INA </t>
  </si>
  <si>
    <t>0.04.04</t>
  </si>
  <si>
    <t>Contribución Patronal al FODESAF</t>
  </si>
  <si>
    <t>0.04.05</t>
  </si>
  <si>
    <t xml:space="preserve">Contribución Patronal al Banco Popular y de Desarrollo   </t>
  </si>
  <si>
    <t>0.05</t>
  </si>
  <si>
    <t>CONTRIB. PATRO. A FONDOS DE PENS. Y OTROS FONDOS DE CAPITALIZACION</t>
  </si>
  <si>
    <t>0.05.01</t>
  </si>
  <si>
    <t>Contribución Patronal al Seguro de Pensiones  de la CCSS</t>
  </si>
  <si>
    <t>0.05.02</t>
  </si>
  <si>
    <t xml:space="preserve">Aporte Patronal al Régimen Obligatorio de Pensiones Complementarias </t>
  </si>
  <si>
    <t>0.05.03</t>
  </si>
  <si>
    <t xml:space="preserve">Aporte Patronal al Fondo de Capitalización Laboral </t>
  </si>
  <si>
    <t>0.05.05</t>
  </si>
  <si>
    <t>Contribución Patronal a fondos administrados por entes privados</t>
  </si>
  <si>
    <t>SERVICIOS</t>
  </si>
  <si>
    <t>1.01</t>
  </si>
  <si>
    <t>ALQUILERES</t>
  </si>
  <si>
    <t>1.01.01</t>
  </si>
  <si>
    <t>Alquileres de edificios, locales y terrenos</t>
  </si>
  <si>
    <t>1.01.02</t>
  </si>
  <si>
    <t>Alquileres de maquinaria, equipo y mobiliario</t>
  </si>
  <si>
    <t>1.01.03</t>
  </si>
  <si>
    <t>Alquileres de equipo de cómputo</t>
  </si>
  <si>
    <t>1.01.04</t>
  </si>
  <si>
    <t>Alquileres de Equipo y Derechos para Telecomunicaciones</t>
  </si>
  <si>
    <t>1.01.99</t>
  </si>
  <si>
    <t>Otros alquileres</t>
  </si>
  <si>
    <t>1.02</t>
  </si>
  <si>
    <t>SERVICIOS BÁSICOS</t>
  </si>
  <si>
    <t>1.02.01</t>
  </si>
  <si>
    <t xml:space="preserve">Servicio de agua y alcantarillado </t>
  </si>
  <si>
    <t>1.02.02</t>
  </si>
  <si>
    <t>Servicio de energía eléctrica</t>
  </si>
  <si>
    <t>1.02.03</t>
  </si>
  <si>
    <t>Servicio de correo</t>
  </si>
  <si>
    <t>1.02.04</t>
  </si>
  <si>
    <t>Servicio de telecomunicaciones</t>
  </si>
  <si>
    <t>1.02.99</t>
  </si>
  <si>
    <t xml:space="preserve">Otros servicios básicos </t>
  </si>
  <si>
    <t>1.03</t>
  </si>
  <si>
    <t>SERVICIOS COMERCIALES Y FINANCIEROS</t>
  </si>
  <si>
    <t>1.03.01</t>
  </si>
  <si>
    <t xml:space="preserve">Información                            </t>
  </si>
  <si>
    <t>1.03.02</t>
  </si>
  <si>
    <t xml:space="preserve">Publicidad y propaganda         </t>
  </si>
  <si>
    <t>1.03.03</t>
  </si>
  <si>
    <t>Impresiones, encuadernación y otros</t>
  </si>
  <si>
    <t>1.03.04</t>
  </si>
  <si>
    <t>Transporte de bienes</t>
  </si>
  <si>
    <t>1.03.06</t>
  </si>
  <si>
    <t xml:space="preserve">Comisiones y gastos por servicios financieros y comerciales </t>
  </si>
  <si>
    <t>1.03.06.01</t>
  </si>
  <si>
    <t>1.03.06.02</t>
  </si>
  <si>
    <t>Comisionistas del Sistema de Ahorro y Préstamo</t>
  </si>
  <si>
    <t>1.03.07</t>
  </si>
  <si>
    <t>Servicios de tecnologías de información</t>
  </si>
  <si>
    <t>1.04</t>
  </si>
  <si>
    <t xml:space="preserve">SERVICIOS DE GESTIÓN Y APOYO  </t>
  </si>
  <si>
    <t>1.04.01</t>
  </si>
  <si>
    <t>Servicios de Ciencias de la Salud</t>
  </si>
  <si>
    <t>1.04.02</t>
  </si>
  <si>
    <t>SERVICIOS JURÍDICOS</t>
  </si>
  <si>
    <t>1.04.02.01</t>
  </si>
  <si>
    <t>Servicios Jurídicos Generales</t>
  </si>
  <si>
    <t>1.04.02.02</t>
  </si>
  <si>
    <t>Servicios Jurídicos Gastos de Form. Aportes BFV</t>
  </si>
  <si>
    <t>1.04.02.05</t>
  </si>
  <si>
    <t>Servicios Jurídicos-Cobro Judicial</t>
  </si>
  <si>
    <t>1.04.02.06</t>
  </si>
  <si>
    <t>Servicios Jurídicos PDU GAM</t>
  </si>
  <si>
    <t>1.04.02.09</t>
  </si>
  <si>
    <t>Servicios Jurídicos-Recursos FODESAF</t>
  </si>
  <si>
    <t>1.04.03</t>
  </si>
  <si>
    <t>SERVICIOS DE INGENIERÍA Y ARQUITECTURA</t>
  </si>
  <si>
    <t>1.04.03.01</t>
  </si>
  <si>
    <t>Servicios de Ingeniería y Arq-General</t>
  </si>
  <si>
    <t>1.04.03.02</t>
  </si>
  <si>
    <t>Servicios de Ingeniería y Arq.- Gastos de Form. Aportes BFV</t>
  </si>
  <si>
    <t>1.04.03.05</t>
  </si>
  <si>
    <t>Servicios de Ingeniería y Arq. Plan Reg. Talamanca</t>
  </si>
  <si>
    <t>1.04.03.06</t>
  </si>
  <si>
    <t>Servicios de Ingeniería y Arq. Recursos FODESAF</t>
  </si>
  <si>
    <t>1.04.03.08</t>
  </si>
  <si>
    <t>Servicios de Ingeniería y Arq. Plan Reg.Vázques de Coronado</t>
  </si>
  <si>
    <t>1.04.03.12</t>
  </si>
  <si>
    <t>Servicios de Ingeniería y Arq-Titulación</t>
  </si>
  <si>
    <t>1.04.03.14</t>
  </si>
  <si>
    <t>Servicios de Ingeniería y Arq-Brunca</t>
  </si>
  <si>
    <t>1.04.03.16</t>
  </si>
  <si>
    <t>Servicios de Ingeniería y Arq-PDU GAM</t>
  </si>
  <si>
    <t>1.04.04</t>
  </si>
  <si>
    <t>SERVICIOS EN CIENCIAS ECONPOMICAS Y SOCIALES</t>
  </si>
  <si>
    <t>1.04.04.01</t>
  </si>
  <si>
    <t>Servicios en Ciencias Económ. y Sociales-General</t>
  </si>
  <si>
    <t>1.04.04.08</t>
  </si>
  <si>
    <t>Serv. Ciencias Económ y Sociales PDU GAM</t>
  </si>
  <si>
    <t>1.04.04.09</t>
  </si>
  <si>
    <t>Servicios en Ciencias Económ. y Sociales-Titulación</t>
  </si>
  <si>
    <t>1.04.04.11</t>
  </si>
  <si>
    <t>Servicios en Ciencias Económ. y Sociales-Brunca</t>
  </si>
  <si>
    <t>1.04.05</t>
  </si>
  <si>
    <t>Servicios Informáticos</t>
  </si>
  <si>
    <t>1.04.06</t>
  </si>
  <si>
    <t>Servicios Generales</t>
  </si>
  <si>
    <t>1.04.99</t>
  </si>
  <si>
    <t>Otros Servicios de Gestión y Apoyo</t>
  </si>
  <si>
    <t>1.05</t>
  </si>
  <si>
    <t>GASTOS DE VIAJE Y DE TRANSPORTE</t>
  </si>
  <si>
    <t>1.05.01</t>
  </si>
  <si>
    <t xml:space="preserve">Transporte dentro del país </t>
  </si>
  <si>
    <t>1.05.02</t>
  </si>
  <si>
    <t xml:space="preserve">Viáticos dentro del país </t>
  </si>
  <si>
    <t>1.06</t>
  </si>
  <si>
    <t>SEGUROS, REASEGUROS Y OTRAS OBLIGACIONES</t>
  </si>
  <si>
    <t>1.06.01</t>
  </si>
  <si>
    <t>SEGUROS</t>
  </si>
  <si>
    <t>1.06.01.01</t>
  </si>
  <si>
    <t>Seguros-General</t>
  </si>
  <si>
    <t>1.06.01.02</t>
  </si>
  <si>
    <t>Seguros Créditos</t>
  </si>
  <si>
    <t>Seguros Bonos</t>
  </si>
  <si>
    <t>1.06.02</t>
  </si>
  <si>
    <t>Reaseguros</t>
  </si>
  <si>
    <t>1.06.03</t>
  </si>
  <si>
    <t>Obligaciones por Contratos de Seguros</t>
  </si>
  <si>
    <t>1.07</t>
  </si>
  <si>
    <t>CAPACITACION Y PROTOCOLO</t>
  </si>
  <si>
    <t>1.07.01</t>
  </si>
  <si>
    <t>Actividades de capacitación</t>
  </si>
  <si>
    <t>1.07.02</t>
  </si>
  <si>
    <t xml:space="preserve">Actividades protocolarias y sociales </t>
  </si>
  <si>
    <t>1.08</t>
  </si>
  <si>
    <t>MANTENIMIENTO Y REPARACIÓN</t>
  </si>
  <si>
    <t>1.08.01</t>
  </si>
  <si>
    <t>Mantenimiento de edificios, locales y terrenos</t>
  </si>
  <si>
    <t>1.08.04</t>
  </si>
  <si>
    <t>Mantenimiento y Repar. De Maq. Y Equipo de Producción</t>
  </si>
  <si>
    <t>1.08.05</t>
  </si>
  <si>
    <t>Mantenimiento y reparación de equipo de transporte</t>
  </si>
  <si>
    <t>1.08.06</t>
  </si>
  <si>
    <t>Mantenimiento y reparación de equipo de comunicación</t>
  </si>
  <si>
    <t>1.08.07</t>
  </si>
  <si>
    <t>Mantenimiento y reparación de equipo y mobiliario de oficina</t>
  </si>
  <si>
    <t>1.08.08</t>
  </si>
  <si>
    <t>Mantenimiento y reparación de equipo de cómputo y  sistemas de información</t>
  </si>
  <si>
    <t>1.08.99</t>
  </si>
  <si>
    <t>Mantenimiento y reparación de otros equipos</t>
  </si>
  <si>
    <t>1.09</t>
  </si>
  <si>
    <t>IMPUESTOS</t>
  </si>
  <si>
    <t>1.09.99</t>
  </si>
  <si>
    <t>Otros impuestos</t>
  </si>
  <si>
    <t>1.99</t>
  </si>
  <si>
    <t>SERVICIOS DIVERSOS</t>
  </si>
  <si>
    <t>1.99.02</t>
  </si>
  <si>
    <t>Intereses moratorios y multas</t>
  </si>
  <si>
    <t>1.99.05</t>
  </si>
  <si>
    <t>Deducibles</t>
  </si>
  <si>
    <t>1.99.99</t>
  </si>
  <si>
    <t>Otros servicios no especificados</t>
  </si>
  <si>
    <t>MATERIALES Y SUMINISTROS</t>
  </si>
  <si>
    <t>2.01</t>
  </si>
  <si>
    <t>PRODUCTOS QUIMICOS Y CONEXOS</t>
  </si>
  <si>
    <t>2.01.01</t>
  </si>
  <si>
    <t xml:space="preserve">Combustibles y lubricantes </t>
  </si>
  <si>
    <t>2.01.02</t>
  </si>
  <si>
    <t>Productos farmacéuticos y medicinales</t>
  </si>
  <si>
    <t>2.01.03</t>
  </si>
  <si>
    <t>Productos Veterinarios</t>
  </si>
  <si>
    <t>2.01.04</t>
  </si>
  <si>
    <t xml:space="preserve">Tintas, pinturas y diluyentes </t>
  </si>
  <si>
    <t>2.01.99</t>
  </si>
  <si>
    <t>Otros productos químicos</t>
  </si>
  <si>
    <t>2.02</t>
  </si>
  <si>
    <t>ALIMENTOS Y PRODUCTOS AGROPECUARIOS</t>
  </si>
  <si>
    <t>2.02.03</t>
  </si>
  <si>
    <t xml:space="preserve">Alimentos y bebidas </t>
  </si>
  <si>
    <t>2.02.04</t>
  </si>
  <si>
    <t>Alimentos para animales</t>
  </si>
  <si>
    <t>2.03</t>
  </si>
  <si>
    <t>MATERIALES Y PRODUCTOS DE USO EN LA CONSTRUCCIÓN Y MANTENIMIENTO</t>
  </si>
  <si>
    <t>2.03.01</t>
  </si>
  <si>
    <t xml:space="preserve">Materiales y productos metálicos </t>
  </si>
  <si>
    <t>2.03.02</t>
  </si>
  <si>
    <t>Materiales y productos minerales y asfálticos</t>
  </si>
  <si>
    <t>2.03.03</t>
  </si>
  <si>
    <t>Madera y sus derivados</t>
  </si>
  <si>
    <t>2.03.04</t>
  </si>
  <si>
    <t>Materiales y productos eléctricos, telefónicos y de cómputo</t>
  </si>
  <si>
    <t>2.03.05</t>
  </si>
  <si>
    <t>Materiales y productos de vidrio</t>
  </si>
  <si>
    <t>2.03.06</t>
  </si>
  <si>
    <t>Materiales y productos de plástico</t>
  </si>
  <si>
    <t>2.03.99</t>
  </si>
  <si>
    <t>Otros materiales y productos de uso en la construcción</t>
  </si>
  <si>
    <t>2.04</t>
  </si>
  <si>
    <t>HERRAMIENTAS, REPUESTOS Y ACCESORIOS</t>
  </si>
  <si>
    <t>2.04.01</t>
  </si>
  <si>
    <t>Herramientas e instrumentos</t>
  </si>
  <si>
    <t>2.04.02</t>
  </si>
  <si>
    <t>Repuestos y accesorios</t>
  </si>
  <si>
    <t>2.99</t>
  </si>
  <si>
    <t>UTILES, MATERIALES Y SUMINISTROS DIVERSOS</t>
  </si>
  <si>
    <t>2.99.01</t>
  </si>
  <si>
    <t>Útiles y materiales de oficina y cómputo</t>
  </si>
  <si>
    <t>2.99.02</t>
  </si>
  <si>
    <t>Útiles y materiales médicos, hospitalario y de investigación</t>
  </si>
  <si>
    <t>2.99.03</t>
  </si>
  <si>
    <t>Productos de papel, cartón e impresos</t>
  </si>
  <si>
    <t>2.99.04</t>
  </si>
  <si>
    <t>Textiles y vestuario</t>
  </si>
  <si>
    <t>2.99.05</t>
  </si>
  <si>
    <t>Útiles y materiales de limpieza</t>
  </si>
  <si>
    <t>2.99.06</t>
  </si>
  <si>
    <t>Útiles y materiales de resguardo y seguridad</t>
  </si>
  <si>
    <t>2.99.99</t>
  </si>
  <si>
    <t>Otros útiles, materiales y suministros</t>
  </si>
  <si>
    <t>INTERESES Y COMISIONES</t>
  </si>
  <si>
    <t>3.02</t>
  </si>
  <si>
    <t xml:space="preserve">INTERESES SOBRE PRÉSTAMOS </t>
  </si>
  <si>
    <t>3.02.07</t>
  </si>
  <si>
    <t>Intereses sobre préstamos del Sector Privado</t>
  </si>
  <si>
    <t>ACTIVOS FINANCIEROS</t>
  </si>
  <si>
    <t>4.01.07.01</t>
  </si>
  <si>
    <t>Préstamos al Sector Privado Ahorro y Préstamo</t>
  </si>
  <si>
    <t>4.01.07.06</t>
  </si>
  <si>
    <t>CredINVU</t>
  </si>
  <si>
    <t xml:space="preserve">BIENES DURADEROS </t>
  </si>
  <si>
    <t>5.01</t>
  </si>
  <si>
    <t>MAQUINARIA, EQUIPO Y MOBILIARIO</t>
  </si>
  <si>
    <t>5.01.01</t>
  </si>
  <si>
    <t>Maquinaria y equipo para la producción</t>
  </si>
  <si>
    <t>5.01.03</t>
  </si>
  <si>
    <t>Equipo de comunicación</t>
  </si>
  <si>
    <t>5.01.04</t>
  </si>
  <si>
    <t>Equipo y mobiliario de oficina</t>
  </si>
  <si>
    <t>5.01.05</t>
  </si>
  <si>
    <t>Equipo y programas de  cómputo</t>
  </si>
  <si>
    <t>5.01.99</t>
  </si>
  <si>
    <t>Maquinaria y equipo diverso</t>
  </si>
  <si>
    <t>5.02</t>
  </si>
  <si>
    <t>CONSTRUCCIONES, ADICIONES Y MEJORAS</t>
  </si>
  <si>
    <t>5.02.01</t>
  </si>
  <si>
    <t xml:space="preserve"> Edificios </t>
  </si>
  <si>
    <t>5.02.06</t>
  </si>
  <si>
    <t>Obras urbanísticas</t>
  </si>
  <si>
    <t>5.02.06.35</t>
  </si>
  <si>
    <t>Proyecto Los Lirios II Etapa</t>
  </si>
  <si>
    <t>5.02.06.03</t>
  </si>
  <si>
    <t>André Challe</t>
  </si>
  <si>
    <t>5.02.06.65</t>
  </si>
  <si>
    <t>Finca Boschini Obras de Estabilización</t>
  </si>
  <si>
    <t>5.02.06.61</t>
  </si>
  <si>
    <t>Proyecto Veredas del Norte</t>
  </si>
  <si>
    <t>5.02.99</t>
  </si>
  <si>
    <t>Otras construcciones, adiciones y mejoras</t>
  </si>
  <si>
    <t>5.03</t>
  </si>
  <si>
    <t>BIENES PREEXISTENTES</t>
  </si>
  <si>
    <t>5.03.01</t>
  </si>
  <si>
    <t>Terrenos</t>
  </si>
  <si>
    <t>5.99</t>
  </si>
  <si>
    <t>BIENES DURADEROS DIVERSOS</t>
  </si>
  <si>
    <t>5.99.03</t>
  </si>
  <si>
    <t>Bienes intangibles</t>
  </si>
  <si>
    <t>TRANSFERENCIAS CORRIENTES</t>
  </si>
  <si>
    <t>6.01</t>
  </si>
  <si>
    <t>TRANSFERENCIAS CORRIENTES AL SECTOR PÚBLICO</t>
  </si>
  <si>
    <t>6.01.02</t>
  </si>
  <si>
    <t xml:space="preserve">Transferencias corrientes a Órganos Desconcentrados </t>
  </si>
  <si>
    <t>6.02</t>
  </si>
  <si>
    <t>TRANSFERENCIAS CORRIENTES A PERSONAS</t>
  </si>
  <si>
    <t>6.02.01</t>
  </si>
  <si>
    <t xml:space="preserve">Becas a funcionarios </t>
  </si>
  <si>
    <t>6.02.03</t>
  </si>
  <si>
    <t>Ayudas a funcionarios (fondo enfermedad)</t>
  </si>
  <si>
    <t>6.02.99</t>
  </si>
  <si>
    <t>Otras transferencias a personas</t>
  </si>
  <si>
    <t>6.03</t>
  </si>
  <si>
    <t>PRESTACIONES</t>
  </si>
  <si>
    <t>6.03.01</t>
  </si>
  <si>
    <t xml:space="preserve">Prestaciones legales </t>
  </si>
  <si>
    <t>6.03.99</t>
  </si>
  <si>
    <t>Otras prestaciones (Incapacidades)</t>
  </si>
  <si>
    <t>6.06</t>
  </si>
  <si>
    <t xml:space="preserve">OTRAS TRANSFERENCIAS CORRIENTES AL SECTOR PRIVADO </t>
  </si>
  <si>
    <t>6.06.01</t>
  </si>
  <si>
    <t>Indemnizaciones</t>
  </si>
  <si>
    <t>6.06.02</t>
  </si>
  <si>
    <t>Reintegros o devoluciones</t>
  </si>
  <si>
    <t>6.07</t>
  </si>
  <si>
    <t>TRANSFERENCIAS CORRIENTES AL SECTOR EXTERNO</t>
  </si>
  <si>
    <t>6.07.01</t>
  </si>
  <si>
    <t xml:space="preserve">Transferencias corrientes a organismos internacionales </t>
  </si>
  <si>
    <t>TRANSFERENCIAS DE CAPITAL</t>
  </si>
  <si>
    <t>7.01</t>
  </si>
  <si>
    <t>TRANSFERENCIAS DE CAPITAL AL SECTOR PUBLICO</t>
  </si>
  <si>
    <t>7.01.06</t>
  </si>
  <si>
    <t>Transferencias de Capital a Instituciones Públicas Financieras</t>
  </si>
  <si>
    <t>7.02</t>
  </si>
  <si>
    <t>TRANSFERENCIAS DE CAPITAL A PERSONAS</t>
  </si>
  <si>
    <t>7.02.01.01</t>
  </si>
  <si>
    <t>Transferencias de capital a personas</t>
  </si>
  <si>
    <t>7.02.01.03</t>
  </si>
  <si>
    <t>Casos Individuales Art.59</t>
  </si>
  <si>
    <t>7.02.01.17</t>
  </si>
  <si>
    <t>Subsidios Convenio Proyectos André Challe y los Lirios</t>
  </si>
  <si>
    <t>AMORTIZACION</t>
  </si>
  <si>
    <t>8.02</t>
  </si>
  <si>
    <t>AMORTIZACIÓN DE PRÉSTAMOS AL SECTOR PRIVADO</t>
  </si>
  <si>
    <t>8.02.07.01</t>
  </si>
  <si>
    <t>Amortización-Renuncias</t>
  </si>
  <si>
    <t>8.02.07.02</t>
  </si>
  <si>
    <t>Amortización Aplicación Créditos</t>
  </si>
  <si>
    <t>TOTAL INGRESOS</t>
  </si>
  <si>
    <t>PROGRAMA No.1 ADMINISTRACIÓN Y APOYO</t>
  </si>
  <si>
    <t>PROGRAMA No.2 URBANISMO</t>
  </si>
  <si>
    <t>PROGRAMA No.3          PROGRAMAS HABITACIONALES</t>
  </si>
  <si>
    <t>PROGRAMA No.4    GESTION DE PROGRAMAS DE FINANCIAMIENTO</t>
  </si>
  <si>
    <t>SUBPROGRAMA NO.2  GESTIÓN DE PRODUCTOS CON DIVERSAS FUENTES DE FINANCIAMIENTO</t>
  </si>
  <si>
    <t>1.0.0.0.00.00.0.0.000</t>
  </si>
  <si>
    <t>INGRESOS    CORRIENTES</t>
  </si>
  <si>
    <t>1.3.0.0.00.00.0.0.000</t>
  </si>
  <si>
    <t>INGRESOS NO TRIBUTARIOS</t>
  </si>
  <si>
    <t>1.3.1.0.00.00.0.0.000</t>
  </si>
  <si>
    <t>VENTA DE BIENES Y SERVICIOS</t>
  </si>
  <si>
    <t xml:space="preserve"> </t>
  </si>
  <si>
    <t>1.3.1.2.00.00.0.0.000</t>
  </si>
  <si>
    <t>VENTA DE SERVICIOS</t>
  </si>
  <si>
    <t>1.3.1.2.03.01.0.0.000</t>
  </si>
  <si>
    <t xml:space="preserve">Servicios financieros </t>
  </si>
  <si>
    <t>1.3.1.2.04.00.0.0.000</t>
  </si>
  <si>
    <t>1.3.1.2.04.01.0.0.000</t>
  </si>
  <si>
    <r>
      <t xml:space="preserve">Alquiler de edificios e instalaciones  </t>
    </r>
    <r>
      <rPr>
        <b/>
        <sz val="10"/>
        <rFont val="Arial"/>
        <family val="2"/>
      </rPr>
      <t xml:space="preserve"> </t>
    </r>
  </si>
  <si>
    <t>1.3.1.2.09.09.0.0.000</t>
  </si>
  <si>
    <t>Venta de otros servicios</t>
  </si>
  <si>
    <t>1.3.1.2.09.09.1.0.000</t>
  </si>
  <si>
    <t xml:space="preserve">Ingresos INVU </t>
  </si>
  <si>
    <t>1.3.1.2.09.09.3.0.000</t>
  </si>
  <si>
    <t>Ingresos Urbanismo</t>
  </si>
  <si>
    <t>Sistema de Ahorro y Préstamo</t>
  </si>
  <si>
    <t>1.3.1.2.09.09.3.0.002</t>
  </si>
  <si>
    <t>INGRESOS DE LA PROPIEDAD</t>
  </si>
  <si>
    <t>1.3.1.2.09.09.3.0.003</t>
  </si>
  <si>
    <t>RENTA DE PROPIEDADES</t>
  </si>
  <si>
    <t>1.3.2.2.02.00.0.0.000</t>
  </si>
  <si>
    <t xml:space="preserve">Alquiler de terrenos  </t>
  </si>
  <si>
    <t>-</t>
  </si>
  <si>
    <t>1.3.2.3.00.00.0.0.000</t>
  </si>
  <si>
    <t>RENTA DE ACTIVOS FINANCIEROS</t>
  </si>
  <si>
    <t>1.3.2.3.01.00.0.0.000</t>
  </si>
  <si>
    <t>INTERESES SOBRE TITUTLOS VALORES</t>
  </si>
  <si>
    <t>1.3.2.3.01.06.0.0.000</t>
  </si>
  <si>
    <t>Intereses sobre títulos valores de Inst.Pub.Financieras</t>
  </si>
  <si>
    <t>INVU (sin SAP)</t>
  </si>
  <si>
    <t>Ahorro y Préstamo</t>
  </si>
  <si>
    <t>1.3.2.3.02.07.0.0.000</t>
  </si>
  <si>
    <t>Intereses y comisiones sobre préstamos al Sector Privado</t>
  </si>
  <si>
    <t xml:space="preserve">  INVU (sin SAP)</t>
  </si>
  <si>
    <t>1.3.2.3.02.08.0.0.000</t>
  </si>
  <si>
    <t>Intereses y comisiones sobre préstamos al Sector Privado SAP</t>
  </si>
  <si>
    <t>1.3.2.3.03.00.0.0.000</t>
  </si>
  <si>
    <t>OTRAS RENTAS DE ACTIVOS FINANCIEROS</t>
  </si>
  <si>
    <t>1.3.2.3.03.01.0.0.000</t>
  </si>
  <si>
    <t>Intereses sobre cuentas corrientes y otros dep. en Bcos Estatales</t>
  </si>
  <si>
    <t>Intereses sobre cuentas corr y otros dep. en Bcos Estatales SAP</t>
  </si>
  <si>
    <t>1.3.9.0.00.00.0.0.000</t>
  </si>
  <si>
    <t>OTROS INGRESOS NO TRIBUTARIOS</t>
  </si>
  <si>
    <t xml:space="preserve">1.3.9.9.00.00.0.0.000 </t>
  </si>
  <si>
    <t xml:space="preserve">Ingresos varios no especificados  </t>
  </si>
  <si>
    <t xml:space="preserve">1.3.9.9.01.00.0.0.000 </t>
  </si>
  <si>
    <t>Ingresos varios no especificados  INVU  (Seguros)</t>
  </si>
  <si>
    <t>1.3.9.9.03.00.0.0.00</t>
  </si>
  <si>
    <t>Ingresos varios no especificados  INVU  (Gastos Formalización aporte Cliente)</t>
  </si>
  <si>
    <t xml:space="preserve">1.3.9.9.02.00.0.0.000 </t>
  </si>
  <si>
    <t xml:space="preserve">Ingresos varios no especificados A Y P  </t>
  </si>
  <si>
    <t>1.4.0.0.00.00.0.0.000</t>
  </si>
  <si>
    <t>1.4.1.0.00.00.0.0.000</t>
  </si>
  <si>
    <t>Transferencias Corrientes del Sector Público</t>
  </si>
  <si>
    <t xml:space="preserve"> 1.4.1.6.00.00.0.0.000</t>
  </si>
  <si>
    <t>Transferencias corrientes de Instituciones públicas Financieras</t>
  </si>
  <si>
    <t>TOTAL INGRESOS DE CAPITAL Y FINANCIAMIENTO</t>
  </si>
  <si>
    <t>2.0.0.0.00.00.0.0.000</t>
  </si>
  <si>
    <t>INGRESOS DE CAPITAL</t>
  </si>
  <si>
    <t>2.1.0.0.00.00.0.0.000</t>
  </si>
  <si>
    <t>VENTA DE ACTIVOS</t>
  </si>
  <si>
    <t>2.1.1.0.00.00.0.0.000</t>
  </si>
  <si>
    <t>VENTA DE ACTIVOS FIJOS</t>
  </si>
  <si>
    <t xml:space="preserve">2.1.1.1.00.00.0.0.000 </t>
  </si>
  <si>
    <t>Venta de terrenos  (y lotes)</t>
  </si>
  <si>
    <t>2.3.0.0.00.00.0.0.000</t>
  </si>
  <si>
    <t>RECUPERACION DE PRESTAMOS</t>
  </si>
  <si>
    <t>2.3.2.0.00.00.0.0.000</t>
  </si>
  <si>
    <t>RECUPERACION DE PRESTAMOS AL SECTOR PRIVADO</t>
  </si>
  <si>
    <t>2.3.2.1.00.00.0.0.000</t>
  </si>
  <si>
    <t>RECUP. DE PRESTAMOS AL SECTOR PRIVADO INVU</t>
  </si>
  <si>
    <t>Prestatarios INVU</t>
  </si>
  <si>
    <t>2.3.2.2.00.00.0.0.000</t>
  </si>
  <si>
    <t>Prestatarios SAP</t>
  </si>
  <si>
    <t>2.4.0.0.00.00.0.0.000</t>
  </si>
  <si>
    <t>2.4.1.0.00.00.0.0.000</t>
  </si>
  <si>
    <t>TRANSFERENCIAS DE CAPITAL DEL SECTOR PÚBLICO</t>
  </si>
  <si>
    <t>2.4.1.1.00.00.0.0.000</t>
  </si>
  <si>
    <t>Transferencias de Capital del Gobierno Central</t>
  </si>
  <si>
    <t>2.4.1.6.00.00.0.0.000</t>
  </si>
  <si>
    <t>Transferencias de Capital de Instituciones Públicas financieras</t>
  </si>
  <si>
    <t>2.4.1.3.00.00.0.0.000</t>
  </si>
  <si>
    <t>Transf. De Capital de Instituciones Descentralizadas no Empresariales</t>
  </si>
  <si>
    <t>3.0.0.0.00.00.0.0.000</t>
  </si>
  <si>
    <t>FINANCIAMIENTO</t>
  </si>
  <si>
    <t>3.1.0.0.00.00.0.0.000</t>
  </si>
  <si>
    <t>FINANCIAMIENTO INTERNO</t>
  </si>
  <si>
    <t>3.1.1.0.00.00.0.0.000</t>
  </si>
  <si>
    <t>PRESTAMOS DIRECTOS</t>
  </si>
  <si>
    <t>3.1.1.7.00.00.0.0.000</t>
  </si>
  <si>
    <t>Préstamos directos del Sector Privado</t>
  </si>
  <si>
    <t>Préstamos directos del Sector Privado (SAP)</t>
  </si>
  <si>
    <t>3.3.0.0.00.00.0.0.000</t>
  </si>
  <si>
    <t>RECURSOS DE VIGENCIAS ANTERIORES</t>
  </si>
  <si>
    <t>3.3.1.0.00.00.0.0.000</t>
  </si>
  <si>
    <t>SUPERAVIT LIBRE</t>
  </si>
  <si>
    <t>Superávit libre</t>
  </si>
  <si>
    <t>3.3.2.0.00.00.0.0.000</t>
  </si>
  <si>
    <t>SUPERAVIT ESPECIFICO</t>
  </si>
  <si>
    <t>Superávit BANHVI</t>
  </si>
  <si>
    <t>Superávit Específico Aporte Clientes BFV</t>
  </si>
  <si>
    <t>Superávit Específico Ley 8785</t>
  </si>
  <si>
    <t>Superávit Específico Ley 10103</t>
  </si>
  <si>
    <t>Superávit Específico Ley 9103</t>
  </si>
  <si>
    <t>Superávit Específico  Ley 9344</t>
  </si>
  <si>
    <t>Superávit Específico  Ley 9304 (Talud Alajuelita)</t>
  </si>
  <si>
    <t>Superávit Específico  Ley 9016</t>
  </si>
  <si>
    <t>Superávit Específico Ley 8448</t>
  </si>
  <si>
    <t>MATRIZ DE INDICADORES DEL PLAN OPERATIVO INSTITUCIONAL (POI) 2023</t>
  </si>
  <si>
    <t>MISION: “Facilitamos a las familias el acceso a vivienda digna y somos los líderes nacionales en la gestión integral del territorio, en procura de un mayor bienestar social, ambiental y económico para Costa Rica”
VISIÓN: “Seremos reconocidos como la institución referente en vivienda y urbanismo para Costa Rica, procurando la mejora en la calidad de vida con innovación constante, un marco jurídico pertinente y los recursos idóneos”</t>
  </si>
  <si>
    <t>POLÍTICAS</t>
  </si>
  <si>
    <t>OBJETIVOS ESTRATÉGICOS /
PRODUCTO</t>
  </si>
  <si>
    <t>OBJETIVOS ESPECÍFICOS</t>
  </si>
  <si>
    <t>INDICADOR</t>
  </si>
  <si>
    <t>META</t>
  </si>
  <si>
    <t>PROGRAMACIÓN
CRONOGRAMA POR TRIMESTRE</t>
  </si>
  <si>
    <t>MONTO POR PROGRAMA (colones)</t>
  </si>
  <si>
    <t>ACTIVIDADES</t>
  </si>
  <si>
    <t>RESPONSABLES</t>
  </si>
  <si>
    <t>OBSERVACIONES</t>
  </si>
  <si>
    <t>I</t>
  </si>
  <si>
    <t>II</t>
  </si>
  <si>
    <t>III</t>
  </si>
  <si>
    <t>IV</t>
  </si>
  <si>
    <t>EJE ESTRATÉGICO: GESTIÓN INSTITUCIONAL</t>
  </si>
  <si>
    <t>1, 2, 3, 6, 7, 8, 9, 10 y 11.</t>
  </si>
  <si>
    <t xml:space="preserve">
Producto: 
Servicio de apoyo a la producción de bienes y servicios institucionales.
</t>
  </si>
  <si>
    <t xml:space="preserve">
Gestionar las acciones que contribuyan a la mejora en el control, eficiencia y eficacia institucional</t>
  </si>
  <si>
    <t>1. Porcentaje de proyectos ejecutados para mitigar la materialización de riesgos, del total programados.</t>
  </si>
  <si>
    <t>Porcentaje</t>
  </si>
  <si>
    <t xml:space="preserve">
Ejecutar en un 100% los proyectos.
</t>
  </si>
  <si>
    <t xml:space="preserve">
4.507.671.228,0</t>
  </si>
  <si>
    <t xml:space="preserve">1. Elaborar el cartel de contratación.
2. Realizar la contratación
3. Fiscalizar los productos y/o servicios.
4. Recibir los productos y/o servicios.
</t>
  </si>
  <si>
    <t>Los proyectos son los siguientes: 
- Licencia anual del sistema automatizado (ARGOS).
- Políticas, procedimientos y capacitación referentes a las NICSP. (Bryans)
- Construcción parqueo Garaje Bolívar. 
- Actualización de plataforma de video-vigilancia de analógico a IP. 
- Contratos para mantenimiento, mejora en la Plataforma Tecnológica Institucional. 
- Contratos de servicios en la nube. 
- Contar con una empresa externa que custodie los documentos de archivo generados por las diferentes oficinas del INVU. 
- Estudio de Cultura y Clima Institucional del INVU. 
- Adquisición de un software para el control y seguimiento de las metas institucionales.</t>
  </si>
  <si>
    <t>2. Porcentaje de satisfacción de los clientes con la atención brindada.</t>
  </si>
  <si>
    <t>Alcanzar como mínimo que un 75% de los clientes estén satisfechos con la atención brindada.</t>
  </si>
  <si>
    <t>1. Elaborar la encuesta.
2. Aplicar la encuesta.
3. Tabular y analizar la información.
4. Elaborar informe y propuesta de mejora.</t>
  </si>
  <si>
    <t>Gerencia General
Unidad de Comunicación,  Promoción y Prensa</t>
  </si>
  <si>
    <t>3. Porcentaje de satisfacción de los clientes con los productos ofrecidos.</t>
  </si>
  <si>
    <t>Alcanzar como mínimo que un 80% de los clientes estén satisfechos con los productos ofrecidos.</t>
  </si>
  <si>
    <t>Se encuentra incluido en el Plan Estratégico Institucional (PEI), como parte de una Línea de Acción, para el cumplimiento de los objetivos estratégicos.</t>
  </si>
  <si>
    <t>4. Porcentaje de disminución de la cartera morosa a diciembre 2023, con respecto a diciembre 2022.</t>
  </si>
  <si>
    <t xml:space="preserve">
Disminuir en un 3% la cartera morosa.</t>
  </si>
  <si>
    <t xml:space="preserve">1. Asignar la cartera de crédito por rangos.    
2. Analizar las operaciones morosas.
3. Gestionar actividades de recuperación. </t>
  </si>
  <si>
    <t>Dirección Administrativa Financiera</t>
  </si>
  <si>
    <t>Para dar cumplimiento a esta meta se necesita actualizar operaciones pendientes y un registro oportuno de la información requerida en el sistema, por parte de los involucrados en el proceso.</t>
  </si>
  <si>
    <t>5. Número de proyectos gestionados con participación ciudadana.</t>
  </si>
  <si>
    <t>Número</t>
  </si>
  <si>
    <t xml:space="preserve">Gestionar 3 proyectos con participación ciudadana.  </t>
  </si>
  <si>
    <t>Gerencia General
Unidad de Comunicación y Promoción
Salud Ocupacional</t>
  </si>
  <si>
    <t xml:space="preserve">Los tres proyectos a gestionar son los siguientes:
1) A un Click.
2) Plan de Gestión Ambiental. 
3) Río María Aguilar.
 </t>
  </si>
  <si>
    <t>6. Porcentaje de mantenimiento del costo operativo institucional con respecto al Presupuesto total.</t>
  </si>
  <si>
    <t xml:space="preserve">Mantener el costo operativo Institucional igual o menor al 25%.  </t>
  </si>
  <si>
    <t>1. Obtener la información sobre las variables a medir.
2. Obtener el porcentaje del costo operativo institucional en relación con el Presupuesto total.</t>
  </si>
  <si>
    <t>Gerencia General
Planificación</t>
  </si>
  <si>
    <t>EJE ESTRATÉGICO: ORDENAMIENTO TERRITORIAL Y PLANIFICACION URBANA</t>
  </si>
  <si>
    <t>1, 4, 7, 8, 9, 10 y 11.</t>
  </si>
  <si>
    <t>Producto: 
Servicio de formulación, revisión y aprobación de planes reguladores urbanos y costeros. Usuarios: Municipalidades.
Cantidad de hombres: No aplica.             Cantidad de mujeres: No aplica.</t>
  </si>
  <si>
    <t>Elaborar el Plan Nacional de Desarrollo Urbano (PNDU) de la Gran Área Metropolitana (GAM).</t>
  </si>
  <si>
    <t xml:space="preserve">7. Porcentaje de avance en la elaboración del Plan GAM. </t>
  </si>
  <si>
    <t>Elaborar el 100% del Plan GAM.</t>
  </si>
  <si>
    <t xml:space="preserve">
1.414.011.174,0</t>
  </si>
  <si>
    <t>1. Recibir productos contratados.                         
2. Recopilar Información adicional                        
3. Integrar información recopilada
4. Elaborar Documento unificado.
5. Presentar el Documento Final.                      
6. Socializar el documento Final.</t>
  </si>
  <si>
    <t xml:space="preserve">Dirección de Urbanismo y Vivienda y Departamento de Urbanismo </t>
  </si>
  <si>
    <t xml:space="preserve">Presupuesto de la República por ¢425.000.000,00, para Contratación de Servicios Profesionales. </t>
  </si>
  <si>
    <t>Finalizar la elaboración del Plan Nacional de Desarrollo Urbano (PNDU) de la región Brunca.</t>
  </si>
  <si>
    <t xml:space="preserve">8. Porcentaje de avance en la elaboración del Plan Brunca. </t>
  </si>
  <si>
    <t>Elaborar el 50% del Plan Brunca.</t>
  </si>
  <si>
    <t>1. Contratar a los consultores.
2. Elaborar el Diagnóstico unificado.
3. Elaborar la Prognosis y el Modelo Territorial Futuro.
4. Elaborar propuestas por eje.</t>
  </si>
  <si>
    <t xml:space="preserve">Departamento de Urbanismo, Unidad de Criterios Técnicos y Operativos de Ordenamiento Territorial. </t>
  </si>
  <si>
    <t>Determinar el impacto de los planes GAM y Brunca de la población a beneficiar.</t>
  </si>
  <si>
    <t xml:space="preserve">9. Porcentaje de la población a beneficiar con los planes GAM y Brunca. </t>
  </si>
  <si>
    <t>Beneficiar al 60% dela población.</t>
  </si>
  <si>
    <t>1. Identificar la población de las regiones.
2. Determinar la población a beneficiar.
3. Medir el impacto sobre la población a beneficiar.</t>
  </si>
  <si>
    <t>Finalizar la elaboración de los planes reguladores presentados por las Municipalidades.</t>
  </si>
  <si>
    <t>10. Porcentaje de avance en la elaboración del plan regulador de Talamanca.</t>
  </si>
  <si>
    <t>Elaborar el 100% del plan regulador de Talamanca.</t>
  </si>
  <si>
    <t xml:space="preserve">Talamanca:
1.Obtener la resolución ambiental de SETENA.
2. Revisión del plan por parte del Instituto Costarricense de Turismo (ICT).
3. Realizar la Audiencia Pública y resolver observaciones de la Audiencia Pública y remisión a la municipalidad.
</t>
  </si>
  <si>
    <t xml:space="preserve">El avance parcial por año de los planes, se muestra seguidamente: 
Talamanca:
- Año 2018: 25% 
- Año 2019: 20% 
- Año 2020: 40% 
- Año 2021: 7%
- Año 2022: 5%
- Año 2023: 3%
La valoración del cumplimiento de la meta y el riesgo, se realiza considerando los avances individuales de los planes contemplados en el promedio. 
</t>
  </si>
  <si>
    <t>11. Porcentaje de avance en la elaboración del plan regulador de Coronado.</t>
  </si>
  <si>
    <t>Elaborar el 100% del plan regulador de Coronado.</t>
  </si>
  <si>
    <t xml:space="preserve">Coronado:
1. Elaborar la Prognosis y la Zonificación.
2. Elaborar la Fase III hidrogeológica.
3. Obtener la resolución Ambiental de SETENA.
4. Elaborar las Propuestas.
</t>
  </si>
  <si>
    <t xml:space="preserve">El avance parcial por año de los planes, se muestra seguidamente: 
Coronado:
- Año 2020: 50% 
- Año 2021: 16%
- Año 2022: 9%
- Año 2023: 25%
La valoración del cumplimiento de la meta y el riesgo, se realiza considerando los avances individuales de los planes contemplados en el promedio. 
</t>
  </si>
  <si>
    <t>Revisar y aprobar los Planes Reguladores presentados por las Municipalidades.</t>
  </si>
  <si>
    <t xml:space="preserve">12. Plazo (en meses) promedio de revisión de los Planes Reguladores para su aprobación. </t>
  </si>
  <si>
    <t xml:space="preserve">Plazo </t>
  </si>
  <si>
    <t>Revisar en 1,5 meses los planes reguladores.</t>
  </si>
  <si>
    <t>1. Recibir los planes reguladores.
2. Analizar según normativa.
3. Elaborar la resolución y comunicar.
4. Aprobar los planes reguladores.</t>
  </si>
  <si>
    <t xml:space="preserve">Brindar acompañamiento tecnico a  todas las municipalidades del país en materia de elaboración de propuestas de planificación territorial (Planes Reguladores) </t>
  </si>
  <si>
    <t>13. Número de acompañamientos realizados a las municipalidades, para la elaboración de los Planes Reguladores.</t>
  </si>
  <si>
    <t>Dar acompañamiento a 9 municipalidades en la elaboración de los planes reguladores.</t>
  </si>
  <si>
    <t>1. Revisar la información recopilada.
2. Analizar la propuesta de plan regulador, de acuerdo con la normativa.
3. Coordinar las sesiones de trabajo multidisciplinaria, para evacuar consultas.
4. Elaborar el informe sobre la propuesta del Plan Regulador.</t>
  </si>
  <si>
    <t xml:space="preserve">Las municipalidades a las que se le va a brindar acompañamiento son las siguientes:
1) Pérez Zeledón
2) Montes de Oca
3) Oreamuno   
4) Alvarado
5) Pococí
6) Paraíso
7) Matina
8) Santo Domingo
9) Liberia
</t>
  </si>
  <si>
    <t>Participar en la Comisión Interinstitucional de Marinas y Atracaderos Turísticos (CIMAT).</t>
  </si>
  <si>
    <t>14. Porcentaje de participación en sesiones ordinarias de la CIMAT en relación con las programadas.</t>
  </si>
  <si>
    <t>Participar en un 100% de las sesiones.</t>
  </si>
  <si>
    <t>1. Recibir la convocatoria.
2. Asistir a las sesiones.
3. Firmar el documento de asistencia (si se requiere).
4. Elaborar la minuta de la reunión.</t>
  </si>
  <si>
    <t xml:space="preserve">Departamento de Urbanismo, Unidad de Criterios Técnicos y Operativos de Ordenamiento Territorial y 
Dirección de Urbanismo y Vivienda. </t>
  </si>
  <si>
    <t>Certificar los usos urbanos de finca presentados por los usuarios.</t>
  </si>
  <si>
    <t>15. Plazo (en días) promedio de revisión de la condición de uso urbano de finca, para su certificación.</t>
  </si>
  <si>
    <t xml:space="preserve">Emitir los certificados en el plazo de ley (15 días dentro de la GAM y en 25 días fuera de la GAM). </t>
  </si>
  <si>
    <t>15 y 25</t>
  </si>
  <si>
    <t>1. Recibir las solicitudes.
2. Revisar según normativa.
3. Emitir la certificación, que indica si tiene o no condición urbana. 
4. Emitir el certificado.</t>
  </si>
  <si>
    <t xml:space="preserve">Dentro de la GAM 15 días y fuera de la GAM 25 días, de conformidad con el acuerdo adoptado en la Sesión Ordinaria N°6462, Artículo II, Inciso 4), del 27 de agosto del 2020. </t>
  </si>
  <si>
    <t>Producto: 
Servicio de visado de planos Usuarios: Público en general. 
Cantidad de hombres: no aplica             
Cantidad de mujeres: no aplica.</t>
  </si>
  <si>
    <t xml:space="preserve">Revisar los proyectos APC, Alineamiento Fluvial, Plano Catastro Individual, Plano General de Catastro de Urbanizaciones. </t>
  </si>
  <si>
    <t xml:space="preserve">16. Plazo (en días) promedio de revisión de los planos para su aprobación (visado de planos).
</t>
  </si>
  <si>
    <t>Revisar los planos en 15 días hábiles.</t>
  </si>
  <si>
    <t>1. Recibir los planos.
2. Revisar de acuerdo con la normativa.
3. Elaborar las observaciones.
4. Emitir la resolución (aprobado o rechazado).</t>
  </si>
  <si>
    <t>Departamento de Urbanismo, Unidad de Fiscalización.</t>
  </si>
  <si>
    <t xml:space="preserve">El APC (Administrador de Proyectos de Construcción) es un sistema que funciona mediante el Colegio Federado de Ingenieros y de Arquitectos de Costa Rica (CFIA).                                                          </t>
  </si>
  <si>
    <t xml:space="preserve">Producto: 
Servicio de asesoría a Municipalidades, Instituciones Públicas, Privadas y Público en general. 
Usuarios: Municipalidades, Instituciones Públicas, Privadas y Público en general.    
Cantidad de hombres: no aplica             Cantidad de mujeres: no aplica
</t>
  </si>
  <si>
    <t>Impartir capacitaciones de acuerdo con la Ley de Planificación Urbana, para contribuir a fomentar el conocimiento especializado en la materia.</t>
  </si>
  <si>
    <t xml:space="preserve">17. Número de capacitaciones realizadas según la Ley de Planificación Urbana.
</t>
  </si>
  <si>
    <t>Impartir 22 capacitaciones sobre la Ley de Planificación Urbana.</t>
  </si>
  <si>
    <t xml:space="preserve">
1. Recibir las solicitudes.
2. Preparar la capacitación.
3. Impartir la capacitación.
4. Dar seguimiento a las recomendaciones.</t>
  </si>
  <si>
    <t xml:space="preserve">Departamento de Urbanismo, Unidad de Asesoría y Capacitación </t>
  </si>
  <si>
    <t xml:space="preserve">Se impartirán los siguientes Módulos de Capacitación: 
Módulo 01. Ley de Planificación Urbana
Módulo 02. Reglamento de Construcciones
Módulo 03. Reglamento de Fraccionamiento y Urbanizaciones 
Módulo 04.  Reglamento de Renovación Urbana 
Módulo 05. Manual de Planes Reguladores como Instrumento de Ordenamiento Territorial 
Módulo 06. Régimen de Propiedad en Condominio
Módulo 07. Alineamientos de las Áreas de Protección según la Ley Forestal N° 7575
</t>
  </si>
  <si>
    <t xml:space="preserve">Elaborar documentos relacionados con temas afines a la  Planificación Urbana y al Ordemaniento Territorial , para contribuir al fomento especializado de estas disciplinas. </t>
  </si>
  <si>
    <t xml:space="preserve">18. Número de documentos elaborados  en temas afines a la Planificación Urbana y el Ordenamiento Territorial. </t>
  </si>
  <si>
    <t xml:space="preserve">Elaborar 2 documentos afines a la  Planificación Urbana y al Ordenamiento Territorial.
</t>
  </si>
  <si>
    <t xml:space="preserve">
1. Planificar el proceso para la elaboración de los documentos. 
2. Elaborar los documentos. 
</t>
  </si>
  <si>
    <t>Los dos documentos  a elaborar son los siguientes:
1) Documento relacionado con el Ordenamiento Territorial.
2) Documento relacionado con la Planificación Urbana.</t>
  </si>
  <si>
    <t>Resolver consultas y brindar asesorías  a gobiernos locales, instituciones públicas, privadas y público en general, que requiera recomendaciones técnicas para solucionar problemas específicos, de planificación urbana.</t>
  </si>
  <si>
    <t>19. Porcentaje de consultas y asesorías recibidas, atendidas y con respuesta de Planificación Urbana en relación con las consultas que ingresan.</t>
  </si>
  <si>
    <t>Recibir, atender y dar respuesta al 100% de las consultas y asesorías.</t>
  </si>
  <si>
    <t>1. Recibir las solicitudes.
2. Analizar las solicitudes.
3. Revisar y aprobar la respuesta.
3. Redactar la respuesta y remitir al solicitante.</t>
  </si>
  <si>
    <t xml:space="preserve">Considera las consultas atendidas en la Unidad Asesoría y Capacitación y el Departamento de Urbanismo.
</t>
  </si>
  <si>
    <t xml:space="preserve">EJE ESTRATÉGICO: SOLUCIONES DE VIVIENDA   </t>
  </si>
  <si>
    <t>1, 2, 3, 4, 5, 7, 8, 9, 10 y 11.</t>
  </si>
  <si>
    <t xml:space="preserve">
Producto: 
Programas habitacionales desarrollados y subsidios.
Usuarios: Familias de Interés Social y Clase Media. 
Cantidad de hombres: 50%
Cantidad de mujeres: 
50%</t>
  </si>
  <si>
    <t>Obtener el diseño para la estabilización del talud del proyecto Finca Boschini.</t>
  </si>
  <si>
    <t>20. Porcentaje de avance en la elaboración del diseño para la estabilización del talud, del proyecto Finca Boschini.</t>
  </si>
  <si>
    <t xml:space="preserve">Avanzar el 100% en el diseño para la estabilización del talud, de Finca Boschini.
</t>
  </si>
  <si>
    <t xml:space="preserve">
7.620.094.757,0</t>
  </si>
  <si>
    <t>1. Recibir los planos constructivos del proyecto de la Asociación de vivienda.
2. Contratar los servicios de ingeniería para la evaluación (estudio técnico) de la propuesta del proyecto Estabilización del Talud y vivienda. 
3. Evaluar la propuesta del proyecto.
4. Obtener el Informe de evaluación.</t>
  </si>
  <si>
    <t xml:space="preserve">Departamento de Programas Habitacionales, Unidad de
Proyectos
Habitacionales
</t>
  </si>
  <si>
    <t xml:space="preserve"> Este proyecto se financia con recursos de la Ley 9304, con presupuesto de ¢65,0 millones.</t>
  </si>
  <si>
    <t>Inscribir en el banco de Proyectos de MIDEPLAN el proyecto de lotificación y construcción de viviendas André Challé y Veredas del Norte.</t>
  </si>
  <si>
    <t xml:space="preserve">21. Número de proyectos inscritos en el banco de Proyectos de MIDEPLAN: André Challé y Veredas del Norte.
</t>
  </si>
  <si>
    <t xml:space="preserve">Obtener la inscripción de 2 proyectos André Challé y Veredas del Norte.
</t>
  </si>
  <si>
    <t xml:space="preserve">1. Elaborar el perfil. 
2. Solicitar las aprobaciones respectivas.
3. Inscribir el proyecto ante el MIDEPLAN.
4. Obtener la aprobación (código) del proyecto en el Banco de Proyectos de Inversión Pública (BPIP). </t>
  </si>
  <si>
    <t>Departamento de Programas Habitacionales, Unidad de
Proyectos
Habitacionales.</t>
  </si>
  <si>
    <t xml:space="preserve">Ubicación de los proyectos: 
- André Challé: San José, Moravia, La Trinidad.
- Veredas del Norte: Cinco esquinas, Tibás.
</t>
  </si>
  <si>
    <t>Construir soluciones habitacionales en el proyecto André Challé (lotificación y construcción de viviendas unifamiliares).</t>
  </si>
  <si>
    <t>22. Número de viviendas construidas en el Proyecto André Challé.</t>
  </si>
  <si>
    <t xml:space="preserve">Construir 7 soluciones habitacionales en el proyecto André Challé.
</t>
  </si>
  <si>
    <t>1. Elaborar el cartel de licitación.
2. Aprobación de la Comisión de Licitaciones.
3. Publicar el cartel en el SICOP. 
4. Recibir y analizar las ofertas. 
5. Adjudicar
6. Gestionar el refrendo ante la CGR.
7. Construir las soluciones habitacionales.</t>
  </si>
  <si>
    <t xml:space="preserve">El proyecto consta de 15 soluciones habitacionales.
Los recursos están consignados para desarrollar 13 soluciones habitacionales y 2 unidades habitacionales se financiarían por medio del BANHVI o Bono crédito.  La construcción se realizará en los terrenos de la institución en la provincia de San José, Moravia, La Trinidad.
Este proyecto se financiará con recursos de la Ley 9016, por un monto de ₵365,8 millones.                                               </t>
  </si>
  <si>
    <t xml:space="preserve">Avanzar en la etapa de ejecución (diseño, permisos y planos) del proyecto  Veredas del Norte.
</t>
  </si>
  <si>
    <t xml:space="preserve">23. Porcentaje de avance en la Etapa de Ejecución del proyecto Veredas del Norte.
</t>
  </si>
  <si>
    <t xml:space="preserve">Avanzar en un 15% en la etapa de ejecución (diseño, permisos y planos) del proyecto Veredas del Norte.
</t>
  </si>
  <si>
    <t>1. Elaborar el cartel de licitación.
2. Solicitar la Aprobación ante la Comisión de Licitaciones del BANHVI.
3. Publicar el cartel en el SICOP. 
4. Recibir y analizar las ofertas. 
5.Adjudicar la contratación. 
6. Gestionar el refrendo ante la CGR.
7. Elaborar el diseño delas obras.
8. Obtener los permisos y planos.</t>
  </si>
  <si>
    <t>Las soluciones habitacionales corresponden a un Módulo (Condominio Vertical) de aproximadamente 25 soluciones.
Este proyecto se financia con Superavit Libre por un monto de ₵1.215,5 millones y la Ley 9016 por un monto de ₵284,5 millones.
Ubicación: San José, Cinco Esquinas de Tibas.</t>
  </si>
  <si>
    <t>Diseñar y construir soluciones de vivienda en el proyecto Los Lirios.</t>
  </si>
  <si>
    <t xml:space="preserve">24. Número de viviendas construidas en el Proyecto Los Lirios.
</t>
  </si>
  <si>
    <t xml:space="preserve">Construir 4 soluciones habitacionales en el proyecto Los Lirios.
</t>
  </si>
  <si>
    <t xml:space="preserve">1. Elaboración del expediente.
2. Análisis y aprobación de caso. 
3. Traspaso del inmueble.
4. Elaborar del diseño de la obra.
5. Trámite y  Licencia de construcción.
6. Fiscalizar la construcción.
7. Formalizar y entregar las viviendas construidas. </t>
  </si>
  <si>
    <t xml:space="preserve">Este proyecto se financia con recursos de la Ley 9016 por un monto de ₵112,0 millones.
Los recursos están destinados a la compra de lotes y construcción de cuatro soluciones  habitacionales en los terrenos de la institución, ubicado en la provincia de San José, Pérez Zeledón, Daniel Flores.
</t>
  </si>
  <si>
    <t>Comprar un terreno en Garabito, Puntarenas, para el desarrollo de proyectos institucionales.</t>
  </si>
  <si>
    <t>25. Monto en millones de colones de  los recursos invertidos en la compra del terreno Garabito (¢680 millones).</t>
  </si>
  <si>
    <t>Monto</t>
  </si>
  <si>
    <t>Invertir un total de ¢680,0 millones en la compra del terreno.</t>
  </si>
  <si>
    <t>1. Cumplimiento de requisitos por parte del propietario del terreno seleccionado.
2. Criterio legal y visto bueno por parte de la administración superior.
3. Remisión de solicitud de compra a la CGR.
4. Proceso de compra y traspaso.</t>
  </si>
  <si>
    <t>Departamento de Programas Habitacionales, Unidad Fondo de Inversión en Bienes Inmuebles</t>
  </si>
  <si>
    <t>Los recursos provienen de la Ley 8785, con un presupuesto de ¢680,0 millones. 
El terreno se ubica en Puntarenas, en el cantón de Garabito.
Se cuenta con terreno seleccionado, con recomendación técnica para la compra, sin embargo, se está en proceso de negociación con el propietario quien debe cumplir con una serie de requisitos.</t>
  </si>
  <si>
    <t>Actualizar las propiedades de la Institución.</t>
  </si>
  <si>
    <t xml:space="preserve">26. Número de propiedades depuradas del inventario de terrenos de la Institución.
</t>
  </si>
  <si>
    <t>Depurar 2040 terrenos del inventario Institucional.</t>
  </si>
  <si>
    <t>1. Identificar inmuebles.
2. Revisar el listado de terrenos contra la información catastral y registral del Registro Nacional.
3. Depurar cuando se requiera, la información sobre clasificación, condición de la propiedad, área, número de finca, gravámenes, avalúos. 
4. Actualizar los listados de terrenos inscritos a nombre del INVU en el inventario y en el Módulo de Terrenos, producto del proceso de titulación.
5. Gestiones registrales y catastrales ante Notariado.
6. Resolución de expedientes RIM.</t>
  </si>
  <si>
    <t>Departamento de Programas Habitacionales, Unidad Fondo de Inversión en Bienes Inmuebles.</t>
  </si>
  <si>
    <t>La cantidad total de propiedades por depurar actualmente es de 9740, los cuales están clasificados como reservas, adjudicaciones, titulación por venta, decreto y áreas públicas.
Se debe dar cumplimiento a las disposiciones de la Contraloría General de la Republica en su informe N° DFOE-AE-IF-00005-2018.
Depurar: Corresponde a una labor de carácter técnica-administrativa que implica la revisión registral y catastral de cada una de las fincas, eliminando datos inconsistentes producto de manipulación incorrecta, información antigua o desactualizada, registros duplicados, así como la exclusión de fincas cerradas y tituladas dentro del inventario de bienes inmuebles del INVU.</t>
  </si>
  <si>
    <t>Vender inmuebles de la Institución.</t>
  </si>
  <si>
    <t xml:space="preserve">27. Monto (en millones de colones) de ingresos generados por propiedades vendidas.
</t>
  </si>
  <si>
    <t>Vender ¢216,0 millones en propiedades.</t>
  </si>
  <si>
    <t xml:space="preserve">Para titulación por venta:
1. Recibir la solicitud.
2. Asignar el profesional a cargo.
3. Conformar el expediente.
4. Realizar la visita de inspeccion.
5. Realizar la análisis técnico y administrativo (avalúo, estudio social, cumplimiento de requisitos).
6. Comunicar el valor del inmueble.
7. Recibir el pago por parte del cliente.
8. Emitir acuerdo de titulación.
9. Proceso de notariado.
10. Formalizar la escritura de traspaso.
Para policitación:
1. Identificar terrenos.
2. Realizar el avalúo.
3. Preparar informe y remitir listado de inmuebles a Junta Directiva (JD) para su aprobación.
4. Publicar la apertura del concurso.
5. Evaluar las ofertas recibidas y elaborar informe.
6. Recibir visto bueno de JD para la adjudicar los bienes.
7. Recibir el pago.
8. Generar el acuerdo de venta.
9. Formalizar la escritura de traspaso.
10. Procesos de titulación por venta.
</t>
  </si>
  <si>
    <t>Incluye venta de terrenos por concepto de:
      a. Venta de saldos de proyectos a travez del proceso de titulación por venta.
      b. Venta directa de inmuebles, por medio de procesos de contratación administrativa, amparado en el reglamento para la venta de inmuebles del INVU, Policitación.</t>
  </si>
  <si>
    <t>Titular casos de lotes  por decreto, venta de saldos de proyectos, adjudicaciones y traspaso de áreas públicas.</t>
  </si>
  <si>
    <t>28. Número de títulos de propiedad otorgados.</t>
  </si>
  <si>
    <t xml:space="preserve">Titular 160 propiedades.
</t>
  </si>
  <si>
    <t>Para casos de titulación de venta, decreto y adjudicación:
1. Recibir la solicitud.
2. Determinar el tipo de clasificación del caso.
3. Asignar el profesional a cargo.
4. Conformar el expediente.
5. Realizar la visita de inspeccion.
6. Realizar la aálisis técnico y administrativo (avalúo, estudio social, cumplimiento de requisitos).
7. Emitir acuerdo de titulación.
8. Proceso de notariado.
9. Formalizar la escritura de traspaso.</t>
  </si>
  <si>
    <t>El financiamiento es con recursos propios.
Los lotes a titular corresponden a saldos de proyectos los cuales son ocupados por familias interesadas en formalizar su situación patrimonial.
Se encuentra incluido en el PNDIP.
Se encuentra incluido en el Plan Estratégico Institucional (PEI), como parte de una Línea de Acción, para el cumplimiento de los objetivos estratégicos.</t>
  </si>
  <si>
    <t>Otorgar subsidios para resolver el problema habitacional en los estratos de población de interés social.</t>
  </si>
  <si>
    <t xml:space="preserve">29. Monto (en millones de colones) de las solicitudes de bono familiar de vivienda postuladas ante el BANHVI.  </t>
  </si>
  <si>
    <t xml:space="preserve">Postular 2.135,0 millones ante el BANHVI.
</t>
  </si>
  <si>
    <t>1. Recibir las solicitudes de bono.
2. Verificar el cumplimiento de requisitos. 
3. Conformar los expedientes.
4. Analizar las solicitudes de bono.
5. Postular los casos ante el BANHVI.</t>
  </si>
  <si>
    <t>Departamento de Programas Habitacionales, Unidad Mecanismos de Financiamiento</t>
  </si>
  <si>
    <t xml:space="preserve">Bono Artículo 59: ¢1,810,84 millones.
Bono Ordinario: ¢324,16 millones.
Se encuentra incluido en el Plan Estratégico Institucional (PEI), como parte de una Línea de Acción, para el cumplimiento de los objetivos estratégicos.
</t>
  </si>
  <si>
    <t xml:space="preserve">30. Plazo (en meses) promedio de trámite de las solicitudes de bono familiar de vivienda, a partir de la etapa de análisis hasta su postulación.  
 </t>
  </si>
  <si>
    <t xml:space="preserve">Tramitar en 1,5 meses las solicitudes de bono. </t>
  </si>
  <si>
    <t>1,5 meses</t>
  </si>
  <si>
    <t>1. Analizar las solicitudes de bono.
2. Aprobar la solicitud.
3. Postular los casos ante el BANHVI.</t>
  </si>
  <si>
    <t>El trámite se mide desde la etapa de análisis porque a la fecha se cuenta con un inventario de expedientes.</t>
  </si>
  <si>
    <t>EJE ESTRATÉGICO: MECANISMOS DE FINANCIAMIENTO DE VIVIENDA</t>
  </si>
  <si>
    <t>1, 3, 4, 7, 8, 9, 10 y 11</t>
  </si>
  <si>
    <t xml:space="preserve">
Producto: 
Créditos aprobados.
Usuarios: Suscriptores de contratos de Ahorro y  Préstamo, Familias de Clase Media. 
Cantidad de hombres: 50%
Cantidad de mujeres: 50%
</t>
  </si>
  <si>
    <t xml:space="preserve">
Otorgar créditos para resolver el problema habitacional en los estratos de población de interés social y clase media.</t>
  </si>
  <si>
    <t>31. Monto (en millones de colones) de los contratos vendidos en el Sistema de Ahorro y Préstamo (SAP).</t>
  </si>
  <si>
    <t>Vender ¢88.300 millones en contratos del SAP.</t>
  </si>
  <si>
    <t xml:space="preserve">
38.957.393.237,0</t>
  </si>
  <si>
    <t>1. Recibir las solicitudes.
2. Tramitar las solicitudes.
3. Formalizar la venta.</t>
  </si>
  <si>
    <t xml:space="preserve">
Gestión de Programas de Financiamiento</t>
  </si>
  <si>
    <t>Se estima vender un total de 6.115 contratos, que corresponden a ese monto de ¢88.300 millones.</t>
  </si>
  <si>
    <t>32. Porcentaje de mantenimiento de las renuncias de los contratos vendidos del SAP, en el año 2023.</t>
  </si>
  <si>
    <t>Mantener en un 3% las renuncias de los contratos vendidos.</t>
  </si>
  <si>
    <t>1. Tabular las renuncias en forma mensual.
2. Analizar la información.
3. Elaborar el informe.
4. Plantear acciones de mejora (si es del caso).</t>
  </si>
  <si>
    <t xml:space="preserve">33. Número de créditos aprobados para clase media a través del Sistema de Ahorro y Préstamo (SAP).  </t>
  </si>
  <si>
    <t>Aprobar 697 créditos para clase media a través del SAP.</t>
  </si>
  <si>
    <t>1. Recibir las solicitudes de financiamiento.
2. Conformar los expedientes.
3. Analizar el crédito.
4. Aprobar el crédito.</t>
  </si>
  <si>
    <t>Se estima aprobar un monto total de ¢20.047,0 millones, que corresponde a los 697 créditos.  
Se encuentra incluido en el PNDIP.
Se encuentra incluido en el Plan Estratégico Institucional (PEI), como parte de una Línea de Acción, para el cumplimiento de los objetivos estratégicos.</t>
  </si>
  <si>
    <t>34. Plazo (en días hábiles) promedio de trámite para la aprobación de los créditos del Sistema de Ahorro y Préstamo (SAP)</t>
  </si>
  <si>
    <t>Tramitar en 25 días hábiles los créditos del SAP.</t>
  </si>
  <si>
    <t>1. Conformar una fuerza de tarea para el seguimiento a expedientes y seguimiento de analistas.
2. Revisar los expedientes.</t>
  </si>
  <si>
    <t>La meta del Indicador es de tendencia descendente.</t>
  </si>
  <si>
    <t xml:space="preserve">35. Número de créditos aprobados para clase media a través de CREDINVU.  </t>
  </si>
  <si>
    <t>Aprobar 35 créditos para clase media através de CREDINVU.</t>
  </si>
  <si>
    <t>Se estima aprobar un monto total de ¢2.000,0 millones, que corresponde a los 35 créditos.  
Se encuentra incluido en el PNDIP.
Se encuentra incluido en el Plan Estratégico Institucional (PEI), como parte de una Línea de Acción, para el cumplimiento de los objetivos estratégicos.</t>
  </si>
  <si>
    <t xml:space="preserve">36. Porcentaje de la población beneficiaria de créditos clase media.   
</t>
  </si>
  <si>
    <t>Beneficiar un 0,1% del total de la población de clase media.</t>
  </si>
  <si>
    <t>1. Obtener la información sobre las variables a medir.
2. Obtener el impacto (porcentaje) de los créditos sobre la población de clase media.</t>
  </si>
  <si>
    <t>UNIDAD DE MEDIDA</t>
  </si>
  <si>
    <t>MONTO POR PROGRAMA
(MILLONES DE COLONES)</t>
  </si>
  <si>
    <t>PRESUPUESTO INICIAL 2023
INGRESOS
(MONTO EN COLONES)</t>
  </si>
  <si>
    <t>INVU                                (SIN INCLUIR EL SAP)</t>
  </si>
  <si>
    <t>SUBPROGRAMA NO.1 GESTIÓN DE PRODUCTOS DEL SISTEMA DE AHORRO Y PRÉSTAMO (SAP)</t>
  </si>
  <si>
    <t>CODIGO</t>
  </si>
  <si>
    <t>DESCRIPCIÓN</t>
  </si>
  <si>
    <t>PRESUPUESTO INICIAL 2023
EGRESOS
(MONTO EN COLONES)</t>
  </si>
  <si>
    <t>TOTAL 
GENERAL</t>
  </si>
  <si>
    <t>PROGRAMA N°1
ADMINISTRACIÓN Y
APOYO</t>
  </si>
  <si>
    <t>SECRETARIA DE JUNTA
DIRECTIVA</t>
  </si>
  <si>
    <t>AUDITORIA</t>
  </si>
  <si>
    <t xml:space="preserve">
PRESIDENCIA
EJECUTIVA</t>
  </si>
  <si>
    <t>GERENCIA
GENERAL</t>
  </si>
  <si>
    <t>SALUD OCUPACIONAL</t>
  </si>
  <si>
    <t>TECNOLOGÍAS DE INFORMACIÓN</t>
  </si>
  <si>
    <t>SUG GERENCIA GENERAL</t>
  </si>
  <si>
    <t>CONTRALORIA DE SERVICIOS</t>
  </si>
  <si>
    <t xml:space="preserve">PLANIFICACIÓN
</t>
  </si>
  <si>
    <t>ASESORÍA
   LEGAL</t>
  </si>
  <si>
    <t>JEFATURA DAF</t>
  </si>
  <si>
    <t>ADMINISTRACIÓN</t>
  </si>
  <si>
    <t>TALENTO HUMANO</t>
  </si>
  <si>
    <t>ADQUISICIONES Y CONTRATACIONES</t>
  </si>
  <si>
    <t>JEFATURA DE FINANZAS</t>
  </si>
  <si>
    <t>CONTABILIDAD</t>
  </si>
  <si>
    <t>COBROS</t>
  </si>
  <si>
    <t>TESORERIA</t>
  </si>
  <si>
    <t>ARCHIVO CENTRAL</t>
  </si>
  <si>
    <t>COMUNICACIÓN Y PROMOCIÓN</t>
  </si>
  <si>
    <t>PROGRAMA N°2
URBANISMO</t>
  </si>
  <si>
    <t>JEFATURA URBANISMO Y VIVIENDA</t>
  </si>
  <si>
    <t>JEFATURA URBANISMO</t>
  </si>
  <si>
    <t>FISCALIZACIÓN</t>
  </si>
  <si>
    <t>CRIETERIOS TÉCNICOS Y OPERATIVOS DE ORDENAMIENTO TERRITORIAL</t>
  </si>
  <si>
    <t>ASESORÍA Y CAPACITACIÓN</t>
  </si>
  <si>
    <t>PROGRAMA N°3
PROGRAMAS HABITACIONALES</t>
  </si>
  <si>
    <t>PROGRAMA Nª 4
GESTIÓN DE PROGRAMAS DE FINANCIAMIENTO</t>
  </si>
  <si>
    <t>SUBPROGRAMA 1-GESTIÓN DE PRODUCTOS DEL SISTEMA DE AHORRO Y PRÉSTAMO</t>
  </si>
  <si>
    <t>SUBPROGRAMA 2-GESTIÓN DE PRODUCTOS CON DIVERSAS FUENTES DE INGRESOS</t>
  </si>
  <si>
    <t xml:space="preserve">Fuente: Planificación Institucional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</si>
</sst>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 #,##0.00\ _€_-;\-* #,##0.00\ _€_-;_-* &quot;-&quot;??\ _€_-;_-@_-"/>
    <numFmt numFmtId="165" formatCode="_(* #,##0.00_);_(* \(#,##0.00\);_(* &quot;-&quot;??_);_(@_)"/>
    <numFmt numFmtId="166" formatCode="#,##0.000"/>
    <numFmt numFmtId="167" formatCode="#,##0.0"/>
    <numFmt numFmtId="168" formatCode="0.0%"/>
    <numFmt numFmtId="169" formatCode="#,##0.0;[Red]\-#,##0.0"/>
  </numFmts>
  <fonts count="16" x14ac:knownFonts="1">
    <font>
      <sz val="11"/>
      <color theme="1"/>
      <name val="Aptos Narrow"/>
      <family val="2"/>
      <scheme val="minor"/>
    </font>
    <font>
      <sz val="11"/>
      <color theme="1"/>
      <name val="Aptos Narrow"/>
      <family val="2"/>
      <scheme val="minor"/>
    </font>
    <font>
      <b/>
      <sz val="10"/>
      <name val="Arial"/>
      <family val="2"/>
    </font>
    <font>
      <sz val="10"/>
      <name val="Arial"/>
      <family val="2"/>
    </font>
    <font>
      <b/>
      <sz val="10"/>
      <color theme="1"/>
      <name val="Arial"/>
      <family val="2"/>
    </font>
    <font>
      <sz val="10"/>
      <name val="Courier"/>
      <family val="3"/>
    </font>
    <font>
      <sz val="10"/>
      <color theme="1"/>
      <name val="Arial"/>
      <family val="2"/>
    </font>
    <font>
      <b/>
      <u/>
      <sz val="10"/>
      <color theme="1"/>
      <name val="Arial"/>
      <family val="2"/>
    </font>
    <font>
      <sz val="10"/>
      <name val="Times New Roman"/>
      <family val="1"/>
    </font>
    <font>
      <b/>
      <u/>
      <sz val="10"/>
      <name val="Arial"/>
      <family val="2"/>
    </font>
    <font>
      <sz val="12"/>
      <color theme="1"/>
      <name val="Aptos Narrow"/>
      <family val="2"/>
      <scheme val="minor"/>
    </font>
    <font>
      <sz val="10"/>
      <name val="Aptos Narrow"/>
      <family val="2"/>
      <scheme val="minor"/>
    </font>
    <font>
      <b/>
      <sz val="10"/>
      <color rgb="FFFF0000"/>
      <name val="Arial"/>
      <family val="2"/>
    </font>
    <font>
      <u/>
      <sz val="10"/>
      <name val="Aptos Narrow"/>
      <family val="2"/>
      <scheme val="minor"/>
    </font>
    <font>
      <b/>
      <sz val="10"/>
      <color theme="0"/>
      <name val="Arial"/>
      <family val="2"/>
    </font>
    <font>
      <sz val="10"/>
      <color theme="0"/>
      <name val="Arial"/>
      <family val="2"/>
    </font>
  </fonts>
  <fills count="6">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theme="3" tint="0.39997558519241921"/>
        <bgColor indexed="64"/>
      </patternFill>
    </fill>
    <fill>
      <patternFill patternType="solid">
        <fgColor theme="5" tint="-0.249977111117893"/>
        <bgColor indexed="64"/>
      </patternFill>
    </fill>
  </fills>
  <borders count="4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style="medium">
        <color indexed="64"/>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37" fontId="5" fillId="0" borderId="0" applyBorder="0"/>
    <xf numFmtId="0" fontId="8" fillId="0" borderId="0"/>
    <xf numFmtId="0" fontId="10" fillId="0" borderId="0"/>
  </cellStyleXfs>
  <cellXfs count="253">
    <xf numFmtId="0" fontId="0" fillId="0" borderId="0" xfId="0"/>
    <xf numFmtId="0" fontId="2" fillId="0" borderId="0" xfId="0" applyFont="1" applyAlignment="1">
      <alignment horizontal="center" vertical="center" wrapText="1"/>
    </xf>
    <xf numFmtId="0" fontId="2" fillId="0" borderId="0" xfId="0" applyFont="1" applyAlignment="1">
      <alignment vertical="center" wrapText="1"/>
    </xf>
    <xf numFmtId="0" fontId="2" fillId="0" borderId="25" xfId="0" applyFont="1" applyBorder="1" applyAlignment="1">
      <alignment vertical="center" wrapText="1"/>
    </xf>
    <xf numFmtId="0" fontId="2" fillId="0" borderId="27" xfId="0" applyFont="1" applyBorder="1" applyAlignment="1">
      <alignment horizontal="left" vertical="center" wrapText="1"/>
    </xf>
    <xf numFmtId="4" fontId="11" fillId="0" borderId="0" xfId="0" applyNumberFormat="1" applyFont="1"/>
    <xf numFmtId="0" fontId="2" fillId="0" borderId="35" xfId="0" applyFont="1" applyBorder="1" applyAlignment="1">
      <alignment horizontal="left" vertical="top" wrapText="1"/>
    </xf>
    <xf numFmtId="0" fontId="2" fillId="0" borderId="35" xfId="0" applyFont="1" applyBorder="1" applyAlignment="1">
      <alignment vertical="center" wrapText="1"/>
    </xf>
    <xf numFmtId="9" fontId="2" fillId="0" borderId="35" xfId="3" applyFont="1" applyFill="1" applyBorder="1" applyAlignment="1">
      <alignment horizontal="left" vertical="center" wrapText="1"/>
    </xf>
    <xf numFmtId="0" fontId="2" fillId="0" borderId="35" xfId="0" applyFont="1" applyBorder="1" applyAlignment="1">
      <alignment horizontal="center" vertical="center" wrapText="1"/>
    </xf>
    <xf numFmtId="9" fontId="2" fillId="0" borderId="35" xfId="3" applyFont="1" applyFill="1" applyBorder="1" applyAlignment="1">
      <alignment horizontal="center" vertical="center" wrapText="1"/>
    </xf>
    <xf numFmtId="0" fontId="2" fillId="0" borderId="36" xfId="0" applyFont="1" applyBorder="1" applyAlignment="1">
      <alignment horizontal="left" vertical="center" wrapText="1"/>
    </xf>
    <xf numFmtId="1" fontId="2" fillId="0" borderId="35" xfId="0" applyNumberFormat="1" applyFont="1" applyBorder="1" applyAlignment="1">
      <alignment horizontal="center" vertical="center" wrapText="1"/>
    </xf>
    <xf numFmtId="0" fontId="2" fillId="0" borderId="35" xfId="0" applyFont="1" applyBorder="1" applyAlignment="1">
      <alignment horizontal="left" vertical="center" wrapText="1"/>
    </xf>
    <xf numFmtId="0" fontId="2" fillId="0" borderId="29" xfId="0" applyFont="1" applyBorder="1" applyAlignment="1">
      <alignment vertical="center" wrapText="1"/>
    </xf>
    <xf numFmtId="0" fontId="2" fillId="0" borderId="31" xfId="0" applyFont="1" applyBorder="1" applyAlignment="1">
      <alignment horizontal="left" vertical="center" wrapText="1"/>
    </xf>
    <xf numFmtId="0" fontId="2" fillId="0" borderId="0" xfId="0" applyFont="1" applyAlignment="1">
      <alignment horizontal="left" vertical="center" wrapText="1"/>
    </xf>
    <xf numFmtId="0" fontId="2" fillId="0" borderId="25" xfId="0" applyFont="1" applyBorder="1" applyAlignment="1">
      <alignment horizontal="left" vertical="center" wrapText="1"/>
    </xf>
    <xf numFmtId="43" fontId="11" fillId="0" borderId="0" xfId="0" applyNumberFormat="1" applyFont="1"/>
    <xf numFmtId="0" fontId="2" fillId="0" borderId="35" xfId="6" applyFont="1" applyBorder="1" applyAlignment="1">
      <alignment vertical="center" wrapText="1"/>
    </xf>
    <xf numFmtId="9" fontId="2" fillId="0" borderId="35" xfId="6" applyNumberFormat="1" applyFont="1" applyBorder="1" applyAlignment="1">
      <alignment horizontal="left" vertical="center" wrapText="1"/>
    </xf>
    <xf numFmtId="168" fontId="2" fillId="0" borderId="35" xfId="6" applyNumberFormat="1" applyFont="1" applyBorder="1" applyAlignment="1">
      <alignment horizontal="left" vertical="center" wrapText="1" indent="2"/>
    </xf>
    <xf numFmtId="9" fontId="2" fillId="0" borderId="35" xfId="6" applyNumberFormat="1" applyFont="1" applyBorder="1" applyAlignment="1">
      <alignment horizontal="left" vertical="center" wrapText="1" indent="2"/>
    </xf>
    <xf numFmtId="10" fontId="2" fillId="0" borderId="35" xfId="6" applyNumberFormat="1" applyFont="1" applyBorder="1" applyAlignment="1">
      <alignment horizontal="left" vertical="center" wrapText="1" indent="2"/>
    </xf>
    <xf numFmtId="167" fontId="2" fillId="0" borderId="35" xfId="0" applyNumberFormat="1" applyFont="1" applyBorder="1" applyAlignment="1">
      <alignment horizontal="center" vertical="top" wrapText="1"/>
    </xf>
    <xf numFmtId="0" fontId="2" fillId="0" borderId="35" xfId="6" applyFont="1" applyBorder="1" applyAlignment="1">
      <alignment horizontal="left" vertical="center" wrapText="1"/>
    </xf>
    <xf numFmtId="9" fontId="2" fillId="0" borderId="35" xfId="6" applyNumberFormat="1" applyFont="1" applyBorder="1" applyAlignment="1">
      <alignment vertical="center" wrapText="1"/>
    </xf>
    <xf numFmtId="9" fontId="2" fillId="0" borderId="35" xfId="6" applyNumberFormat="1" applyFont="1" applyBorder="1" applyAlignment="1">
      <alignment horizontal="center" vertical="center" wrapText="1"/>
    </xf>
    <xf numFmtId="9" fontId="2" fillId="0" borderId="35" xfId="0" applyNumberFormat="1" applyFont="1" applyBorder="1" applyAlignment="1">
      <alignment horizontal="center" vertical="center" wrapText="1"/>
    </xf>
    <xf numFmtId="0" fontId="2" fillId="0" borderId="35" xfId="6" applyFont="1" applyBorder="1" applyAlignment="1">
      <alignment vertical="top" wrapText="1"/>
    </xf>
    <xf numFmtId="3" fontId="2" fillId="0" borderId="25" xfId="0" applyNumberFormat="1" applyFont="1" applyBorder="1" applyAlignment="1">
      <alignment horizontal="center" vertical="center" wrapText="1"/>
    </xf>
    <xf numFmtId="3" fontId="2" fillId="0" borderId="35" xfId="0" applyNumberFormat="1" applyFont="1" applyBorder="1" applyAlignment="1">
      <alignment horizontal="center" vertical="center" wrapText="1"/>
    </xf>
    <xf numFmtId="3" fontId="12" fillId="0" borderId="35" xfId="0" applyNumberFormat="1" applyFont="1" applyBorder="1" applyAlignment="1">
      <alignment horizontal="center" vertical="center" wrapText="1"/>
    </xf>
    <xf numFmtId="167" fontId="2" fillId="0" borderId="35" xfId="0" applyNumberFormat="1" applyFont="1" applyBorder="1" applyAlignment="1">
      <alignment horizontal="center" vertical="center" wrapText="1"/>
    </xf>
    <xf numFmtId="3" fontId="2" fillId="0" borderId="35" xfId="0" applyNumberFormat="1" applyFont="1" applyBorder="1" applyAlignment="1">
      <alignment horizontal="left" vertical="center" wrapText="1"/>
    </xf>
    <xf numFmtId="3" fontId="2" fillId="0" borderId="25" xfId="0" applyNumberFormat="1" applyFont="1" applyBorder="1" applyAlignment="1">
      <alignment horizontal="left" vertical="center" wrapText="1"/>
    </xf>
    <xf numFmtId="4" fontId="13" fillId="0" borderId="0" xfId="0" applyNumberFormat="1" applyFont="1"/>
    <xf numFmtId="3" fontId="2" fillId="0" borderId="29" xfId="0" applyNumberFormat="1" applyFont="1" applyBorder="1" applyAlignment="1">
      <alignment horizontal="left" vertical="center" wrapText="1"/>
    </xf>
    <xf numFmtId="3" fontId="2" fillId="0" borderId="29" xfId="0" applyNumberFormat="1" applyFont="1" applyBorder="1" applyAlignment="1">
      <alignment horizontal="center" vertical="center" wrapText="1"/>
    </xf>
    <xf numFmtId="168" fontId="2" fillId="0" borderId="29" xfId="3" applyNumberFormat="1" applyFont="1" applyFill="1" applyBorder="1" applyAlignment="1">
      <alignment horizontal="center" vertical="center" wrapText="1"/>
    </xf>
    <xf numFmtId="0" fontId="12" fillId="0" borderId="0" xfId="0" applyFont="1" applyAlignment="1">
      <alignment horizontal="left" vertical="center" wrapText="1"/>
    </xf>
    <xf numFmtId="0" fontId="14" fillId="2" borderId="15" xfId="5" applyFont="1" applyFill="1" applyBorder="1" applyAlignment="1">
      <alignment horizontal="center" vertical="center" wrapText="1"/>
    </xf>
    <xf numFmtId="0" fontId="14" fillId="2" borderId="16" xfId="5" applyFont="1" applyFill="1" applyBorder="1" applyAlignment="1">
      <alignment horizontal="center" vertical="center" wrapText="1"/>
    </xf>
    <xf numFmtId="0" fontId="14" fillId="2" borderId="17" xfId="5" applyFont="1" applyFill="1" applyBorder="1" applyAlignment="1">
      <alignment horizontal="center" vertical="center" wrapText="1"/>
    </xf>
    <xf numFmtId="0" fontId="2" fillId="3" borderId="0" xfId="5" applyFont="1" applyFill="1"/>
    <xf numFmtId="0" fontId="3" fillId="3" borderId="0" xfId="5" applyFont="1" applyFill="1"/>
    <xf numFmtId="0" fontId="2" fillId="3" borderId="17" xfId="0" applyFont="1" applyFill="1" applyBorder="1" applyAlignment="1">
      <alignment horizontal="center" wrapText="1"/>
    </xf>
    <xf numFmtId="0" fontId="3" fillId="3" borderId="0" xfId="5" applyFont="1" applyFill="1" applyAlignment="1">
      <alignment wrapText="1"/>
    </xf>
    <xf numFmtId="43" fontId="3" fillId="3" borderId="18" xfId="1" applyFont="1" applyFill="1" applyBorder="1"/>
    <xf numFmtId="0" fontId="2" fillId="3" borderId="19" xfId="5" applyFont="1" applyFill="1" applyBorder="1" applyAlignment="1">
      <alignment horizontal="left" wrapText="1"/>
    </xf>
    <xf numFmtId="4" fontId="2" fillId="3" borderId="19" xfId="5" applyNumberFormat="1" applyFont="1" applyFill="1" applyBorder="1"/>
    <xf numFmtId="4" fontId="2" fillId="3" borderId="20" xfId="5" applyNumberFormat="1" applyFont="1" applyFill="1" applyBorder="1"/>
    <xf numFmtId="4" fontId="3" fillId="3" borderId="0" xfId="5" applyNumberFormat="1" applyFont="1" applyFill="1"/>
    <xf numFmtId="9" fontId="3" fillId="3" borderId="18" xfId="3" applyFont="1" applyFill="1" applyBorder="1" applyAlignment="1">
      <alignment horizontal="center"/>
    </xf>
    <xf numFmtId="9" fontId="3" fillId="3" borderId="19" xfId="3" applyFont="1" applyFill="1" applyBorder="1" applyAlignment="1">
      <alignment horizontal="center" wrapText="1"/>
    </xf>
    <xf numFmtId="4" fontId="3" fillId="3" borderId="19" xfId="5" applyNumberFormat="1" applyFont="1" applyFill="1" applyBorder="1"/>
    <xf numFmtId="4" fontId="3" fillId="3" borderId="20" xfId="5" applyNumberFormat="1" applyFont="1" applyFill="1" applyBorder="1"/>
    <xf numFmtId="43" fontId="3" fillId="3" borderId="0" xfId="1" applyFont="1" applyFill="1"/>
    <xf numFmtId="43" fontId="2" fillId="3" borderId="18" xfId="1" applyFont="1" applyFill="1" applyBorder="1"/>
    <xf numFmtId="0" fontId="2" fillId="3" borderId="19" xfId="5" quotePrefix="1" applyFont="1" applyFill="1" applyBorder="1" applyAlignment="1">
      <alignment horizontal="left" wrapText="1"/>
    </xf>
    <xf numFmtId="4" fontId="9" fillId="3" borderId="18" xfId="5" applyNumberFormat="1" applyFont="1" applyFill="1" applyBorder="1"/>
    <xf numFmtId="0" fontId="9" fillId="3" borderId="19" xfId="5" quotePrefix="1" applyFont="1" applyFill="1" applyBorder="1" applyAlignment="1">
      <alignment horizontal="left" wrapText="1"/>
    </xf>
    <xf numFmtId="4" fontId="9" fillId="3" borderId="18" xfId="5" quotePrefix="1" applyNumberFormat="1" applyFont="1" applyFill="1" applyBorder="1" applyAlignment="1">
      <alignment horizontal="right"/>
    </xf>
    <xf numFmtId="43" fontId="2" fillId="3" borderId="19" xfId="1" applyFont="1" applyFill="1" applyBorder="1" applyAlignment="1">
      <alignment wrapText="1"/>
    </xf>
    <xf numFmtId="4" fontId="2" fillId="3" borderId="18" xfId="5" quotePrefix="1" applyNumberFormat="1" applyFont="1" applyFill="1" applyBorder="1" applyAlignment="1">
      <alignment horizontal="right"/>
    </xf>
    <xf numFmtId="4" fontId="9" fillId="3" borderId="19" xfId="5" quotePrefix="1" applyNumberFormat="1" applyFont="1" applyFill="1" applyBorder="1" applyAlignment="1">
      <alignment horizontal="right"/>
    </xf>
    <xf numFmtId="4" fontId="9" fillId="3" borderId="20" xfId="5" quotePrefix="1" applyNumberFormat="1" applyFont="1" applyFill="1" applyBorder="1" applyAlignment="1">
      <alignment horizontal="right"/>
    </xf>
    <xf numFmtId="4" fontId="2" fillId="3" borderId="19" xfId="5" quotePrefix="1" applyNumberFormat="1" applyFont="1" applyFill="1" applyBorder="1" applyAlignment="1">
      <alignment horizontal="right"/>
    </xf>
    <xf numFmtId="4" fontId="2" fillId="3" borderId="20" xfId="5" quotePrefix="1" applyNumberFormat="1" applyFont="1" applyFill="1" applyBorder="1" applyAlignment="1">
      <alignment horizontal="right"/>
    </xf>
    <xf numFmtId="4" fontId="2" fillId="3" borderId="18" xfId="5" applyNumberFormat="1" applyFont="1" applyFill="1" applyBorder="1" applyAlignment="1">
      <alignment horizontal="right"/>
    </xf>
    <xf numFmtId="4" fontId="3" fillId="3" borderId="18" xfId="5" quotePrefix="1" applyNumberFormat="1" applyFont="1" applyFill="1" applyBorder="1" applyAlignment="1">
      <alignment horizontal="right"/>
    </xf>
    <xf numFmtId="4" fontId="3" fillId="3" borderId="19" xfId="5" quotePrefix="1" applyNumberFormat="1" applyFont="1" applyFill="1" applyBorder="1" applyAlignment="1">
      <alignment horizontal="right"/>
    </xf>
    <xf numFmtId="43" fontId="3" fillId="3" borderId="19" xfId="1" applyFont="1" applyFill="1" applyBorder="1" applyAlignment="1">
      <alignment wrapText="1"/>
    </xf>
    <xf numFmtId="4" fontId="3" fillId="3" borderId="20" xfId="5" quotePrefix="1" applyNumberFormat="1" applyFont="1" applyFill="1" applyBorder="1" applyAlignment="1">
      <alignment horizontal="right"/>
    </xf>
    <xf numFmtId="4" fontId="2" fillId="3" borderId="20" xfId="5" applyNumberFormat="1" applyFont="1" applyFill="1" applyBorder="1" applyAlignment="1">
      <alignment horizontal="right"/>
    </xf>
    <xf numFmtId="166" fontId="3" fillId="3" borderId="19" xfId="5" applyNumberFormat="1" applyFont="1" applyFill="1" applyBorder="1"/>
    <xf numFmtId="4" fontId="3" fillId="3" borderId="19" xfId="5" applyNumberFormat="1" applyFont="1" applyFill="1" applyBorder="1" applyAlignment="1">
      <alignment horizontal="right"/>
    </xf>
    <xf numFmtId="4" fontId="2" fillId="3" borderId="19" xfId="5" applyNumberFormat="1" applyFont="1" applyFill="1" applyBorder="1" applyAlignment="1">
      <alignment horizontal="right"/>
    </xf>
    <xf numFmtId="4" fontId="2" fillId="3" borderId="18" xfId="5" applyNumberFormat="1" applyFont="1" applyFill="1" applyBorder="1"/>
    <xf numFmtId="0" fontId="3" fillId="3" borderId="19" xfId="5" applyFont="1" applyFill="1" applyBorder="1"/>
    <xf numFmtId="4" fontId="3" fillId="3" borderId="18" xfId="5" applyNumberFormat="1" applyFont="1" applyFill="1" applyBorder="1" applyAlignment="1">
      <alignment horizontal="right"/>
    </xf>
    <xf numFmtId="0" fontId="3" fillId="3" borderId="19" xfId="5" applyFont="1" applyFill="1" applyBorder="1" applyAlignment="1">
      <alignment wrapText="1"/>
    </xf>
    <xf numFmtId="43" fontId="2" fillId="3" borderId="19" xfId="1" applyFont="1" applyFill="1" applyBorder="1" applyAlignment="1">
      <alignment horizontal="left" wrapText="1"/>
    </xf>
    <xf numFmtId="0" fontId="3" fillId="3" borderId="19" xfId="5" applyFont="1" applyFill="1" applyBorder="1" applyAlignment="1">
      <alignment horizontal="left" wrapText="1"/>
    </xf>
    <xf numFmtId="4" fontId="3" fillId="3" borderId="20" xfId="5" applyNumberFormat="1" applyFont="1" applyFill="1" applyBorder="1" applyAlignment="1">
      <alignment horizontal="right"/>
    </xf>
    <xf numFmtId="164" fontId="3" fillId="3" borderId="0" xfId="5" applyNumberFormat="1" applyFont="1" applyFill="1"/>
    <xf numFmtId="43" fontId="3" fillId="3" borderId="19" xfId="1" applyFont="1" applyFill="1" applyBorder="1"/>
    <xf numFmtId="4" fontId="9" fillId="3" borderId="18" xfId="5" applyNumberFormat="1" applyFont="1" applyFill="1" applyBorder="1" applyAlignment="1">
      <alignment horizontal="right"/>
    </xf>
    <xf numFmtId="43" fontId="9" fillId="3" borderId="18" xfId="1" applyFont="1" applyFill="1" applyBorder="1"/>
    <xf numFmtId="4" fontId="9" fillId="3" borderId="19" xfId="5" applyNumberFormat="1" applyFont="1" applyFill="1" applyBorder="1"/>
    <xf numFmtId="4" fontId="9" fillId="3" borderId="20" xfId="5" applyNumberFormat="1" applyFont="1" applyFill="1" applyBorder="1"/>
    <xf numFmtId="0" fontId="3" fillId="3" borderId="18" xfId="5" applyFont="1" applyFill="1" applyBorder="1"/>
    <xf numFmtId="4" fontId="2" fillId="3" borderId="19" xfId="1" applyNumberFormat="1" applyFont="1" applyFill="1" applyBorder="1"/>
    <xf numFmtId="4" fontId="2" fillId="3" borderId="20" xfId="1" applyNumberFormat="1" applyFont="1" applyFill="1" applyBorder="1"/>
    <xf numFmtId="4" fontId="2" fillId="3" borderId="0" xfId="1" applyNumberFormat="1" applyFont="1" applyFill="1" applyBorder="1"/>
    <xf numFmtId="4" fontId="3" fillId="3" borderId="19" xfId="1" applyNumberFormat="1" applyFont="1" applyFill="1" applyBorder="1"/>
    <xf numFmtId="4" fontId="3" fillId="3" borderId="20" xfId="1" applyNumberFormat="1" applyFont="1" applyFill="1" applyBorder="1"/>
    <xf numFmtId="43" fontId="9" fillId="3" borderId="19" xfId="1" applyFont="1" applyFill="1" applyBorder="1" applyAlignment="1">
      <alignment wrapText="1"/>
    </xf>
    <xf numFmtId="43" fontId="3" fillId="3" borderId="21" xfId="1" applyFont="1" applyFill="1" applyBorder="1"/>
    <xf numFmtId="43" fontId="3" fillId="3" borderId="22" xfId="1" applyFont="1" applyFill="1" applyBorder="1" applyAlignment="1">
      <alignment wrapText="1"/>
    </xf>
    <xf numFmtId="4" fontId="3" fillId="3" borderId="21" xfId="5" quotePrefix="1" applyNumberFormat="1" applyFont="1" applyFill="1" applyBorder="1" applyAlignment="1">
      <alignment horizontal="right"/>
    </xf>
    <xf numFmtId="4" fontId="3" fillId="3" borderId="22" xfId="5" applyNumberFormat="1" applyFont="1" applyFill="1" applyBorder="1"/>
    <xf numFmtId="4" fontId="3" fillId="3" borderId="22" xfId="1" applyNumberFormat="1" applyFont="1" applyFill="1" applyBorder="1"/>
    <xf numFmtId="4" fontId="3" fillId="3" borderId="23" xfId="1" applyNumberFormat="1" applyFont="1" applyFill="1" applyBorder="1"/>
    <xf numFmtId="0" fontId="2" fillId="3" borderId="0" xfId="5" applyFont="1" applyFill="1" applyAlignment="1">
      <alignment horizontal="right" wrapText="1"/>
    </xf>
    <xf numFmtId="43" fontId="2" fillId="3" borderId="0" xfId="1" applyFont="1" applyFill="1"/>
    <xf numFmtId="0" fontId="3" fillId="3" borderId="0" xfId="5" applyFont="1" applyFill="1" applyAlignment="1">
      <alignment horizontal="right" wrapText="1"/>
    </xf>
    <xf numFmtId="165" fontId="3" fillId="3" borderId="0" xfId="5" applyNumberFormat="1" applyFont="1" applyFill="1"/>
    <xf numFmtId="43" fontId="3" fillId="3" borderId="0" xfId="5" applyNumberFormat="1" applyFont="1" applyFill="1"/>
    <xf numFmtId="4" fontId="3" fillId="3" borderId="7" xfId="5" applyNumberFormat="1" applyFont="1" applyFill="1" applyBorder="1"/>
    <xf numFmtId="41" fontId="3" fillId="3" borderId="0" xfId="2" applyFont="1" applyFill="1"/>
    <xf numFmtId="4" fontId="3" fillId="3" borderId="0" xfId="0" applyNumberFormat="1" applyFont="1" applyFill="1"/>
    <xf numFmtId="0" fontId="3" fillId="3" borderId="0" xfId="0" applyFont="1" applyFill="1"/>
    <xf numFmtId="4" fontId="14" fillId="2" borderId="2" xfId="0" applyNumberFormat="1" applyFont="1" applyFill="1" applyBorder="1" applyAlignment="1">
      <alignment horizontal="center" wrapText="1"/>
    </xf>
    <xf numFmtId="0" fontId="2" fillId="3" borderId="0" xfId="0" applyFont="1" applyFill="1" applyAlignment="1">
      <alignment horizontal="center" vertical="center" wrapText="1"/>
    </xf>
    <xf numFmtId="0" fontId="2" fillId="3" borderId="0" xfId="0" applyFont="1" applyFill="1" applyAlignment="1">
      <alignment vertical="center" wrapText="1"/>
    </xf>
    <xf numFmtId="0" fontId="2" fillId="3" borderId="0" xfId="0" applyFont="1" applyFill="1" applyAlignment="1">
      <alignment horizontal="left" vertical="center" wrapText="1"/>
    </xf>
    <xf numFmtId="0" fontId="14" fillId="4" borderId="29" xfId="0" applyFont="1" applyFill="1" applyBorder="1" applyAlignment="1">
      <alignment horizontal="center" vertical="center" wrapText="1"/>
    </xf>
    <xf numFmtId="1" fontId="2" fillId="0" borderId="35" xfId="0" applyNumberFormat="1" applyFont="1" applyBorder="1" applyAlignment="1">
      <alignment horizontal="left" vertical="center" wrapText="1"/>
    </xf>
    <xf numFmtId="0" fontId="2" fillId="3" borderId="0" xfId="0" applyFont="1" applyFill="1" applyAlignment="1">
      <alignment horizontal="left" vertical="top" wrapText="1"/>
    </xf>
    <xf numFmtId="9" fontId="2" fillId="3" borderId="0" xfId="0" applyNumberFormat="1" applyFont="1" applyFill="1" applyAlignment="1">
      <alignment horizontal="center" vertical="center" wrapText="1"/>
    </xf>
    <xf numFmtId="4" fontId="2" fillId="3" borderId="0" xfId="0" applyNumberFormat="1" applyFont="1" applyFill="1" applyAlignment="1">
      <alignment horizontal="center" vertical="top" wrapText="1"/>
    </xf>
    <xf numFmtId="167" fontId="2" fillId="3" borderId="0" xfId="0" applyNumberFormat="1" applyFont="1" applyFill="1" applyAlignment="1">
      <alignment horizontal="center" vertical="top" wrapText="1"/>
    </xf>
    <xf numFmtId="0" fontId="2" fillId="0" borderId="18" xfId="0" applyFont="1" applyBorder="1" applyAlignment="1">
      <alignment horizontal="left" vertical="top" wrapText="1"/>
    </xf>
    <xf numFmtId="9" fontId="2" fillId="0" borderId="35" xfId="0" applyNumberFormat="1" applyFont="1" applyBorder="1" applyAlignment="1">
      <alignment horizontal="left" vertical="center" wrapText="1"/>
    </xf>
    <xf numFmtId="9" fontId="2" fillId="3" borderId="0" xfId="0" applyNumberFormat="1" applyFont="1" applyFill="1" applyAlignment="1">
      <alignment horizontal="left" vertical="center" wrapText="1"/>
    </xf>
    <xf numFmtId="0" fontId="14" fillId="4" borderId="35" xfId="0" applyFont="1" applyFill="1" applyBorder="1" applyAlignment="1">
      <alignment horizontal="center" vertical="center" wrapText="1"/>
    </xf>
    <xf numFmtId="0" fontId="2" fillId="0" borderId="0" xfId="0" applyFont="1" applyAlignment="1">
      <alignment horizontal="left" vertical="top" wrapText="1"/>
    </xf>
    <xf numFmtId="9" fontId="2" fillId="0" borderId="0" xfId="0" applyNumberFormat="1" applyFont="1" applyAlignment="1">
      <alignment horizontal="left" vertical="center" wrapText="1"/>
    </xf>
    <xf numFmtId="167" fontId="2" fillId="0" borderId="0" xfId="0" applyNumberFormat="1" applyFont="1" applyAlignment="1">
      <alignment horizontal="center" vertical="top" wrapText="1"/>
    </xf>
    <xf numFmtId="0" fontId="15" fillId="3" borderId="0" xfId="5" applyFont="1" applyFill="1"/>
    <xf numFmtId="43" fontId="15" fillId="3" borderId="0" xfId="1" applyFont="1" applyFill="1"/>
    <xf numFmtId="4" fontId="15" fillId="3" borderId="0" xfId="5" applyNumberFormat="1" applyFont="1" applyFill="1"/>
    <xf numFmtId="4" fontId="4" fillId="3" borderId="2" xfId="0" applyNumberFormat="1" applyFont="1" applyFill="1" applyBorder="1" applyAlignment="1">
      <alignment horizontal="center" wrapText="1"/>
    </xf>
    <xf numFmtId="4" fontId="4" fillId="3" borderId="3" xfId="0" applyNumberFormat="1" applyFont="1" applyFill="1" applyBorder="1" applyAlignment="1">
      <alignment horizontal="center" wrapText="1"/>
    </xf>
    <xf numFmtId="4" fontId="3" fillId="3" borderId="0" xfId="0" applyNumberFormat="1" applyFont="1" applyFill="1" applyAlignment="1">
      <alignment horizontal="center" wrapText="1"/>
    </xf>
    <xf numFmtId="0" fontId="3" fillId="3" borderId="0" xfId="0" applyFont="1" applyFill="1" applyAlignment="1">
      <alignment horizontal="center" wrapText="1"/>
    </xf>
    <xf numFmtId="0" fontId="4" fillId="3" borderId="4" xfId="0" applyFont="1" applyFill="1" applyBorder="1" applyAlignment="1">
      <alignment horizontal="right"/>
    </xf>
    <xf numFmtId="0" fontId="4" fillId="3" borderId="5" xfId="0" applyFont="1" applyFill="1" applyBorder="1"/>
    <xf numFmtId="4" fontId="4" fillId="3" borderId="5" xfId="0" applyNumberFormat="1" applyFont="1" applyFill="1" applyBorder="1"/>
    <xf numFmtId="4" fontId="4" fillId="3" borderId="6" xfId="0" applyNumberFormat="1" applyFont="1" applyFill="1" applyBorder="1"/>
    <xf numFmtId="4" fontId="4" fillId="3" borderId="7" xfId="0" applyNumberFormat="1" applyFont="1" applyFill="1" applyBorder="1"/>
    <xf numFmtId="4" fontId="4" fillId="3" borderId="8" xfId="0" applyNumberFormat="1" applyFont="1" applyFill="1" applyBorder="1"/>
    <xf numFmtId="4" fontId="4" fillId="3" borderId="9" xfId="0" applyNumberFormat="1" applyFont="1" applyFill="1" applyBorder="1"/>
    <xf numFmtId="4" fontId="4" fillId="3" borderId="0" xfId="0" applyNumberFormat="1" applyFont="1" applyFill="1"/>
    <xf numFmtId="0" fontId="4" fillId="3" borderId="0" xfId="0" applyFont="1" applyFill="1"/>
    <xf numFmtId="0" fontId="2" fillId="3" borderId="10" xfId="0" applyFont="1" applyFill="1" applyBorder="1" applyAlignment="1">
      <alignment horizontal="right"/>
    </xf>
    <xf numFmtId="0" fontId="2" fillId="3" borderId="8" xfId="0" applyFont="1" applyFill="1" applyBorder="1"/>
    <xf numFmtId="4" fontId="2" fillId="3" borderId="8" xfId="0" applyNumberFormat="1" applyFont="1" applyFill="1" applyBorder="1"/>
    <xf numFmtId="4" fontId="2" fillId="3" borderId="9" xfId="0" applyNumberFormat="1" applyFont="1" applyFill="1" applyBorder="1"/>
    <xf numFmtId="4" fontId="2" fillId="3" borderId="7" xfId="0" applyNumberFormat="1" applyFont="1" applyFill="1" applyBorder="1"/>
    <xf numFmtId="4" fontId="2" fillId="3" borderId="0" xfId="0" applyNumberFormat="1" applyFont="1" applyFill="1"/>
    <xf numFmtId="0" fontId="2" fillId="3" borderId="0" xfId="0" applyFont="1" applyFill="1"/>
    <xf numFmtId="39" fontId="4" fillId="3" borderId="10" xfId="4" applyNumberFormat="1" applyFont="1" applyFill="1" applyBorder="1" applyAlignment="1" applyProtection="1">
      <alignment horizontal="right"/>
      <protection locked="0"/>
    </xf>
    <xf numFmtId="39" fontId="4" fillId="3" borderId="8" xfId="4" applyNumberFormat="1" applyFont="1" applyFill="1" applyBorder="1" applyAlignment="1" applyProtection="1">
      <alignment horizontal="left" wrapText="1"/>
      <protection locked="0"/>
    </xf>
    <xf numFmtId="43" fontId="6" fillId="3" borderId="10" xfId="1" applyFont="1" applyFill="1" applyBorder="1" applyAlignment="1">
      <alignment horizontal="right"/>
    </xf>
    <xf numFmtId="43" fontId="6" fillId="3" borderId="8" xfId="1" applyFont="1" applyFill="1" applyBorder="1" applyAlignment="1">
      <alignment horizontal="left" wrapText="1"/>
    </xf>
    <xf numFmtId="4" fontId="3" fillId="3" borderId="8" xfId="0" applyNumberFormat="1" applyFont="1" applyFill="1" applyBorder="1"/>
    <xf numFmtId="4" fontId="3" fillId="3" borderId="9" xfId="0" applyNumberFormat="1" applyFont="1" applyFill="1" applyBorder="1"/>
    <xf numFmtId="4" fontId="3" fillId="3" borderId="7" xfId="0" applyNumberFormat="1" applyFont="1" applyFill="1" applyBorder="1"/>
    <xf numFmtId="0" fontId="3" fillId="3" borderId="10" xfId="0" applyFont="1" applyFill="1" applyBorder="1" applyAlignment="1">
      <alignment horizontal="right"/>
    </xf>
    <xf numFmtId="0" fontId="3" fillId="3" borderId="8" xfId="0" applyFont="1" applyFill="1" applyBorder="1"/>
    <xf numFmtId="43" fontId="4" fillId="3" borderId="8" xfId="1" applyFont="1" applyFill="1" applyBorder="1" applyAlignment="1">
      <alignment horizontal="left" wrapText="1"/>
    </xf>
    <xf numFmtId="43" fontId="4" fillId="3" borderId="10" xfId="1" applyFont="1" applyFill="1" applyBorder="1" applyAlignment="1" applyProtection="1">
      <alignment horizontal="right"/>
      <protection locked="0"/>
    </xf>
    <xf numFmtId="43" fontId="4" fillId="3" borderId="10" xfId="1" applyFont="1" applyFill="1" applyBorder="1" applyAlignment="1">
      <alignment horizontal="right"/>
    </xf>
    <xf numFmtId="0" fontId="4" fillId="3" borderId="10" xfId="0" applyFont="1" applyFill="1" applyBorder="1" applyAlignment="1">
      <alignment horizontal="right"/>
    </xf>
    <xf numFmtId="0" fontId="6" fillId="3" borderId="10" xfId="0" applyFont="1" applyFill="1" applyBorder="1" applyAlignment="1">
      <alignment horizontal="right"/>
    </xf>
    <xf numFmtId="2" fontId="6" fillId="3" borderId="10" xfId="0" applyNumberFormat="1" applyFont="1" applyFill="1" applyBorder="1" applyAlignment="1">
      <alignment horizontal="right"/>
    </xf>
    <xf numFmtId="0" fontId="4" fillId="3" borderId="10" xfId="0" applyFont="1" applyFill="1" applyBorder="1" applyAlignment="1">
      <alignment horizontal="right" vertical="top"/>
    </xf>
    <xf numFmtId="0" fontId="4" fillId="3" borderId="8" xfId="0" applyFont="1" applyFill="1" applyBorder="1"/>
    <xf numFmtId="39" fontId="4" fillId="3" borderId="10" xfId="4" applyNumberFormat="1" applyFont="1" applyFill="1" applyBorder="1" applyAlignment="1">
      <alignment horizontal="right"/>
    </xf>
    <xf numFmtId="39" fontId="6" fillId="3" borderId="10" xfId="4" applyNumberFormat="1" applyFont="1" applyFill="1" applyBorder="1" applyAlignment="1" applyProtection="1">
      <alignment horizontal="right"/>
      <protection locked="0"/>
    </xf>
    <xf numFmtId="39" fontId="6" fillId="3" borderId="11" xfId="4" applyNumberFormat="1" applyFont="1" applyFill="1" applyBorder="1" applyAlignment="1" applyProtection="1">
      <alignment horizontal="right"/>
      <protection locked="0"/>
    </xf>
    <xf numFmtId="43" fontId="6" fillId="3" borderId="12" xfId="1" applyFont="1" applyFill="1" applyBorder="1" applyAlignment="1">
      <alignment horizontal="left" wrapText="1"/>
    </xf>
    <xf numFmtId="4" fontId="3" fillId="3" borderId="12" xfId="0" applyNumberFormat="1" applyFont="1" applyFill="1" applyBorder="1"/>
    <xf numFmtId="4" fontId="3" fillId="3" borderId="13" xfId="0" applyNumberFormat="1" applyFont="1" applyFill="1" applyBorder="1"/>
    <xf numFmtId="2" fontId="4" fillId="3" borderId="10" xfId="0" applyNumberFormat="1" applyFont="1" applyFill="1" applyBorder="1" applyAlignment="1">
      <alignment horizontal="right"/>
    </xf>
    <xf numFmtId="39" fontId="6" fillId="3" borderId="10" xfId="4" applyNumberFormat="1" applyFont="1" applyFill="1" applyBorder="1" applyAlignment="1">
      <alignment horizontal="right"/>
    </xf>
    <xf numFmtId="1" fontId="4" fillId="3" borderId="10" xfId="0" applyNumberFormat="1" applyFont="1" applyFill="1" applyBorder="1" applyAlignment="1">
      <alignment horizontal="right"/>
    </xf>
    <xf numFmtId="37" fontId="6" fillId="3" borderId="10" xfId="4" applyFont="1" applyFill="1" applyBorder="1" applyAlignment="1">
      <alignment horizontal="right"/>
    </xf>
    <xf numFmtId="37" fontId="4" fillId="3" borderId="10" xfId="4" applyFont="1" applyFill="1" applyBorder="1" applyAlignment="1">
      <alignment horizontal="right"/>
    </xf>
    <xf numFmtId="39" fontId="7" fillId="3" borderId="8" xfId="4" applyNumberFormat="1" applyFont="1" applyFill="1" applyBorder="1" applyAlignment="1" applyProtection="1">
      <alignment horizontal="left" wrapText="1"/>
      <protection locked="0"/>
    </xf>
    <xf numFmtId="37" fontId="6" fillId="3" borderId="8" xfId="4" applyFont="1" applyFill="1" applyBorder="1"/>
    <xf numFmtId="43" fontId="6" fillId="3" borderId="8" xfId="1" applyFont="1" applyFill="1" applyBorder="1" applyAlignment="1">
      <alignment vertical="top" wrapText="1"/>
    </xf>
    <xf numFmtId="165" fontId="4" fillId="3" borderId="8" xfId="1" applyNumberFormat="1" applyFont="1" applyFill="1" applyBorder="1" applyAlignment="1">
      <alignment horizontal="left" wrapText="1"/>
    </xf>
    <xf numFmtId="0" fontId="3" fillId="3" borderId="11" xfId="0" applyFont="1" applyFill="1" applyBorder="1" applyAlignment="1">
      <alignment horizontal="right"/>
    </xf>
    <xf numFmtId="0" fontId="3" fillId="3" borderId="12" xfId="0" applyFont="1" applyFill="1" applyBorder="1"/>
    <xf numFmtId="0" fontId="3" fillId="3" borderId="0" xfId="0" applyFont="1" applyFill="1" applyAlignment="1">
      <alignment horizontal="right"/>
    </xf>
    <xf numFmtId="0" fontId="2" fillId="3" borderId="0" xfId="5" applyFont="1" applyFill="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2" fillId="3" borderId="14" xfId="0" applyFont="1" applyFill="1" applyBorder="1" applyAlignment="1">
      <alignment horizontal="center" vertical="center"/>
    </xf>
    <xf numFmtId="0" fontId="14" fillId="4" borderId="25"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2" fillId="0" borderId="0" xfId="0" applyFont="1" applyAlignment="1">
      <alignment horizontal="center" vertical="center" wrapText="1"/>
    </xf>
    <xf numFmtId="0" fontId="2" fillId="0" borderId="24" xfId="0" applyFont="1" applyBorder="1" applyAlignment="1">
      <alignment horizontal="center" vertical="center" wrapText="1"/>
    </xf>
    <xf numFmtId="0" fontId="2" fillId="0" borderId="28" xfId="0" applyFont="1" applyBorder="1" applyAlignment="1">
      <alignment horizontal="center" vertical="center" wrapText="1"/>
    </xf>
    <xf numFmtId="0" fontId="14" fillId="4" borderId="26"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4" fillId="4" borderId="28" xfId="0" applyFont="1" applyFill="1" applyBorder="1" applyAlignment="1">
      <alignment horizontal="center" vertical="center" wrapText="1"/>
    </xf>
    <xf numFmtId="4" fontId="2" fillId="0" borderId="35" xfId="0" applyNumberFormat="1" applyFont="1" applyBorder="1" applyAlignment="1">
      <alignment horizontal="center" vertical="top" wrapText="1"/>
    </xf>
    <xf numFmtId="167" fontId="2" fillId="0" borderId="35" xfId="0" applyNumberFormat="1" applyFont="1" applyBorder="1" applyAlignment="1">
      <alignment horizontal="center" vertical="top" wrapText="1"/>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2" fillId="0" borderId="37" xfId="0" applyFont="1" applyBorder="1" applyAlignment="1">
      <alignment horizontal="left" vertical="top" wrapText="1"/>
    </xf>
    <xf numFmtId="0" fontId="2" fillId="0" borderId="35" xfId="0" applyFont="1" applyBorder="1" applyAlignment="1">
      <alignment horizontal="left" vertical="top" wrapText="1"/>
    </xf>
    <xf numFmtId="0" fontId="14" fillId="5" borderId="1" xfId="0" applyFont="1" applyFill="1" applyBorder="1" applyAlignment="1">
      <alignment horizontal="center" vertical="center" wrapText="1"/>
    </xf>
    <xf numFmtId="0" fontId="2" fillId="0" borderId="35" xfId="6" applyFont="1" applyBorder="1" applyAlignment="1">
      <alignment horizontal="left" vertical="center" wrapText="1"/>
    </xf>
    <xf numFmtId="0" fontId="2" fillId="0" borderId="35" xfId="0" applyFont="1" applyBorder="1" applyAlignment="1">
      <alignment horizontal="left" vertical="center" wrapText="1"/>
    </xf>
    <xf numFmtId="0" fontId="14" fillId="4" borderId="39" xfId="0" applyFont="1" applyFill="1" applyBorder="1" applyAlignment="1">
      <alignment horizontal="center" vertical="center" wrapText="1"/>
    </xf>
    <xf numFmtId="0" fontId="14" fillId="4" borderId="35" xfId="0" applyFont="1" applyFill="1" applyBorder="1" applyAlignment="1">
      <alignment horizontal="center" vertical="center" wrapText="1"/>
    </xf>
    <xf numFmtId="0" fontId="14" fillId="5" borderId="35"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4" borderId="40" xfId="0" applyFont="1" applyFill="1" applyBorder="1" applyAlignment="1">
      <alignment horizontal="center" vertical="center" wrapText="1"/>
    </xf>
    <xf numFmtId="0" fontId="14" fillId="4" borderId="41" xfId="0" applyFont="1" applyFill="1" applyBorder="1" applyAlignment="1">
      <alignment horizontal="center" vertical="center" wrapText="1"/>
    </xf>
    <xf numFmtId="0" fontId="2" fillId="0" borderId="25" xfId="0" applyFont="1" applyBorder="1" applyAlignment="1">
      <alignment horizontal="left" vertical="top" wrapText="1"/>
    </xf>
    <xf numFmtId="0" fontId="2" fillId="0" borderId="29" xfId="0" applyFont="1" applyBorder="1" applyAlignment="1">
      <alignment horizontal="left" vertical="top" wrapText="1"/>
    </xf>
    <xf numFmtId="0" fontId="2" fillId="0" borderId="38" xfId="0" applyFont="1" applyBorder="1" applyAlignment="1">
      <alignment horizontal="left" vertical="top" wrapText="1"/>
    </xf>
    <xf numFmtId="0" fontId="2" fillId="0" borderId="24" xfId="0" applyFont="1" applyBorder="1" applyAlignment="1">
      <alignment horizontal="left" vertical="top" wrapText="1"/>
    </xf>
    <xf numFmtId="0" fontId="2" fillId="0" borderId="34" xfId="0" applyFont="1" applyBorder="1" applyAlignment="1">
      <alignment horizontal="left" vertical="top" wrapText="1"/>
    </xf>
    <xf numFmtId="0" fontId="2" fillId="0" borderId="28" xfId="0" applyFont="1" applyBorder="1" applyAlignment="1">
      <alignment horizontal="left" vertical="top" wrapText="1"/>
    </xf>
    <xf numFmtId="167" fontId="2" fillId="0" borderId="25" xfId="0" applyNumberFormat="1" applyFont="1" applyBorder="1" applyAlignment="1">
      <alignment horizontal="center" vertical="top" wrapText="1"/>
    </xf>
    <xf numFmtId="167" fontId="2" fillId="0" borderId="29" xfId="0" applyNumberFormat="1" applyFont="1" applyBorder="1" applyAlignment="1">
      <alignment horizontal="center" vertical="top" wrapText="1"/>
    </xf>
    <xf numFmtId="167" fontId="2" fillId="0" borderId="5" xfId="0" applyNumberFormat="1" applyFont="1" applyBorder="1" applyAlignment="1">
      <alignment horizontal="center" vertical="top" wrapText="1"/>
    </xf>
    <xf numFmtId="167" fontId="2" fillId="0" borderId="8" xfId="0" applyNumberFormat="1" applyFont="1" applyBorder="1" applyAlignment="1">
      <alignment horizontal="center" vertical="top" wrapText="1"/>
    </xf>
    <xf numFmtId="167" fontId="2" fillId="0" borderId="12" xfId="0" applyNumberFormat="1" applyFont="1" applyBorder="1" applyAlignment="1">
      <alignment horizontal="center" vertical="top" wrapText="1"/>
    </xf>
    <xf numFmtId="0" fontId="2" fillId="3" borderId="14" xfId="5" applyFont="1" applyFill="1" applyBorder="1" applyAlignment="1">
      <alignment horizontal="center" vertical="center" wrapText="1"/>
    </xf>
    <xf numFmtId="0" fontId="14" fillId="2" borderId="17" xfId="0" applyFont="1" applyFill="1" applyBorder="1" applyAlignment="1">
      <alignment horizontal="center" wrapText="1"/>
    </xf>
    <xf numFmtId="37" fontId="14" fillId="2" borderId="15" xfId="4" applyFont="1" applyFill="1" applyBorder="1" applyAlignment="1">
      <alignment horizontal="center" vertical="center" wrapText="1"/>
    </xf>
    <xf numFmtId="37" fontId="14" fillId="2" borderId="16" xfId="4" applyFont="1" applyFill="1" applyBorder="1" applyAlignment="1">
      <alignment horizontal="center" vertical="center" wrapText="1"/>
    </xf>
    <xf numFmtId="0" fontId="2" fillId="0" borderId="14" xfId="0" applyFont="1" applyBorder="1" applyAlignment="1">
      <alignment horizontal="center" vertical="center" wrapText="1"/>
    </xf>
    <xf numFmtId="169" fontId="14" fillId="2" borderId="17" xfId="4" applyNumberFormat="1" applyFont="1" applyFill="1" applyBorder="1" applyAlignment="1">
      <alignment horizontal="center" vertical="center" wrapText="1"/>
    </xf>
    <xf numFmtId="169" fontId="14" fillId="2" borderId="43" xfId="0" applyNumberFormat="1" applyFont="1" applyFill="1" applyBorder="1" applyAlignment="1" applyProtection="1">
      <alignment horizontal="center" vertical="center" wrapText="1"/>
      <protection locked="0"/>
    </xf>
    <xf numFmtId="40" fontId="14" fillId="2" borderId="2" xfId="0" applyNumberFormat="1" applyFont="1" applyFill="1" applyBorder="1" applyAlignment="1" applyProtection="1">
      <alignment horizontal="center" vertical="center" wrapText="1"/>
      <protection locked="0"/>
    </xf>
    <xf numFmtId="4" fontId="14" fillId="2" borderId="2" xfId="4" applyNumberFormat="1" applyFont="1" applyFill="1" applyBorder="1" applyAlignment="1">
      <alignment horizontal="center" vertical="center" wrapText="1"/>
    </xf>
    <xf numFmtId="4" fontId="14" fillId="2" borderId="44" xfId="4" applyNumberFormat="1" applyFont="1" applyFill="1" applyBorder="1" applyAlignment="1">
      <alignment horizontal="center" vertical="center" wrapText="1"/>
    </xf>
    <xf numFmtId="4" fontId="14" fillId="2" borderId="16" xfId="4" applyNumberFormat="1" applyFont="1" applyFill="1" applyBorder="1" applyAlignment="1">
      <alignment horizontal="center" vertical="center" wrapText="1"/>
    </xf>
    <xf numFmtId="4" fontId="14" fillId="2" borderId="43" xfId="4" applyNumberFormat="1" applyFont="1" applyFill="1" applyBorder="1" applyAlignment="1">
      <alignment horizontal="center" vertical="center" wrapText="1"/>
    </xf>
    <xf numFmtId="169" fontId="14" fillId="2" borderId="45" xfId="4" applyNumberFormat="1" applyFont="1" applyFill="1" applyBorder="1" applyAlignment="1">
      <alignment horizontal="center" vertical="center" wrapText="1"/>
    </xf>
    <xf numFmtId="0" fontId="14" fillId="2" borderId="16" xfId="4" applyNumberFormat="1" applyFont="1" applyFill="1" applyBorder="1" applyAlignment="1">
      <alignment horizontal="center" vertical="center" wrapText="1"/>
    </xf>
    <xf numFmtId="0" fontId="14" fillId="2" borderId="43" xfId="4" applyNumberFormat="1" applyFont="1" applyFill="1" applyBorder="1" applyAlignment="1">
      <alignment horizontal="center" vertical="center" wrapText="1"/>
    </xf>
    <xf numFmtId="0" fontId="14" fillId="2" borderId="2" xfId="4" applyNumberFormat="1" applyFont="1" applyFill="1" applyBorder="1" applyAlignment="1">
      <alignment horizontal="center" vertical="center" wrapText="1"/>
    </xf>
    <xf numFmtId="0" fontId="14" fillId="2" borderId="44" xfId="4" applyNumberFormat="1" applyFont="1" applyFill="1" applyBorder="1" applyAlignment="1">
      <alignment horizontal="center" vertical="center" wrapText="1"/>
    </xf>
    <xf numFmtId="169" fontId="14" fillId="2" borderId="16" xfId="4" applyNumberFormat="1" applyFont="1" applyFill="1" applyBorder="1" applyAlignment="1">
      <alignment horizontal="center" vertical="center" wrapText="1"/>
    </xf>
    <xf numFmtId="169" fontId="14" fillId="2" borderId="46" xfId="4" applyNumberFormat="1" applyFont="1" applyFill="1" applyBorder="1" applyAlignment="1">
      <alignment horizontal="center" vertical="center" wrapText="1"/>
    </xf>
  </cellXfs>
  <cellStyles count="7">
    <cellStyle name="Millares" xfId="1" builtinId="3"/>
    <cellStyle name="Millares [0]" xfId="2" builtinId="6"/>
    <cellStyle name="Normal" xfId="0" builtinId="0"/>
    <cellStyle name="Normal 4" xfId="6" xr:uid="{F1DF0F8D-E64A-4FE3-99D9-4906FD8C6511}"/>
    <cellStyle name="Normal_Estiming2000ajustado" xfId="5" xr:uid="{12575740-C485-4FB4-A90A-B85A1260AC5D}"/>
    <cellStyle name="Normal_presup2000ajustado" xfId="4" xr:uid="{F70C1945-89E6-4814-B63A-FA3FFAD877B3}"/>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157843</xdr:colOff>
      <xdr:row>0</xdr:row>
      <xdr:rowOff>155122</xdr:rowOff>
    </xdr:from>
    <xdr:to>
      <xdr:col>1</xdr:col>
      <xdr:colOff>1448279</xdr:colOff>
      <xdr:row>3</xdr:row>
      <xdr:rowOff>250373</xdr:rowOff>
    </xdr:to>
    <xdr:pic>
      <xdr:nvPicPr>
        <xdr:cNvPr id="3" name="Imagen 2">
          <a:extLst>
            <a:ext uri="{FF2B5EF4-FFF2-40B4-BE49-F238E27FC236}">
              <a16:creationId xmlns:a16="http://schemas.microsoft.com/office/drawing/2014/main" id="{C9CB0483-673D-4A09-A6A1-CB0337CB13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843" y="155122"/>
          <a:ext cx="2727350" cy="879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1123950</xdr:colOff>
      <xdr:row>3</xdr:row>
      <xdr:rowOff>142875</xdr:rowOff>
    </xdr:to>
    <xdr:pic>
      <xdr:nvPicPr>
        <xdr:cNvPr id="2" name="Imagen 1">
          <a:extLst>
            <a:ext uri="{FF2B5EF4-FFF2-40B4-BE49-F238E27FC236}">
              <a16:creationId xmlns:a16="http://schemas.microsoft.com/office/drawing/2014/main" id="{4B4941B3-A22A-4C3D-B0C7-C68FAD731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36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326570</xdr:colOff>
      <xdr:row>0</xdr:row>
      <xdr:rowOff>141515</xdr:rowOff>
    </xdr:from>
    <xdr:to>
      <xdr:col>2</xdr:col>
      <xdr:colOff>1364344</xdr:colOff>
      <xdr:row>4</xdr:row>
      <xdr:rowOff>70370</xdr:rowOff>
    </xdr:to>
    <xdr:pic>
      <xdr:nvPicPr>
        <xdr:cNvPr id="3" name="Imagen 2">
          <a:extLst>
            <a:ext uri="{FF2B5EF4-FFF2-40B4-BE49-F238E27FC236}">
              <a16:creationId xmlns:a16="http://schemas.microsoft.com/office/drawing/2014/main" id="{43B2B4BB-D754-48B3-A21F-5E21706EA2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570" y="141515"/>
          <a:ext cx="3029860" cy="973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navarro/Documents/Presupuesto%202023/Formulaci&#243;n%20Presup-2023/Estimaci&#243;n%20de%20ingresos%202023/Proy%20Ing.%202023%20ejec%20a%20Jun%202022%20SAP.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navarro/Documents/Presupuesto%202023/Formulaci&#243;n%20Presup-2023/Costeo%20SAP%202023%20vers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navarro/Documents/Presupuesto%202023/Formulaci&#243;n%20Presup-2023/Estimaci&#243;n%20de%20ingresos%202023/Plantilla%20de%20Ingresos%202023%20UFIB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navarro/Documents/Presupuesto%202023/Formulaci&#243;n%20Presup-2023/Estimaci&#243;n%20de%20ingresos%202023/Plantilla%20de%20Ingresos%202023-DA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navarro/AppData/Local/Microsoft/Windows/INetCache/Content.Outlook/QJ7CP4EA/Plantilla%20de%20Ingresos%202023-TESORER&#205;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navarro/Documents/Presupuesto%202023/Formulaci&#243;n%20Presup-2023/Estimaci&#243;n%20de%20ingresos%202023/PROYECCION%20PRESTAMOS%20AL%202023%20-%20agosto%2019,%202022%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navarro/Documents/Presupuesto%202023/Formulaci&#243;n%20Presup-2023/Estimaci&#243;n%20de%20ingresos%202023/Plantilla%20de%20Ingresos%202023%20Gesti&#243;n%20de%20Servicio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navarro/Documents/Presupuesto%202023/Formulaci&#243;n%20Presup-2023/Estimaci&#243;n%20de%20ingresos%202023/Recup%20carte%20%20Ayp%20202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navarro/Documents/Presupuesto%202023/Formulaci&#243;n%20Presup-2023/Estimaci&#243;n%20de%20ingresos%202023/UPH%202023_INGRESO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Mnavarro/Documents/Presupuesto%202023/Formulaci&#243;n%20Presup-2023/Estimaci&#243;n%20de%20ingresos%202023/Plantilla%20de%20Ingresos%202023-UM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cion  Planificación 2023"/>
      <sheetName val="Cuota de Ingreso"/>
      <sheetName val="prest dir al sec priv"/>
      <sheetName val="Hoja1"/>
    </sheetNames>
    <sheetDataSet>
      <sheetData sheetId="0">
        <row r="19">
          <cell r="O19">
            <v>3098869980</v>
          </cell>
        </row>
        <row r="104">
          <cell r="O104">
            <v>12149426125.326666</v>
          </cell>
        </row>
      </sheetData>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s>
    <sheetDataSet>
      <sheetData sheetId="0"/>
      <sheetData sheetId="1">
        <row r="7">
          <cell r="M7">
            <v>115298</v>
          </cell>
        </row>
        <row r="8">
          <cell r="M8">
            <v>2375000</v>
          </cell>
        </row>
        <row r="9">
          <cell r="M9">
            <v>175000</v>
          </cell>
        </row>
        <row r="10">
          <cell r="M10">
            <v>125000</v>
          </cell>
        </row>
        <row r="11">
          <cell r="I11">
            <v>187500</v>
          </cell>
          <cell r="M11">
            <v>62500</v>
          </cell>
        </row>
        <row r="12">
          <cell r="M12">
            <v>3245000</v>
          </cell>
        </row>
        <row r="13">
          <cell r="M13">
            <v>9000000</v>
          </cell>
        </row>
        <row r="14">
          <cell r="M14">
            <v>70225</v>
          </cell>
        </row>
        <row r="15">
          <cell r="M15">
            <v>24000000</v>
          </cell>
        </row>
        <row r="16">
          <cell r="M16">
            <v>4727823</v>
          </cell>
        </row>
        <row r="17">
          <cell r="M17">
            <v>12500000</v>
          </cell>
        </row>
        <row r="18">
          <cell r="M18">
            <v>25073565</v>
          </cell>
        </row>
        <row r="19">
          <cell r="M19">
            <v>47600007.999999993</v>
          </cell>
        </row>
        <row r="20">
          <cell r="M20">
            <v>12106303</v>
          </cell>
        </row>
        <row r="21">
          <cell r="M21">
            <v>58150000</v>
          </cell>
        </row>
        <row r="22">
          <cell r="M22">
            <v>1333750</v>
          </cell>
        </row>
        <row r="23">
          <cell r="M23">
            <v>1552500</v>
          </cell>
        </row>
        <row r="24">
          <cell r="M24">
            <v>7250000</v>
          </cell>
        </row>
        <row r="25">
          <cell r="M25">
            <v>4150000</v>
          </cell>
        </row>
        <row r="26">
          <cell r="M26">
            <v>4125000</v>
          </cell>
        </row>
        <row r="27">
          <cell r="M27">
            <v>1250000</v>
          </cell>
        </row>
        <row r="28">
          <cell r="M28">
            <v>1000000</v>
          </cell>
        </row>
        <row r="29">
          <cell r="M29">
            <v>11372920</v>
          </cell>
        </row>
        <row r="30">
          <cell r="M30">
            <v>2250000</v>
          </cell>
        </row>
        <row r="31">
          <cell r="M31">
            <v>250000</v>
          </cell>
        </row>
        <row r="32">
          <cell r="M32">
            <v>250000</v>
          </cell>
        </row>
        <row r="33">
          <cell r="M33">
            <v>250000</v>
          </cell>
        </row>
        <row r="34">
          <cell r="M34">
            <v>2000000</v>
          </cell>
        </row>
        <row r="35">
          <cell r="M35">
            <v>4350000</v>
          </cell>
        </row>
        <row r="36">
          <cell r="M36">
            <v>15750000</v>
          </cell>
        </row>
        <row r="37">
          <cell r="M37">
            <v>17500000</v>
          </cell>
        </row>
        <row r="38">
          <cell r="M38">
            <v>17487368</v>
          </cell>
        </row>
        <row r="39">
          <cell r="M39">
            <v>184416594</v>
          </cell>
        </row>
        <row r="40">
          <cell r="M40">
            <v>1375000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resos 2022"/>
    </sheetNames>
    <sheetDataSet>
      <sheetData sheetId="0">
        <row r="18">
          <cell r="G18">
            <v>1100100</v>
          </cell>
        </row>
        <row r="21">
          <cell r="G21">
            <v>11956000</v>
          </cell>
        </row>
        <row r="60">
          <cell r="G60">
            <v>426000000</v>
          </cell>
        </row>
        <row r="86">
          <cell r="G86">
            <v>680000000</v>
          </cell>
        </row>
        <row r="95">
          <cell r="G95">
            <v>30000000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resos 2022"/>
      <sheetName val="Ing.Venta de Servicios"/>
      <sheetName val="Otros Ing. No Especif."/>
      <sheetName val="Comisiones Codigo 200"/>
    </sheetNames>
    <sheetDataSet>
      <sheetData sheetId="0">
        <row r="21">
          <cell r="E21">
            <v>69226842.86971429</v>
          </cell>
        </row>
      </sheetData>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resos 2022"/>
    </sheetNames>
    <sheetDataSet>
      <sheetData sheetId="0" refreshError="1">
        <row r="32">
          <cell r="E32">
            <v>302941637.08999997</v>
          </cell>
        </row>
        <row r="33">
          <cell r="I33">
            <v>8410221391.75</v>
          </cell>
        </row>
        <row r="44">
          <cell r="I44">
            <v>94991623.049999997</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1"/>
      <sheetName val="Sheet 2"/>
      <sheetName val="2023"/>
      <sheetName val="proyección Ingresos"/>
    </sheetNames>
    <sheetDataSet>
      <sheetData sheetId="0"/>
      <sheetData sheetId="1"/>
      <sheetData sheetId="2"/>
      <sheetData sheetId="3">
        <row r="22">
          <cell r="E22">
            <v>5158994688.7600002</v>
          </cell>
          <cell r="K22">
            <v>969423283.93000031</v>
          </cell>
        </row>
        <row r="23">
          <cell r="E23">
            <v>11581842743.030001</v>
          </cell>
          <cell r="K23">
            <v>283682651.79000008</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resos 2022"/>
    </sheetNames>
    <sheetDataSet>
      <sheetData sheetId="0">
        <row r="35">
          <cell r="J35">
            <v>133853811.19</v>
          </cell>
        </row>
        <row r="65">
          <cell r="J65">
            <v>28906681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colocacion"/>
      <sheetName val="Resumen"/>
      <sheetName val="Compra casa,lote,cancela I TRIM"/>
      <sheetName val="Compra casa,lote,cancela IITRIM"/>
      <sheetName val="Compra casa,lote,cancela IIITRI"/>
      <sheetName val="Compra casa,lote,cancela IVTRI"/>
      <sheetName val="Construcción-ampliación I TRIM"/>
      <sheetName val="Construcción-ampliación IITRIM"/>
      <sheetName val="Construcción-ampliación IIITRIM"/>
      <sheetName val="Construcción-ampliación IVTRIM"/>
    </sheetNames>
    <sheetDataSet>
      <sheetData sheetId="0"/>
      <sheetData sheetId="1">
        <row r="12">
          <cell r="B12">
            <v>1263474907.1920249</v>
          </cell>
          <cell r="C12">
            <v>1513311191.3299546</v>
          </cell>
        </row>
      </sheetData>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resos 2022"/>
      <sheetName val="Detalle "/>
      <sheetName val="BANHVI"/>
    </sheetNames>
    <sheetDataSet>
      <sheetData sheetId="0">
        <row r="85">
          <cell r="G85">
            <v>1215494442.97</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resos 2022"/>
    </sheetNames>
    <sheetDataSet>
      <sheetData sheetId="0">
        <row r="85">
          <cell r="G85">
            <v>50000000</v>
          </cell>
        </row>
        <row r="86">
          <cell r="G86">
            <v>15000000</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AC7D1-842C-43D2-8E84-DEF9C309EBE4}">
  <sheetPr>
    <tabColor theme="3" tint="0.499984740745262"/>
  </sheetPr>
  <dimension ref="A1:AB274"/>
  <sheetViews>
    <sheetView zoomScale="70" zoomScaleNormal="70" workbookViewId="0">
      <selection activeCell="A6" sqref="A6"/>
    </sheetView>
  </sheetViews>
  <sheetFormatPr baseColWidth="10" defaultColWidth="27.33203125" defaultRowHeight="13.2" x14ac:dyDescent="0.25"/>
  <cols>
    <col min="1" max="1" width="21" style="45" customWidth="1"/>
    <col min="2" max="2" width="54.109375" style="47" customWidth="1"/>
    <col min="3" max="3" width="24.5546875" style="45" customWidth="1"/>
    <col min="4" max="4" width="23.33203125" style="109" customWidth="1"/>
    <col min="5" max="5" width="26.44140625" style="109" hidden="1" customWidth="1"/>
    <col min="6" max="6" width="16.5546875" style="109" hidden="1" customWidth="1"/>
    <col min="7" max="7" width="17.44140625" style="109" hidden="1" customWidth="1"/>
    <col min="8" max="8" width="21.5546875" style="109" hidden="1" customWidth="1"/>
    <col min="9" max="9" width="31.44140625" style="109" customWidth="1"/>
    <col min="10" max="10" width="24" style="109" hidden="1" customWidth="1"/>
    <col min="11" max="14" width="27.33203125" style="45"/>
    <col min="15" max="15" width="16.33203125" style="45" bestFit="1" customWidth="1"/>
    <col min="16" max="27" width="27.33203125" style="45"/>
    <col min="28" max="28" width="6.6640625" style="45" bestFit="1" customWidth="1"/>
    <col min="29" max="16384" width="27.33203125" style="45"/>
  </cols>
  <sheetData>
    <row r="1" spans="1:28" ht="20.399999999999999" customHeight="1" x14ac:dyDescent="0.25">
      <c r="A1" s="188" t="s">
        <v>699</v>
      </c>
      <c r="B1" s="188"/>
      <c r="C1" s="188"/>
      <c r="D1" s="188"/>
      <c r="E1" s="188"/>
      <c r="F1" s="188"/>
      <c r="G1" s="188"/>
      <c r="H1" s="188"/>
      <c r="I1" s="188"/>
      <c r="J1" s="188"/>
    </row>
    <row r="2" spans="1:28" ht="20.399999999999999" customHeight="1" x14ac:dyDescent="0.25">
      <c r="A2" s="188"/>
      <c r="B2" s="188"/>
      <c r="C2" s="188"/>
      <c r="D2" s="188"/>
      <c r="E2" s="188"/>
      <c r="F2" s="188"/>
      <c r="G2" s="188"/>
      <c r="H2" s="188"/>
      <c r="I2" s="188"/>
      <c r="J2" s="188"/>
    </row>
    <row r="3" spans="1:28" ht="20.399999999999999" customHeight="1" x14ac:dyDescent="0.25">
      <c r="A3" s="188"/>
      <c r="B3" s="188"/>
      <c r="C3" s="188"/>
      <c r="D3" s="188"/>
      <c r="E3" s="188"/>
      <c r="F3" s="188"/>
      <c r="G3" s="188"/>
      <c r="H3" s="188"/>
      <c r="I3" s="188"/>
      <c r="J3" s="188"/>
    </row>
    <row r="4" spans="1:28" ht="20.399999999999999" customHeight="1" x14ac:dyDescent="0.25">
      <c r="A4" s="188"/>
      <c r="B4" s="188"/>
      <c r="C4" s="188"/>
      <c r="D4" s="188"/>
      <c r="E4" s="188"/>
      <c r="F4" s="188"/>
      <c r="G4" s="188"/>
      <c r="H4" s="188"/>
      <c r="I4" s="188"/>
      <c r="J4" s="188"/>
    </row>
    <row r="5" spans="1:28" ht="20.399999999999999" customHeight="1" thickBot="1" x14ac:dyDescent="0.3">
      <c r="A5" s="234"/>
      <c r="B5" s="234"/>
      <c r="C5" s="234"/>
      <c r="D5" s="234"/>
      <c r="E5" s="234"/>
      <c r="F5" s="234"/>
      <c r="G5" s="234"/>
      <c r="H5" s="234"/>
      <c r="I5" s="234"/>
      <c r="J5" s="234"/>
    </row>
    <row r="6" spans="1:28" ht="54" customHeight="1" thickBot="1" x14ac:dyDescent="0.3">
      <c r="A6" s="236" t="s">
        <v>702</v>
      </c>
      <c r="B6" s="237" t="s">
        <v>703</v>
      </c>
      <c r="C6" s="42" t="s">
        <v>366</v>
      </c>
      <c r="D6" s="43" t="s">
        <v>700</v>
      </c>
      <c r="E6" s="42" t="s">
        <v>367</v>
      </c>
      <c r="F6" s="42" t="s">
        <v>368</v>
      </c>
      <c r="G6" s="41" t="s">
        <v>369</v>
      </c>
      <c r="H6" s="42" t="s">
        <v>370</v>
      </c>
      <c r="I6" s="235" t="s">
        <v>701</v>
      </c>
      <c r="J6" s="46" t="s">
        <v>371</v>
      </c>
      <c r="O6" s="130"/>
    </row>
    <row r="7" spans="1:28" ht="15" customHeight="1" x14ac:dyDescent="0.25">
      <c r="A7" s="48"/>
      <c r="B7" s="49" t="s">
        <v>366</v>
      </c>
      <c r="C7" s="78">
        <f>SUM(C9+C57)</f>
        <v>51099170395.99836</v>
      </c>
      <c r="D7" s="50">
        <f t="shared" ref="D7:J7" si="0">D9+D58+D76</f>
        <v>14168217612.999714</v>
      </c>
      <c r="E7" s="50">
        <f t="shared" si="0"/>
        <v>4896121610.9997149</v>
      </c>
      <c r="F7" s="50">
        <f t="shared" si="0"/>
        <v>1114946273</v>
      </c>
      <c r="G7" s="50">
        <f t="shared" si="0"/>
        <v>5994389237</v>
      </c>
      <c r="H7" s="51">
        <f t="shared" si="0"/>
        <v>39093713274.998642</v>
      </c>
      <c r="I7" s="51">
        <f t="shared" si="0"/>
        <v>36930952782.998642</v>
      </c>
      <c r="J7" s="51">
        <f t="shared" si="0"/>
        <v>2162760492</v>
      </c>
      <c r="K7" s="52"/>
      <c r="O7" s="130"/>
    </row>
    <row r="8" spans="1:28" x14ac:dyDescent="0.25">
      <c r="A8" s="53"/>
      <c r="B8" s="54"/>
      <c r="C8" s="53"/>
      <c r="D8" s="55"/>
      <c r="E8" s="55"/>
      <c r="F8" s="55"/>
      <c r="G8" s="55"/>
      <c r="H8" s="56"/>
      <c r="I8" s="56"/>
      <c r="J8" s="56"/>
      <c r="K8" s="52"/>
      <c r="O8" s="131">
        <f>17167703.13-18353272.56</f>
        <v>-1185569.4299999997</v>
      </c>
    </row>
    <row r="9" spans="1:28" x14ac:dyDescent="0.25">
      <c r="A9" s="58" t="s">
        <v>372</v>
      </c>
      <c r="B9" s="59" t="s">
        <v>373</v>
      </c>
      <c r="C9" s="60">
        <f t="shared" ref="C9:H9" si="1">C11</f>
        <v>20922395671.00174</v>
      </c>
      <c r="D9" s="50">
        <f>SUM(D11)</f>
        <v>2129995158.9997149</v>
      </c>
      <c r="E9" s="50">
        <f t="shared" si="1"/>
        <v>1309435738.9997146</v>
      </c>
      <c r="F9" s="50">
        <f>SUM(F11)</f>
        <v>614946273</v>
      </c>
      <c r="G9" s="50">
        <f>SUM(G11+G53)</f>
        <v>71759336</v>
      </c>
      <c r="H9" s="51">
        <f t="shared" si="1"/>
        <v>18926254323.002026</v>
      </c>
      <c r="I9" s="51">
        <f>I11</f>
        <v>18792400512.002026</v>
      </c>
      <c r="J9" s="51">
        <f>J11</f>
        <v>133853811</v>
      </c>
      <c r="O9" s="130"/>
      <c r="AB9" s="52" t="e">
        <f>SUM(D9-#REF!-D49)</f>
        <v>#REF!</v>
      </c>
    </row>
    <row r="10" spans="1:28" x14ac:dyDescent="0.25">
      <c r="A10" s="58"/>
      <c r="B10" s="61"/>
      <c r="C10" s="62"/>
      <c r="D10" s="50"/>
      <c r="E10" s="50"/>
      <c r="F10" s="50"/>
      <c r="G10" s="50"/>
      <c r="H10" s="51"/>
      <c r="I10" s="51"/>
      <c r="J10" s="51"/>
      <c r="L10" s="57"/>
      <c r="O10" s="130"/>
    </row>
    <row r="11" spans="1:28" x14ac:dyDescent="0.25">
      <c r="A11" s="58" t="s">
        <v>374</v>
      </c>
      <c r="B11" s="63" t="s">
        <v>375</v>
      </c>
      <c r="C11" s="64">
        <f>SUM(C13+C30+C47+C53)</f>
        <v>20922395671.00174</v>
      </c>
      <c r="D11" s="65">
        <f>SUM(D13+D30+D47+D53)</f>
        <v>2129995158.9997149</v>
      </c>
      <c r="E11" s="65">
        <f>SUM(E13+E30+E47+E53)</f>
        <v>1309435738.9997146</v>
      </c>
      <c r="F11" s="65">
        <f>SUM(F13+F30+F47+F53)</f>
        <v>614946273</v>
      </c>
      <c r="G11" s="65">
        <f>SUM(G13+G30+G47)</f>
        <v>23056100</v>
      </c>
      <c r="H11" s="66">
        <f>SUM(H13+H30+H47+H53)</f>
        <v>18926254323.002026</v>
      </c>
      <c r="I11" s="66">
        <f>SUM(I13+I30+I47+I53)</f>
        <v>18792400512.002026</v>
      </c>
      <c r="J11" s="66">
        <f>SUM(J13+J30+J47+J53)</f>
        <v>133853811</v>
      </c>
      <c r="O11" s="130"/>
    </row>
    <row r="12" spans="1:28" x14ac:dyDescent="0.25">
      <c r="A12" s="58"/>
      <c r="B12" s="63"/>
      <c r="C12" s="64"/>
      <c r="D12" s="55"/>
      <c r="E12" s="55"/>
      <c r="F12" s="55"/>
      <c r="G12" s="55"/>
      <c r="H12" s="56"/>
      <c r="I12" s="56"/>
      <c r="J12" s="56"/>
      <c r="O12" s="130"/>
    </row>
    <row r="13" spans="1:28" x14ac:dyDescent="0.25">
      <c r="A13" s="58" t="s">
        <v>376</v>
      </c>
      <c r="B13" s="63" t="s">
        <v>377</v>
      </c>
      <c r="C13" s="64">
        <f t="shared" ref="C13:J13" si="2">SUM(C15+C18+C21+C26)</f>
        <v>3960945375.9997144</v>
      </c>
      <c r="D13" s="67">
        <f>SUM(D15+D18+D21+D26)</f>
        <v>697229215.99971426</v>
      </c>
      <c r="E13" s="67">
        <f t="shared" si="2"/>
        <v>69226842.999714285</v>
      </c>
      <c r="F13" s="67">
        <f t="shared" si="2"/>
        <v>614946273</v>
      </c>
      <c r="G13" s="67">
        <f>SUM(G18+G21)</f>
        <v>13056100</v>
      </c>
      <c r="H13" s="68">
        <f t="shared" si="2"/>
        <v>3263716160</v>
      </c>
      <c r="I13" s="68">
        <f t="shared" si="2"/>
        <v>3263716160</v>
      </c>
      <c r="J13" s="68">
        <f t="shared" si="2"/>
        <v>0</v>
      </c>
      <c r="O13" s="130"/>
    </row>
    <row r="14" spans="1:28" x14ac:dyDescent="0.25">
      <c r="A14" s="58"/>
      <c r="B14" s="63"/>
      <c r="C14" s="69" t="s">
        <v>378</v>
      </c>
      <c r="D14" s="55"/>
      <c r="E14" s="55"/>
      <c r="F14" s="55"/>
      <c r="G14" s="55"/>
      <c r="H14" s="56"/>
      <c r="I14" s="56"/>
      <c r="J14" s="56"/>
      <c r="O14" s="132">
        <f>SUM(D7+H7)</f>
        <v>53261930887.998352</v>
      </c>
    </row>
    <row r="15" spans="1:28" x14ac:dyDescent="0.25">
      <c r="A15" s="48" t="s">
        <v>379</v>
      </c>
      <c r="B15" s="63" t="s">
        <v>380</v>
      </c>
      <c r="C15" s="70">
        <f>+C16</f>
        <v>3098869980</v>
      </c>
      <c r="D15" s="71"/>
      <c r="E15" s="71">
        <f>E16+E18</f>
        <v>0</v>
      </c>
      <c r="F15" s="71">
        <f>F16+F18</f>
        <v>0</v>
      </c>
      <c r="G15" s="71"/>
      <c r="H15" s="68">
        <f>SUM(H16)</f>
        <v>3098869980</v>
      </c>
      <c r="I15" s="68">
        <f>SUM(I16)</f>
        <v>3098869980</v>
      </c>
      <c r="J15" s="68">
        <f>SUM(J16)</f>
        <v>0</v>
      </c>
      <c r="O15" s="130"/>
    </row>
    <row r="16" spans="1:28" x14ac:dyDescent="0.25">
      <c r="A16" s="48" t="s">
        <v>381</v>
      </c>
      <c r="B16" s="72" t="s">
        <v>382</v>
      </c>
      <c r="C16" s="70">
        <f>SUM(D16+I16)</f>
        <v>3098869980</v>
      </c>
      <c r="D16" s="55"/>
      <c r="E16" s="55"/>
      <c r="F16" s="55"/>
      <c r="G16" s="55"/>
      <c r="H16" s="56">
        <f>SUM(I16:J16)</f>
        <v>3098869980</v>
      </c>
      <c r="I16" s="56">
        <f>+'[1]Estimacion  Planificación 2023'!$O$19</f>
        <v>3098869980</v>
      </c>
      <c r="J16" s="56"/>
      <c r="O16" s="131">
        <f>1694346.99-4714954.23</f>
        <v>-3020607.24</v>
      </c>
      <c r="AB16" s="52"/>
    </row>
    <row r="17" spans="1:15" x14ac:dyDescent="0.25">
      <c r="A17" s="48"/>
      <c r="B17" s="72"/>
      <c r="C17" s="69" t="s">
        <v>378</v>
      </c>
      <c r="D17" s="55"/>
      <c r="E17" s="55"/>
      <c r="F17" s="55"/>
      <c r="G17" s="55"/>
      <c r="H17" s="56"/>
      <c r="I17" s="56"/>
      <c r="J17" s="56"/>
      <c r="O17" s="130"/>
    </row>
    <row r="18" spans="1:15" x14ac:dyDescent="0.25">
      <c r="A18" s="48" t="s">
        <v>383</v>
      </c>
      <c r="B18" s="63" t="s">
        <v>70</v>
      </c>
      <c r="C18" s="64">
        <f>SUM(C19)</f>
        <v>1100100</v>
      </c>
      <c r="D18" s="67">
        <f t="shared" ref="D18:J18" si="3">D19</f>
        <v>1100100</v>
      </c>
      <c r="E18" s="71">
        <f t="shared" si="3"/>
        <v>0</v>
      </c>
      <c r="F18" s="71">
        <f t="shared" si="3"/>
        <v>0</v>
      </c>
      <c r="G18" s="67">
        <f t="shared" si="3"/>
        <v>1100100</v>
      </c>
      <c r="H18" s="73">
        <f t="shared" si="3"/>
        <v>0</v>
      </c>
      <c r="I18" s="73">
        <f t="shared" si="3"/>
        <v>0</v>
      </c>
      <c r="J18" s="73">
        <f t="shared" si="3"/>
        <v>0</v>
      </c>
      <c r="O18" s="130"/>
    </row>
    <row r="19" spans="1:15" x14ac:dyDescent="0.25">
      <c r="A19" s="48" t="s">
        <v>384</v>
      </c>
      <c r="B19" s="72" t="s">
        <v>385</v>
      </c>
      <c r="C19" s="70">
        <f>SUM(D19+I19)</f>
        <v>1100100</v>
      </c>
      <c r="D19" s="55">
        <f>SUM(E19:G19)+J19</f>
        <v>1100100</v>
      </c>
      <c r="E19" s="55"/>
      <c r="F19" s="55"/>
      <c r="G19" s="55">
        <f>+'[2]Ingresos 2022'!$G$18</f>
        <v>1100100</v>
      </c>
      <c r="H19" s="56"/>
      <c r="I19" s="56"/>
      <c r="J19" s="56"/>
      <c r="O19" s="130"/>
    </row>
    <row r="20" spans="1:15" x14ac:dyDescent="0.25">
      <c r="A20" s="48"/>
      <c r="B20" s="72"/>
      <c r="C20" s="69" t="s">
        <v>378</v>
      </c>
      <c r="D20" s="55"/>
      <c r="E20" s="55"/>
      <c r="F20" s="55"/>
      <c r="G20" s="55"/>
      <c r="H20" s="56"/>
      <c r="I20" s="56"/>
      <c r="J20" s="56"/>
    </row>
    <row r="21" spans="1:15" x14ac:dyDescent="0.25">
      <c r="A21" s="48" t="s">
        <v>386</v>
      </c>
      <c r="B21" s="63" t="s">
        <v>387</v>
      </c>
      <c r="C21" s="64">
        <f>SUM(C22+C23+C24)</f>
        <v>860975295.99971426</v>
      </c>
      <c r="D21" s="67">
        <f>SUM(D22+D23)</f>
        <v>696129115.99971426</v>
      </c>
      <c r="E21" s="67">
        <f>SUM(E22+E23)</f>
        <v>69226842.999714285</v>
      </c>
      <c r="F21" s="67">
        <f>SUM(F22+F23)</f>
        <v>614946273</v>
      </c>
      <c r="G21" s="67">
        <f>SUM(G22+G23)</f>
        <v>11956000</v>
      </c>
      <c r="H21" s="74">
        <f>SUM(H24)</f>
        <v>164846180</v>
      </c>
      <c r="I21" s="74">
        <f>SUM(I22:I24)</f>
        <v>164846180</v>
      </c>
      <c r="J21" s="74">
        <f>SUM(J22:J23)</f>
        <v>0</v>
      </c>
    </row>
    <row r="22" spans="1:15" x14ac:dyDescent="0.25">
      <c r="A22" s="48" t="s">
        <v>388</v>
      </c>
      <c r="B22" s="72" t="s">
        <v>389</v>
      </c>
      <c r="C22" s="70">
        <f>SUM(D22+I22)</f>
        <v>81182842.999714285</v>
      </c>
      <c r="D22" s="75">
        <f>SUM(E22:G22)+J22</f>
        <v>81182842.999714285</v>
      </c>
      <c r="E22" s="76">
        <f>+'[3]Ingresos 2022'!$E$21+0.13</f>
        <v>69226842.999714285</v>
      </c>
      <c r="F22" s="76"/>
      <c r="G22" s="76">
        <f>+'[2]Ingresos 2022'!$G$21</f>
        <v>11956000</v>
      </c>
      <c r="H22" s="56"/>
      <c r="I22" s="56"/>
      <c r="J22" s="56"/>
    </row>
    <row r="23" spans="1:15" x14ac:dyDescent="0.25">
      <c r="A23" s="48" t="s">
        <v>390</v>
      </c>
      <c r="B23" s="72" t="s">
        <v>391</v>
      </c>
      <c r="C23" s="70">
        <f>SUM(D23+I23)</f>
        <v>614946273</v>
      </c>
      <c r="D23" s="75">
        <f>SUM(E23:G23)+J23</f>
        <v>614946273</v>
      </c>
      <c r="E23" s="76"/>
      <c r="F23" s="76">
        <v>614946273</v>
      </c>
      <c r="G23" s="76"/>
      <c r="H23" s="56"/>
      <c r="I23" s="56"/>
      <c r="J23" s="56"/>
    </row>
    <row r="24" spans="1:15" ht="12.75" customHeight="1" x14ac:dyDescent="0.25">
      <c r="A24" s="48"/>
      <c r="B24" s="72" t="s">
        <v>392</v>
      </c>
      <c r="C24" s="70">
        <f>SUM(D24+I24)</f>
        <v>164846180</v>
      </c>
      <c r="D24" s="76"/>
      <c r="E24" s="77"/>
      <c r="F24" s="77"/>
      <c r="G24" s="77"/>
      <c r="H24" s="56">
        <f>SUM(I24)</f>
        <v>164846180</v>
      </c>
      <c r="I24" s="56">
        <v>164846180</v>
      </c>
      <c r="J24" s="56"/>
    </row>
    <row r="25" spans="1:15" ht="12.75" customHeight="1" x14ac:dyDescent="0.25">
      <c r="A25" s="48"/>
      <c r="B25" s="63"/>
      <c r="C25" s="70"/>
      <c r="D25" s="76"/>
      <c r="E25" s="77"/>
      <c r="F25" s="77"/>
      <c r="G25" s="77"/>
      <c r="H25" s="56"/>
      <c r="I25" s="56"/>
      <c r="J25" s="56"/>
    </row>
    <row r="26" spans="1:15" hidden="1" x14ac:dyDescent="0.25">
      <c r="A26" s="48" t="s">
        <v>393</v>
      </c>
      <c r="B26" s="63" t="s">
        <v>394</v>
      </c>
      <c r="C26" s="64">
        <f>SUM(D26)</f>
        <v>0</v>
      </c>
      <c r="D26" s="77">
        <f>SUM(E26:G26)</f>
        <v>0</v>
      </c>
      <c r="E26" s="50">
        <f t="shared" ref="E26:J27" si="4">E27</f>
        <v>0</v>
      </c>
      <c r="F26" s="50">
        <f t="shared" si="4"/>
        <v>0</v>
      </c>
      <c r="G26" s="50" t="str">
        <f t="shared" si="4"/>
        <v>-</v>
      </c>
      <c r="H26" s="51">
        <f t="shared" si="4"/>
        <v>0</v>
      </c>
      <c r="I26" s="51">
        <f t="shared" si="4"/>
        <v>0</v>
      </c>
      <c r="J26" s="51">
        <f t="shared" si="4"/>
        <v>0</v>
      </c>
    </row>
    <row r="27" spans="1:15" hidden="1" x14ac:dyDescent="0.25">
      <c r="A27" s="48" t="s">
        <v>395</v>
      </c>
      <c r="B27" s="63" t="s">
        <v>396</v>
      </c>
      <c r="C27" s="70">
        <f>SUM(D27)</f>
        <v>0</v>
      </c>
      <c r="D27" s="76">
        <f>SUM(E27:G27)</f>
        <v>0</v>
      </c>
      <c r="E27" s="55">
        <f t="shared" si="4"/>
        <v>0</v>
      </c>
      <c r="F27" s="55">
        <f t="shared" si="4"/>
        <v>0</v>
      </c>
      <c r="G27" s="55" t="str">
        <f t="shared" si="4"/>
        <v>-</v>
      </c>
      <c r="H27" s="56">
        <f t="shared" si="4"/>
        <v>0</v>
      </c>
      <c r="I27" s="56">
        <f t="shared" si="4"/>
        <v>0</v>
      </c>
      <c r="J27" s="56">
        <f t="shared" si="4"/>
        <v>0</v>
      </c>
    </row>
    <row r="28" spans="1:15" hidden="1" x14ac:dyDescent="0.25">
      <c r="A28" s="48" t="s">
        <v>397</v>
      </c>
      <c r="B28" s="72" t="s">
        <v>398</v>
      </c>
      <c r="C28" s="70">
        <f>SUM(D28+I28)</f>
        <v>0</v>
      </c>
      <c r="D28" s="55">
        <f>SUM(E28:G28)+J28</f>
        <v>0</v>
      </c>
      <c r="E28" s="55"/>
      <c r="F28" s="55"/>
      <c r="G28" s="55" t="s">
        <v>399</v>
      </c>
      <c r="H28" s="56"/>
      <c r="I28" s="56"/>
      <c r="J28" s="56"/>
    </row>
    <row r="29" spans="1:15" hidden="1" x14ac:dyDescent="0.25">
      <c r="A29" s="48"/>
      <c r="B29" s="72"/>
      <c r="C29" s="69" t="s">
        <v>378</v>
      </c>
      <c r="D29" s="55"/>
      <c r="E29" s="55"/>
      <c r="F29" s="55"/>
      <c r="G29" s="55"/>
      <c r="H29" s="56"/>
      <c r="I29" s="56"/>
      <c r="J29" s="56"/>
    </row>
    <row r="30" spans="1:15" x14ac:dyDescent="0.25">
      <c r="A30" s="58" t="s">
        <v>400</v>
      </c>
      <c r="B30" s="63" t="s">
        <v>401</v>
      </c>
      <c r="C30" s="78">
        <f>SUM(C31+C36+C41)</f>
        <v>16030959706.002026</v>
      </c>
      <c r="D30" s="50">
        <f>SUM(D31+D36+D41)</f>
        <v>1103277095.0000005</v>
      </c>
      <c r="E30" s="50">
        <f>SUM(E31+E36+E41)</f>
        <v>969423284.00000036</v>
      </c>
      <c r="F30" s="50">
        <f>SUM(F31+F36+F41)</f>
        <v>0</v>
      </c>
      <c r="G30" s="50">
        <f>SUM(G31+G36+G41)</f>
        <v>0</v>
      </c>
      <c r="H30" s="51">
        <f>H31+H36+H41</f>
        <v>15061536422.002026</v>
      </c>
      <c r="I30" s="51">
        <f>I31+I36+I41</f>
        <v>14927682611.002026</v>
      </c>
      <c r="J30" s="51">
        <f>J31+J36+J41</f>
        <v>133853811</v>
      </c>
    </row>
    <row r="31" spans="1:15" x14ac:dyDescent="0.25">
      <c r="A31" s="48" t="s">
        <v>402</v>
      </c>
      <c r="B31" s="63" t="s">
        <v>403</v>
      </c>
      <c r="C31" s="64">
        <f>SUM(C32)</f>
        <v>8410221392</v>
      </c>
      <c r="D31" s="67">
        <f>SUM(D32)</f>
        <v>0</v>
      </c>
      <c r="E31" s="67">
        <f>SUM(E32)</f>
        <v>0</v>
      </c>
      <c r="F31" s="67">
        <f>SUM(F32)</f>
        <v>0</v>
      </c>
      <c r="G31" s="67">
        <f>SUM(G32)</f>
        <v>0</v>
      </c>
      <c r="H31" s="51">
        <f>SUM(H33)</f>
        <v>8410221392</v>
      </c>
      <c r="I31" s="51">
        <f>SUM(I33:I34)</f>
        <v>8410221392</v>
      </c>
      <c r="J31" s="51">
        <f>SUM(J33:J34)</f>
        <v>0</v>
      </c>
    </row>
    <row r="32" spans="1:15" x14ac:dyDescent="0.25">
      <c r="A32" s="48" t="s">
        <v>404</v>
      </c>
      <c r="B32" s="72" t="s">
        <v>405</v>
      </c>
      <c r="C32" s="64">
        <f t="shared" ref="C32:J32" si="5">SUM(C33:C34)</f>
        <v>8410221392</v>
      </c>
      <c r="D32" s="67">
        <f t="shared" si="5"/>
        <v>0</v>
      </c>
      <c r="E32" s="67">
        <f t="shared" si="5"/>
        <v>0</v>
      </c>
      <c r="F32" s="67">
        <f t="shared" si="5"/>
        <v>0</v>
      </c>
      <c r="G32" s="67">
        <f t="shared" si="5"/>
        <v>0</v>
      </c>
      <c r="H32" s="67">
        <f t="shared" si="5"/>
        <v>8410221392</v>
      </c>
      <c r="I32" s="67">
        <f t="shared" si="5"/>
        <v>8410221392</v>
      </c>
      <c r="J32" s="67">
        <f t="shared" si="5"/>
        <v>0</v>
      </c>
    </row>
    <row r="33" spans="1:11" x14ac:dyDescent="0.25">
      <c r="A33" s="48"/>
      <c r="B33" s="72" t="s">
        <v>406</v>
      </c>
      <c r="C33" s="70">
        <f>SUM(D33)</f>
        <v>0</v>
      </c>
      <c r="D33" s="55">
        <f>SUM(E33:G33)+J33</f>
        <v>0</v>
      </c>
      <c r="E33" s="55">
        <f>+'[4]Ingresos 2022'!$E$32-302941637.09</f>
        <v>0</v>
      </c>
      <c r="F33" s="79"/>
      <c r="G33" s="79"/>
      <c r="H33" s="56">
        <f>SUM(I33)</f>
        <v>8410221392</v>
      </c>
      <c r="I33" s="56">
        <f>+'[4]Ingresos 2022'!$I$33+0.25</f>
        <v>8410221392</v>
      </c>
      <c r="J33" s="56"/>
      <c r="K33" s="52"/>
    </row>
    <row r="34" spans="1:11" x14ac:dyDescent="0.25">
      <c r="A34" s="48"/>
      <c r="B34" s="72" t="s">
        <v>407</v>
      </c>
      <c r="C34" s="70">
        <f>+H33</f>
        <v>8410221392</v>
      </c>
      <c r="D34" s="55">
        <f>SUM(E34:G34)+J34</f>
        <v>0</v>
      </c>
      <c r="E34" s="55"/>
      <c r="F34" s="55"/>
      <c r="G34" s="55"/>
      <c r="H34" s="56">
        <f>SUM(I34:J34)</f>
        <v>0</v>
      </c>
      <c r="I34" s="56"/>
      <c r="J34" s="56"/>
    </row>
    <row r="35" spans="1:11" x14ac:dyDescent="0.25">
      <c r="A35" s="48"/>
      <c r="B35" s="72"/>
      <c r="C35" s="80" t="s">
        <v>378</v>
      </c>
      <c r="D35" s="55"/>
      <c r="E35" s="55"/>
      <c r="F35" s="55"/>
      <c r="G35" s="55"/>
      <c r="H35" s="56"/>
      <c r="I35" s="56"/>
      <c r="J35" s="56"/>
    </row>
    <row r="36" spans="1:11" x14ac:dyDescent="0.25">
      <c r="A36" s="48" t="s">
        <v>408</v>
      </c>
      <c r="B36" s="63" t="s">
        <v>409</v>
      </c>
      <c r="C36" s="78">
        <f>SUM(C37:C39)</f>
        <v>7525746691.0020256</v>
      </c>
      <c r="D36" s="50">
        <f>SUM(D37:D37)</f>
        <v>1103277095.0000005</v>
      </c>
      <c r="E36" s="50">
        <f>SUM(E37:E37)</f>
        <v>969423284.00000036</v>
      </c>
      <c r="F36" s="55">
        <f>SUM(F37:F37)</f>
        <v>0</v>
      </c>
      <c r="G36" s="50">
        <f>SUM(G37:G38)</f>
        <v>0</v>
      </c>
      <c r="H36" s="51">
        <f>SUM(H37:H39)</f>
        <v>6556323407.0020256</v>
      </c>
      <c r="I36" s="51">
        <f>SUM(I37:I39)</f>
        <v>6422469596.0020256</v>
      </c>
      <c r="J36" s="51">
        <f>SUM(J37:J39)</f>
        <v>133853811</v>
      </c>
    </row>
    <row r="37" spans="1:11" x14ac:dyDescent="0.25">
      <c r="A37" s="48"/>
      <c r="B37" s="72" t="s">
        <v>410</v>
      </c>
      <c r="C37" s="70">
        <f>SUM(D37+I37)</f>
        <v>1103277095.0000005</v>
      </c>
      <c r="D37" s="55">
        <f>SUM(E37:G37)+J37</f>
        <v>1103277095.0000005</v>
      </c>
      <c r="E37" s="55">
        <f>+'[5]proyección Ingresos'!$K$22+0.07</f>
        <v>969423284.00000036</v>
      </c>
      <c r="F37" s="55"/>
      <c r="G37" s="55">
        <v>0</v>
      </c>
      <c r="H37" s="56">
        <f>SUM(I37:J37)</f>
        <v>133853811</v>
      </c>
      <c r="I37" s="56"/>
      <c r="J37" s="56">
        <f>+'[6]Ingresos 2022'!$J$35-0.19</f>
        <v>133853811</v>
      </c>
    </row>
    <row r="38" spans="1:11" x14ac:dyDescent="0.25">
      <c r="A38" s="48"/>
      <c r="B38" s="81"/>
      <c r="C38" s="70"/>
      <c r="D38" s="55"/>
      <c r="E38" s="55"/>
      <c r="F38" s="55"/>
      <c r="G38" s="55">
        <v>0</v>
      </c>
      <c r="H38" s="56"/>
      <c r="I38" s="56"/>
      <c r="J38" s="56"/>
    </row>
    <row r="39" spans="1:11" x14ac:dyDescent="0.25">
      <c r="A39" s="48" t="s">
        <v>411</v>
      </c>
      <c r="B39" s="72" t="s">
        <v>412</v>
      </c>
      <c r="C39" s="70">
        <f>SUM(D39+I39)</f>
        <v>6422469596.0020256</v>
      </c>
      <c r="D39" s="55"/>
      <c r="E39" s="55"/>
      <c r="F39" s="55"/>
      <c r="G39" s="55">
        <v>0</v>
      </c>
      <c r="H39" s="56">
        <f>SUM(I39:J39)</f>
        <v>6422469596.0020256</v>
      </c>
      <c r="I39" s="56">
        <f>+'[5]proyección Ingresos'!$E$22+[7]Resumen!$B$12+0.05</f>
        <v>6422469596.0020256</v>
      </c>
      <c r="J39" s="56"/>
    </row>
    <row r="40" spans="1:11" x14ac:dyDescent="0.25">
      <c r="A40" s="48"/>
      <c r="B40" s="81"/>
      <c r="C40" s="64"/>
      <c r="D40" s="55"/>
      <c r="E40" s="55"/>
      <c r="F40" s="55"/>
      <c r="G40" s="55"/>
      <c r="H40" s="56"/>
      <c r="I40" s="56"/>
      <c r="J40" s="56"/>
    </row>
    <row r="41" spans="1:11" ht="14.25" customHeight="1" x14ac:dyDescent="0.25">
      <c r="A41" s="48" t="s">
        <v>413</v>
      </c>
      <c r="B41" s="63" t="s">
        <v>414</v>
      </c>
      <c r="C41" s="64">
        <f>SUM(C42)</f>
        <v>94991623</v>
      </c>
      <c r="D41" s="67">
        <f t="shared" ref="D41:J41" si="6">SUM(D42)</f>
        <v>0</v>
      </c>
      <c r="E41" s="67">
        <f t="shared" si="6"/>
        <v>0</v>
      </c>
      <c r="F41" s="67">
        <f t="shared" si="6"/>
        <v>0</v>
      </c>
      <c r="G41" s="67">
        <f t="shared" si="6"/>
        <v>0</v>
      </c>
      <c r="H41" s="68">
        <f t="shared" si="6"/>
        <v>94991623</v>
      </c>
      <c r="I41" s="68">
        <f t="shared" si="6"/>
        <v>94991623</v>
      </c>
      <c r="J41" s="68">
        <f t="shared" si="6"/>
        <v>0</v>
      </c>
    </row>
    <row r="42" spans="1:11" ht="14.25" customHeight="1" x14ac:dyDescent="0.25">
      <c r="A42" s="48" t="s">
        <v>415</v>
      </c>
      <c r="B42" s="82" t="s">
        <v>416</v>
      </c>
      <c r="C42" s="64">
        <f>SUM(C43+C45)</f>
        <v>94991623</v>
      </c>
      <c r="D42" s="50">
        <f>SUM(D43:D45)</f>
        <v>0</v>
      </c>
      <c r="E42" s="50">
        <f>SUM(E43:E46)</f>
        <v>0</v>
      </c>
      <c r="F42" s="55">
        <f>SUM(F43)</f>
        <v>0</v>
      </c>
      <c r="G42" s="55">
        <f>SUM(G43)</f>
        <v>0</v>
      </c>
      <c r="H42" s="56">
        <f>SUM(H43:H45)</f>
        <v>94991623</v>
      </c>
      <c r="I42" s="56">
        <f>SUM(I43:I45)</f>
        <v>94991623</v>
      </c>
      <c r="J42" s="56">
        <f>SUM(J43:J45)</f>
        <v>0</v>
      </c>
    </row>
    <row r="43" spans="1:11" x14ac:dyDescent="0.25">
      <c r="A43" s="48"/>
      <c r="B43" s="72" t="s">
        <v>406</v>
      </c>
      <c r="C43" s="70">
        <f>SUM(D43+I43)</f>
        <v>0</v>
      </c>
      <c r="D43" s="55">
        <f>SUM(E43+F43+G43+J43)</f>
        <v>0</v>
      </c>
      <c r="E43" s="55">
        <f>23997699-23997699</f>
        <v>0</v>
      </c>
      <c r="F43" s="55">
        <v>0</v>
      </c>
      <c r="G43" s="55">
        <v>0</v>
      </c>
      <c r="H43" s="56"/>
      <c r="I43" s="56"/>
      <c r="J43" s="56"/>
    </row>
    <row r="44" spans="1:11" x14ac:dyDescent="0.25">
      <c r="A44" s="48"/>
      <c r="B44" s="83"/>
      <c r="C44" s="70"/>
      <c r="D44" s="55">
        <f>SUM(E44+F44+G44+J44)</f>
        <v>0</v>
      </c>
      <c r="E44" s="55"/>
      <c r="F44" s="55"/>
      <c r="G44" s="55"/>
      <c r="H44" s="56"/>
      <c r="I44" s="56"/>
      <c r="J44" s="56"/>
    </row>
    <row r="45" spans="1:11" ht="26.4" x14ac:dyDescent="0.25">
      <c r="A45" s="48" t="s">
        <v>415</v>
      </c>
      <c r="B45" s="72" t="s">
        <v>417</v>
      </c>
      <c r="C45" s="70">
        <f>SUM(D45+I45)</f>
        <v>94991623</v>
      </c>
      <c r="D45" s="55">
        <f>SUM(E45+F45+G45+J45)</f>
        <v>0</v>
      </c>
      <c r="E45" s="55"/>
      <c r="F45" s="55"/>
      <c r="G45" s="55"/>
      <c r="H45" s="56">
        <f>SUM(I45:J45)</f>
        <v>94991623</v>
      </c>
      <c r="I45" s="56">
        <f>+'[4]Ingresos 2022'!$I$44-0.05</f>
        <v>94991623</v>
      </c>
      <c r="J45" s="56"/>
    </row>
    <row r="46" spans="1:11" x14ac:dyDescent="0.25">
      <c r="A46" s="48"/>
      <c r="B46" s="72"/>
      <c r="C46" s="70"/>
      <c r="D46" s="55"/>
      <c r="E46" s="55"/>
      <c r="F46" s="55"/>
      <c r="G46" s="55"/>
      <c r="H46" s="56"/>
      <c r="I46" s="56"/>
      <c r="J46" s="56"/>
    </row>
    <row r="47" spans="1:11" x14ac:dyDescent="0.25">
      <c r="A47" s="48" t="s">
        <v>418</v>
      </c>
      <c r="B47" s="63" t="s">
        <v>419</v>
      </c>
      <c r="C47" s="64">
        <f>SUM(C48)</f>
        <v>881787353</v>
      </c>
      <c r="D47" s="67">
        <f t="shared" ref="D47:J47" si="7">D48</f>
        <v>280785612</v>
      </c>
      <c r="E47" s="67">
        <f t="shared" si="7"/>
        <v>270785612</v>
      </c>
      <c r="F47" s="67">
        <f t="shared" si="7"/>
        <v>0</v>
      </c>
      <c r="G47" s="67">
        <f t="shared" si="7"/>
        <v>10000000</v>
      </c>
      <c r="H47" s="68">
        <f t="shared" si="7"/>
        <v>601001741</v>
      </c>
      <c r="I47" s="68">
        <f t="shared" si="7"/>
        <v>601001741</v>
      </c>
      <c r="J47" s="68">
        <f t="shared" si="7"/>
        <v>0</v>
      </c>
    </row>
    <row r="48" spans="1:11" x14ac:dyDescent="0.25">
      <c r="A48" s="48" t="s">
        <v>420</v>
      </c>
      <c r="B48" s="63" t="s">
        <v>421</v>
      </c>
      <c r="C48" s="64">
        <f>SUM(C49:C51)</f>
        <v>881787353</v>
      </c>
      <c r="D48" s="77">
        <f>SUM(D49:D51)</f>
        <v>280785612</v>
      </c>
      <c r="E48" s="77">
        <f>SUM(E49)</f>
        <v>270785612</v>
      </c>
      <c r="F48" s="77"/>
      <c r="G48" s="77">
        <f>SUM(G49:G51)</f>
        <v>10000000</v>
      </c>
      <c r="H48" s="74">
        <f>SUM(H49:H51)</f>
        <v>601001741</v>
      </c>
      <c r="I48" s="74">
        <f>SUM(I49:I51)</f>
        <v>601001741</v>
      </c>
      <c r="J48" s="74">
        <f>SUM(J49:J51)</f>
        <v>0</v>
      </c>
    </row>
    <row r="49" spans="1:12" x14ac:dyDescent="0.25">
      <c r="A49" s="48" t="s">
        <v>422</v>
      </c>
      <c r="B49" s="72" t="s">
        <v>423</v>
      </c>
      <c r="C49" s="70">
        <f>SUM(D49+I49)</f>
        <v>270785612</v>
      </c>
      <c r="D49" s="55">
        <f>SUM(E49+F49+G49+J49)</f>
        <v>270785612</v>
      </c>
      <c r="E49" s="76">
        <f>229400000+41385612</f>
        <v>270785612</v>
      </c>
      <c r="F49" s="76"/>
      <c r="G49" s="76"/>
      <c r="H49" s="84">
        <f>SUM(I49:J49)</f>
        <v>0</v>
      </c>
      <c r="I49" s="84"/>
      <c r="J49" s="84"/>
    </row>
    <row r="50" spans="1:12" ht="24.75" customHeight="1" x14ac:dyDescent="0.25">
      <c r="A50" s="48" t="s">
        <v>424</v>
      </c>
      <c r="B50" s="72" t="s">
        <v>425</v>
      </c>
      <c r="C50" s="70">
        <f>SUM(D50+I50)</f>
        <v>10000000</v>
      </c>
      <c r="D50" s="55">
        <f>SUM(E50+F50+G50+J50)</f>
        <v>10000000</v>
      </c>
      <c r="E50" s="76"/>
      <c r="F50" s="76"/>
      <c r="G50" s="76">
        <f>10000000</f>
        <v>10000000</v>
      </c>
      <c r="H50" s="84"/>
      <c r="I50" s="84"/>
      <c r="J50" s="84"/>
    </row>
    <row r="51" spans="1:12" x14ac:dyDescent="0.25">
      <c r="A51" s="48" t="s">
        <v>426</v>
      </c>
      <c r="B51" s="72" t="s">
        <v>427</v>
      </c>
      <c r="C51" s="70">
        <f>SUM(D51+I51)</f>
        <v>601001741</v>
      </c>
      <c r="D51" s="55">
        <f>SUM(E51+F51+G51+J51)</f>
        <v>0</v>
      </c>
      <c r="E51" s="76"/>
      <c r="F51" s="76"/>
      <c r="G51" s="76"/>
      <c r="H51" s="56">
        <f>SUM(I51:J51)</f>
        <v>601001741</v>
      </c>
      <c r="I51" s="84">
        <f>545284931+55716810</f>
        <v>601001741</v>
      </c>
      <c r="J51" s="84"/>
    </row>
    <row r="52" spans="1:12" x14ac:dyDescent="0.25">
      <c r="A52" s="48"/>
      <c r="B52" s="72"/>
      <c r="C52" s="70"/>
      <c r="D52" s="76"/>
      <c r="E52" s="76"/>
      <c r="F52" s="76"/>
      <c r="G52" s="76"/>
      <c r="H52" s="84"/>
      <c r="I52" s="84"/>
      <c r="J52" s="84"/>
      <c r="L52" s="85"/>
    </row>
    <row r="53" spans="1:12" x14ac:dyDescent="0.25">
      <c r="A53" s="58" t="s">
        <v>428</v>
      </c>
      <c r="B53" s="63" t="s">
        <v>317</v>
      </c>
      <c r="C53" s="64">
        <f t="shared" ref="C53:I53" si="8">SUM(C54)</f>
        <v>48703236</v>
      </c>
      <c r="D53" s="77">
        <f t="shared" si="8"/>
        <v>48703236</v>
      </c>
      <c r="E53" s="77">
        <f t="shared" si="8"/>
        <v>0</v>
      </c>
      <c r="F53" s="77">
        <f t="shared" si="8"/>
        <v>0</v>
      </c>
      <c r="G53" s="77">
        <f>SUM(G54)</f>
        <v>48703236</v>
      </c>
      <c r="H53" s="84">
        <f t="shared" si="8"/>
        <v>0</v>
      </c>
      <c r="I53" s="84">
        <f t="shared" si="8"/>
        <v>0</v>
      </c>
      <c r="J53" s="74">
        <f>SUM(J54)</f>
        <v>0</v>
      </c>
    </row>
    <row r="54" spans="1:12" x14ac:dyDescent="0.25">
      <c r="A54" s="58" t="s">
        <v>429</v>
      </c>
      <c r="B54" s="63" t="s">
        <v>430</v>
      </c>
      <c r="C54" s="64">
        <f>SUM(C55:C55)</f>
        <v>48703236</v>
      </c>
      <c r="D54" s="77">
        <f>SUM(D55:D55)</f>
        <v>48703236</v>
      </c>
      <c r="E54" s="77">
        <f>SUM(E55)</f>
        <v>0</v>
      </c>
      <c r="F54" s="77">
        <f>SUM(F55:F55)</f>
        <v>0</v>
      </c>
      <c r="G54" s="77">
        <f>SUM(G55:G55)</f>
        <v>48703236</v>
      </c>
      <c r="H54" s="84">
        <f>SUM(H55)</f>
        <v>0</v>
      </c>
      <c r="I54" s="84"/>
      <c r="J54" s="84">
        <f>SUM(J55)</f>
        <v>0</v>
      </c>
    </row>
    <row r="55" spans="1:12" x14ac:dyDescent="0.25">
      <c r="A55" s="48" t="s">
        <v>431</v>
      </c>
      <c r="B55" s="72" t="s">
        <v>432</v>
      </c>
      <c r="C55" s="70">
        <f>SUM(D55+I55)</f>
        <v>48703236</v>
      </c>
      <c r="D55" s="55">
        <f>SUM(E55:G55)+J55</f>
        <v>48703236</v>
      </c>
      <c r="E55" s="76">
        <v>0</v>
      </c>
      <c r="F55" s="76"/>
      <c r="G55" s="76">
        <v>48703236</v>
      </c>
      <c r="H55" s="56">
        <f>SUM(I55:J55)</f>
        <v>0</v>
      </c>
      <c r="I55" s="84"/>
      <c r="J55" s="84"/>
    </row>
    <row r="56" spans="1:12" x14ac:dyDescent="0.25">
      <c r="A56" s="86"/>
      <c r="B56" s="72"/>
      <c r="C56" s="70"/>
      <c r="D56" s="76"/>
      <c r="E56" s="76"/>
      <c r="F56" s="76"/>
      <c r="G56" s="76"/>
      <c r="H56" s="56"/>
      <c r="I56" s="84"/>
      <c r="J56" s="84"/>
    </row>
    <row r="57" spans="1:12" x14ac:dyDescent="0.25">
      <c r="A57" s="48"/>
      <c r="B57" s="63" t="s">
        <v>433</v>
      </c>
      <c r="C57" s="87">
        <f>SUM(C58+C76)</f>
        <v>30176774724.99662</v>
      </c>
      <c r="D57" s="77">
        <f>+D58+D76</f>
        <v>12038222454</v>
      </c>
      <c r="E57" s="77">
        <f>+E58+E76</f>
        <v>3586685872</v>
      </c>
      <c r="F57" s="77">
        <f>+F58+F76</f>
        <v>500000000</v>
      </c>
      <c r="G57" s="77">
        <f>SUM(G58+G76)</f>
        <v>5922629901</v>
      </c>
      <c r="H57" s="74">
        <f>+H58+H76</f>
        <v>20167458951.99662</v>
      </c>
      <c r="I57" s="74">
        <f>+I58+I76</f>
        <v>18138552270.99662</v>
      </c>
      <c r="J57" s="74">
        <f>+J58+J76</f>
        <v>2028906681</v>
      </c>
    </row>
    <row r="58" spans="1:12" x14ac:dyDescent="0.25">
      <c r="A58" s="88" t="s">
        <v>434</v>
      </c>
      <c r="B58" s="63" t="s">
        <v>435</v>
      </c>
      <c r="C58" s="62">
        <f>SUM(C59+C64+C70)</f>
        <v>16512575740.999954</v>
      </c>
      <c r="D58" s="89">
        <f>D59+D64+D70</f>
        <v>3417421807</v>
      </c>
      <c r="E58" s="89">
        <f>E59+E64+E70</f>
        <v>283682652.00000006</v>
      </c>
      <c r="F58" s="89">
        <f>F59+F64+F70</f>
        <v>0</v>
      </c>
      <c r="G58" s="89">
        <f>G59+G64+G70</f>
        <v>3104832474</v>
      </c>
      <c r="H58" s="90">
        <f>H64+H70</f>
        <v>13124060614.999954</v>
      </c>
      <c r="I58" s="90">
        <f>I64</f>
        <v>13095153933.999954</v>
      </c>
      <c r="J58" s="90">
        <f>SUM(J64+J70)</f>
        <v>28906681</v>
      </c>
    </row>
    <row r="59" spans="1:12" x14ac:dyDescent="0.25">
      <c r="A59" s="58" t="s">
        <v>436</v>
      </c>
      <c r="B59" s="63" t="s">
        <v>437</v>
      </c>
      <c r="C59" s="64">
        <f>D59+H59</f>
        <v>426000000</v>
      </c>
      <c r="D59" s="50">
        <f>SUM(D62:D62)</f>
        <v>426000000</v>
      </c>
      <c r="E59" s="50">
        <f>SUM(E61)</f>
        <v>0</v>
      </c>
      <c r="F59" s="50">
        <f>F61</f>
        <v>0</v>
      </c>
      <c r="G59" s="50">
        <f>G61</f>
        <v>426000000</v>
      </c>
      <c r="H59" s="51">
        <f>H61</f>
        <v>0</v>
      </c>
      <c r="I59" s="51">
        <f>I61</f>
        <v>0</v>
      </c>
      <c r="J59" s="51">
        <f>J61</f>
        <v>0</v>
      </c>
    </row>
    <row r="60" spans="1:12" x14ac:dyDescent="0.25">
      <c r="A60" s="91"/>
      <c r="B60" s="81"/>
      <c r="C60" s="64"/>
      <c r="D60" s="55"/>
      <c r="E60" s="55"/>
      <c r="F60" s="55"/>
      <c r="G60" s="55"/>
      <c r="H60" s="56"/>
      <c r="I60" s="56"/>
      <c r="J60" s="56"/>
    </row>
    <row r="61" spans="1:12" x14ac:dyDescent="0.25">
      <c r="A61" s="48" t="s">
        <v>438</v>
      </c>
      <c r="B61" s="63" t="s">
        <v>439</v>
      </c>
      <c r="C61" s="64">
        <f>SUM(C62:C62)</f>
        <v>426000000</v>
      </c>
      <c r="D61" s="50">
        <f>SUM(C62:C62)</f>
        <v>426000000</v>
      </c>
      <c r="E61" s="55">
        <f>SUM(E62)</f>
        <v>0</v>
      </c>
      <c r="F61" s="55">
        <f>SUM(F62:F62)</f>
        <v>0</v>
      </c>
      <c r="G61" s="55">
        <f>SUM(G62:G62)</f>
        <v>426000000</v>
      </c>
      <c r="H61" s="56">
        <f>H62</f>
        <v>0</v>
      </c>
      <c r="I61" s="56">
        <f>SUM(I62:I62)</f>
        <v>0</v>
      </c>
      <c r="J61" s="56">
        <f>SUM(J62:J62)</f>
        <v>0</v>
      </c>
    </row>
    <row r="62" spans="1:12" x14ac:dyDescent="0.25">
      <c r="A62" s="48" t="s">
        <v>440</v>
      </c>
      <c r="B62" s="72" t="s">
        <v>441</v>
      </c>
      <c r="C62" s="70">
        <f>SUM(D62+I62)</f>
        <v>426000000</v>
      </c>
      <c r="D62" s="55">
        <f>SUM(E62:G62)+J62</f>
        <v>426000000</v>
      </c>
      <c r="E62" s="55">
        <v>0</v>
      </c>
      <c r="F62" s="55"/>
      <c r="G62" s="55">
        <f>+'[2]Ingresos 2022'!$G$60</f>
        <v>426000000</v>
      </c>
      <c r="H62" s="56">
        <v>0</v>
      </c>
      <c r="I62" s="56">
        <v>0</v>
      </c>
      <c r="J62" s="56">
        <v>0</v>
      </c>
    </row>
    <row r="63" spans="1:12" x14ac:dyDescent="0.25">
      <c r="A63" s="48"/>
      <c r="B63" s="72"/>
      <c r="C63" s="64"/>
      <c r="D63" s="55"/>
      <c r="E63" s="55"/>
      <c r="F63" s="55"/>
      <c r="G63" s="55"/>
      <c r="H63" s="56"/>
      <c r="I63" s="56"/>
      <c r="J63" s="56"/>
    </row>
    <row r="64" spans="1:12" x14ac:dyDescent="0.25">
      <c r="A64" s="58" t="s">
        <v>442</v>
      </c>
      <c r="B64" s="63" t="s">
        <v>443</v>
      </c>
      <c r="C64" s="64">
        <f>+C65</f>
        <v>13407743266.999954</v>
      </c>
      <c r="D64" s="50">
        <f t="shared" ref="D64:J64" si="9">D65</f>
        <v>312589333.00000006</v>
      </c>
      <c r="E64" s="50">
        <f t="shared" si="9"/>
        <v>283682652.00000006</v>
      </c>
      <c r="F64" s="50">
        <f t="shared" si="9"/>
        <v>0</v>
      </c>
      <c r="G64" s="50">
        <f t="shared" si="9"/>
        <v>0</v>
      </c>
      <c r="H64" s="51">
        <f t="shared" si="9"/>
        <v>13124060614.999954</v>
      </c>
      <c r="I64" s="51">
        <f t="shared" si="9"/>
        <v>13095153933.999954</v>
      </c>
      <c r="J64" s="51">
        <f t="shared" si="9"/>
        <v>28906681</v>
      </c>
    </row>
    <row r="65" spans="1:10" x14ac:dyDescent="0.25">
      <c r="A65" s="48" t="s">
        <v>444</v>
      </c>
      <c r="B65" s="72" t="s">
        <v>445</v>
      </c>
      <c r="C65" s="64">
        <f>SUM(C66+C68)</f>
        <v>13407743266.999954</v>
      </c>
      <c r="D65" s="50">
        <f>SUM(D66)</f>
        <v>312589333.00000006</v>
      </c>
      <c r="E65" s="50">
        <f>SUM(E66)</f>
        <v>283682652.00000006</v>
      </c>
      <c r="F65" s="50">
        <f>SUM(F67:F67)</f>
        <v>0</v>
      </c>
      <c r="G65" s="50">
        <f>SUM(G66:G67)</f>
        <v>0</v>
      </c>
      <c r="H65" s="56">
        <f>+H66</f>
        <v>13124060614.999954</v>
      </c>
      <c r="I65" s="56">
        <f>+I66</f>
        <v>13095153933.999954</v>
      </c>
      <c r="J65" s="56">
        <f>+J66</f>
        <v>28906681</v>
      </c>
    </row>
    <row r="66" spans="1:10" x14ac:dyDescent="0.25">
      <c r="A66" s="48" t="s">
        <v>446</v>
      </c>
      <c r="B66" s="72" t="s">
        <v>447</v>
      </c>
      <c r="C66" s="64">
        <f>SUM(C67:C67)</f>
        <v>312589333.00000006</v>
      </c>
      <c r="D66" s="50">
        <f>SUM(D67:D67)</f>
        <v>312589333.00000006</v>
      </c>
      <c r="E66" s="55">
        <f>SUM(E67:E67)</f>
        <v>283682652.00000006</v>
      </c>
      <c r="F66" s="55"/>
      <c r="G66" s="55"/>
      <c r="H66" s="56">
        <f>SUM(H67:H68)</f>
        <v>13124060614.999954</v>
      </c>
      <c r="I66" s="56">
        <f>SUM(I67:I68)</f>
        <v>13095153933.999954</v>
      </c>
      <c r="J66" s="56">
        <f>SUM(J67:J68)</f>
        <v>28906681</v>
      </c>
    </row>
    <row r="67" spans="1:10" x14ac:dyDescent="0.25">
      <c r="A67" s="48"/>
      <c r="B67" s="83" t="s">
        <v>448</v>
      </c>
      <c r="C67" s="70">
        <f>SUM(D67+I67)</f>
        <v>312589333.00000006</v>
      </c>
      <c r="D67" s="55">
        <f>SUM(E67:G67)+J67</f>
        <v>312589333.00000006</v>
      </c>
      <c r="E67" s="55">
        <f>+'[5]proyección Ingresos'!$K$23+0.21</f>
        <v>283682652.00000006</v>
      </c>
      <c r="F67" s="55"/>
      <c r="G67" s="55"/>
      <c r="H67" s="56">
        <f>SUM(I67:J67)</f>
        <v>28906681</v>
      </c>
      <c r="I67" s="55"/>
      <c r="J67" s="56">
        <f>+'[6]Ingresos 2022'!$J$65</f>
        <v>28906681</v>
      </c>
    </row>
    <row r="68" spans="1:10" ht="13.5" customHeight="1" x14ac:dyDescent="0.25">
      <c r="A68" s="86" t="s">
        <v>449</v>
      </c>
      <c r="B68" s="72" t="s">
        <v>450</v>
      </c>
      <c r="C68" s="70">
        <f>SUM(D68+I68)</f>
        <v>13095153933.999954</v>
      </c>
      <c r="D68" s="55"/>
      <c r="E68" s="55"/>
      <c r="F68" s="55"/>
      <c r="G68" s="55"/>
      <c r="H68" s="56">
        <f>SUM(I68)</f>
        <v>13095153933.999954</v>
      </c>
      <c r="I68" s="56">
        <f>+'[5]proyección Ingresos'!$E$23+[7]Resumen!$C$12-0.36</f>
        <v>13095153933.999954</v>
      </c>
      <c r="J68" s="56"/>
    </row>
    <row r="69" spans="1:10" ht="13.5" customHeight="1" x14ac:dyDescent="0.25">
      <c r="A69" s="48"/>
      <c r="B69" s="81"/>
      <c r="C69" s="70"/>
      <c r="D69" s="55"/>
      <c r="E69" s="55"/>
      <c r="F69" s="55"/>
      <c r="G69" s="55"/>
      <c r="H69" s="56"/>
      <c r="I69" s="56"/>
      <c r="J69" s="56"/>
    </row>
    <row r="70" spans="1:10" s="44" customFormat="1" x14ac:dyDescent="0.25">
      <c r="A70" s="58" t="s">
        <v>451</v>
      </c>
      <c r="B70" s="63" t="s">
        <v>346</v>
      </c>
      <c r="C70" s="64">
        <f>SUM(C71)</f>
        <v>2678832474</v>
      </c>
      <c r="D70" s="92">
        <f>SUM(D71)</f>
        <v>2678832474</v>
      </c>
      <c r="E70" s="92">
        <f>E71</f>
        <v>0</v>
      </c>
      <c r="F70" s="92">
        <f>F71</f>
        <v>0</v>
      </c>
      <c r="G70" s="92">
        <f>G71</f>
        <v>2678832474</v>
      </c>
      <c r="H70" s="93">
        <f>H71</f>
        <v>0</v>
      </c>
      <c r="I70" s="93">
        <v>0</v>
      </c>
      <c r="J70" s="93">
        <f>SUM(J71)</f>
        <v>0</v>
      </c>
    </row>
    <row r="71" spans="1:10" s="44" customFormat="1" x14ac:dyDescent="0.25">
      <c r="A71" s="58" t="s">
        <v>452</v>
      </c>
      <c r="B71" s="63" t="s">
        <v>453</v>
      </c>
      <c r="C71" s="94">
        <f>SUM(C72:C73)</f>
        <v>2678832474</v>
      </c>
      <c r="D71" s="92">
        <f>SUM(D72:D73)</f>
        <v>2678832474</v>
      </c>
      <c r="E71" s="92">
        <f>E73</f>
        <v>0</v>
      </c>
      <c r="F71" s="92">
        <f>F73</f>
        <v>0</v>
      </c>
      <c r="G71" s="92">
        <f>SUM(G72:G73)</f>
        <v>2678832474</v>
      </c>
      <c r="H71" s="93">
        <f>SUM(H73:H73)</f>
        <v>0</v>
      </c>
      <c r="I71" s="93">
        <v>0</v>
      </c>
      <c r="J71" s="93">
        <f>SUM(J73)</f>
        <v>0</v>
      </c>
    </row>
    <row r="72" spans="1:10" s="44" customFormat="1" x14ac:dyDescent="0.25">
      <c r="A72" s="48" t="s">
        <v>454</v>
      </c>
      <c r="B72" s="72" t="s">
        <v>455</v>
      </c>
      <c r="C72" s="70">
        <f>SUM(D72+I72)</f>
        <v>523822014</v>
      </c>
      <c r="D72" s="55">
        <f>SUM(E72:G72)+J72</f>
        <v>523822014</v>
      </c>
      <c r="E72" s="92"/>
      <c r="F72" s="92"/>
      <c r="G72" s="92">
        <f>477797427+46024587</f>
        <v>523822014</v>
      </c>
      <c r="H72" s="93"/>
      <c r="I72" s="93"/>
      <c r="J72" s="93"/>
    </row>
    <row r="73" spans="1:10" s="44" customFormat="1" x14ac:dyDescent="0.25">
      <c r="A73" s="48" t="s">
        <v>456</v>
      </c>
      <c r="B73" s="72" t="s">
        <v>457</v>
      </c>
      <c r="C73" s="70">
        <f>SUM(D73+I73)</f>
        <v>2155010460</v>
      </c>
      <c r="D73" s="55">
        <f>SUM(E73:G73)+J73</f>
        <v>2155010460</v>
      </c>
      <c r="E73" s="95"/>
      <c r="F73" s="95">
        <v>0</v>
      </c>
      <c r="G73" s="95">
        <v>2155010460</v>
      </c>
      <c r="H73" s="96">
        <f>SUM(I73:J73)</f>
        <v>0</v>
      </c>
      <c r="I73" s="93">
        <v>0</v>
      </c>
      <c r="J73" s="96"/>
    </row>
    <row r="74" spans="1:10" ht="13.5" hidden="1" customHeight="1" x14ac:dyDescent="0.25">
      <c r="A74" s="48" t="s">
        <v>458</v>
      </c>
      <c r="B74" s="72" t="s">
        <v>459</v>
      </c>
      <c r="C74" s="70">
        <f>SUM(D74+I74)</f>
        <v>0</v>
      </c>
      <c r="D74" s="55">
        <f>SUM(E74:G74)+J74</f>
        <v>0</v>
      </c>
      <c r="E74" s="55"/>
      <c r="F74" s="55"/>
      <c r="G74" s="55"/>
      <c r="H74" s="56"/>
      <c r="I74" s="56"/>
      <c r="J74" s="56"/>
    </row>
    <row r="75" spans="1:10" ht="13.5" customHeight="1" x14ac:dyDescent="0.25">
      <c r="A75" s="48"/>
      <c r="B75" s="81"/>
      <c r="C75" s="70"/>
      <c r="D75" s="55"/>
      <c r="E75" s="55"/>
      <c r="F75" s="55"/>
      <c r="G75" s="55"/>
      <c r="H75" s="56"/>
      <c r="I75" s="56"/>
      <c r="J75" s="56"/>
    </row>
    <row r="76" spans="1:10" x14ac:dyDescent="0.25">
      <c r="A76" s="58" t="s">
        <v>460</v>
      </c>
      <c r="B76" s="97" t="s">
        <v>461</v>
      </c>
      <c r="C76" s="62">
        <f>SUM(C77+C82)</f>
        <v>13664198983.996666</v>
      </c>
      <c r="D76" s="65">
        <f t="shared" ref="D76:J76" si="10">D77</f>
        <v>8620800647</v>
      </c>
      <c r="E76" s="65">
        <f t="shared" si="10"/>
        <v>3303003220</v>
      </c>
      <c r="F76" s="65">
        <f t="shared" si="10"/>
        <v>500000000</v>
      </c>
      <c r="G76" s="65">
        <f t="shared" si="10"/>
        <v>2817797427</v>
      </c>
      <c r="H76" s="66">
        <f t="shared" si="10"/>
        <v>7043398336.996666</v>
      </c>
      <c r="I76" s="66">
        <f t="shared" si="10"/>
        <v>5043398336.996666</v>
      </c>
      <c r="J76" s="66">
        <f t="shared" si="10"/>
        <v>2000000000</v>
      </c>
    </row>
    <row r="77" spans="1:10" x14ac:dyDescent="0.25">
      <c r="A77" s="58" t="s">
        <v>462</v>
      </c>
      <c r="B77" s="63" t="s">
        <v>463</v>
      </c>
      <c r="C77" s="64">
        <f>SUM(C78)</f>
        <v>5043398336.996666</v>
      </c>
      <c r="D77" s="67">
        <f>SUM(D78+D82)</f>
        <v>8620800647</v>
      </c>
      <c r="E77" s="67">
        <f>E82</f>
        <v>3303003220</v>
      </c>
      <c r="F77" s="67">
        <f>F82</f>
        <v>500000000</v>
      </c>
      <c r="G77" s="67">
        <f>G78+G82</f>
        <v>2817797427</v>
      </c>
      <c r="H77" s="68">
        <f>H78+H82</f>
        <v>7043398336.996666</v>
      </c>
      <c r="I77" s="68">
        <f>I78+I82</f>
        <v>5043398336.996666</v>
      </c>
      <c r="J77" s="68">
        <f>J78+J82</f>
        <v>2000000000</v>
      </c>
    </row>
    <row r="78" spans="1:10" ht="14.25" customHeight="1" x14ac:dyDescent="0.25">
      <c r="A78" s="58" t="s">
        <v>464</v>
      </c>
      <c r="B78" s="63" t="s">
        <v>465</v>
      </c>
      <c r="C78" s="64">
        <f>SUM(C80)</f>
        <v>5043398336.996666</v>
      </c>
      <c r="D78" s="67">
        <f>SUM(D79:D79)</f>
        <v>0</v>
      </c>
      <c r="E78" s="67">
        <v>0</v>
      </c>
      <c r="F78" s="67">
        <v>0</v>
      </c>
      <c r="G78" s="67">
        <f>SUM(G79:G79)</f>
        <v>0</v>
      </c>
      <c r="H78" s="68">
        <f>H79</f>
        <v>5043398336.996666</v>
      </c>
      <c r="I78" s="68">
        <f>I79</f>
        <v>5043398336.996666</v>
      </c>
      <c r="J78" s="68">
        <f>J79</f>
        <v>0</v>
      </c>
    </row>
    <row r="79" spans="1:10" ht="12.75" customHeight="1" x14ac:dyDescent="0.25">
      <c r="A79" s="48" t="s">
        <v>466</v>
      </c>
      <c r="B79" s="72" t="s">
        <v>467</v>
      </c>
      <c r="C79" s="70">
        <f>D79+H79</f>
        <v>5043398336.996666</v>
      </c>
      <c r="D79" s="71">
        <f>SUM(E79:G79)/1000</f>
        <v>0</v>
      </c>
      <c r="E79" s="55">
        <v>0</v>
      </c>
      <c r="F79" s="55">
        <v>0</v>
      </c>
      <c r="G79" s="55"/>
      <c r="H79" s="56">
        <f>SUM(H80)</f>
        <v>5043398336.996666</v>
      </c>
      <c r="I79" s="56">
        <f>SUM(I80)</f>
        <v>5043398336.996666</v>
      </c>
      <c r="J79" s="56">
        <f>SUM(J80)</f>
        <v>0</v>
      </c>
    </row>
    <row r="80" spans="1:10" ht="17.25" customHeight="1" x14ac:dyDescent="0.25">
      <c r="A80" s="48" t="s">
        <v>466</v>
      </c>
      <c r="B80" s="72" t="s">
        <v>468</v>
      </c>
      <c r="C80" s="70">
        <f>SUM(D80+I80)</f>
        <v>5043398336.996666</v>
      </c>
      <c r="D80" s="55">
        <f>SUM(E80:G80)+J80</f>
        <v>0</v>
      </c>
      <c r="E80" s="95"/>
      <c r="F80" s="95"/>
      <c r="G80" s="95"/>
      <c r="H80" s="56">
        <f>SUM(I80:J80)</f>
        <v>5043398336.996666</v>
      </c>
      <c r="I80" s="96">
        <f>+'[1]Estimacion  Planificación 2023'!$O$104-7104283789.09+14106000-19500000-11750000+17500000-0.24-2099999</f>
        <v>5043398336.996666</v>
      </c>
      <c r="J80" s="96"/>
    </row>
    <row r="81" spans="1:10" x14ac:dyDescent="0.25">
      <c r="A81" s="48"/>
      <c r="B81" s="72"/>
      <c r="C81" s="69" t="s">
        <v>378</v>
      </c>
      <c r="D81" s="95"/>
      <c r="E81" s="95"/>
      <c r="F81" s="95"/>
      <c r="G81" s="95"/>
      <c r="H81" s="96"/>
      <c r="I81" s="96"/>
      <c r="J81" s="96"/>
    </row>
    <row r="82" spans="1:10" s="44" customFormat="1" x14ac:dyDescent="0.25">
      <c r="A82" s="58" t="s">
        <v>469</v>
      </c>
      <c r="B82" s="63" t="s">
        <v>470</v>
      </c>
      <c r="C82" s="64">
        <f>SUM(C83+C86)</f>
        <v>8620800647</v>
      </c>
      <c r="D82" s="67">
        <f>SUM(D86+D83)</f>
        <v>8620800647</v>
      </c>
      <c r="E82" s="67">
        <f>E83+E86</f>
        <v>3303003220</v>
      </c>
      <c r="F82" s="67">
        <f>F83+F86</f>
        <v>500000000</v>
      </c>
      <c r="G82" s="67">
        <f>SUM(G83+G86)</f>
        <v>2817797427</v>
      </c>
      <c r="H82" s="68">
        <f>SUM(H86+H83)</f>
        <v>2000000000</v>
      </c>
      <c r="I82" s="68">
        <f>SUM(I83+I86)</f>
        <v>0</v>
      </c>
      <c r="J82" s="68">
        <f>SUM(J83+J86)</f>
        <v>2000000000</v>
      </c>
    </row>
    <row r="83" spans="1:10" s="44" customFormat="1" x14ac:dyDescent="0.25">
      <c r="A83" s="48" t="s">
        <v>471</v>
      </c>
      <c r="B83" s="72" t="s">
        <v>472</v>
      </c>
      <c r="C83" s="64">
        <f>SUM(C84:C84)</f>
        <v>3215494443</v>
      </c>
      <c r="D83" s="67">
        <f>SUM(D84)</f>
        <v>3215494443</v>
      </c>
      <c r="E83" s="95">
        <f>SUM(E84)</f>
        <v>0</v>
      </c>
      <c r="F83" s="95">
        <f>SUM(F84)</f>
        <v>0</v>
      </c>
      <c r="G83" s="92">
        <f>SUM(G84)</f>
        <v>1215494443</v>
      </c>
      <c r="H83" s="96">
        <f>SUM(H84)</f>
        <v>2000000000</v>
      </c>
      <c r="I83" s="96"/>
      <c r="J83" s="96">
        <f>SUM(J84)</f>
        <v>2000000000</v>
      </c>
    </row>
    <row r="84" spans="1:10" s="44" customFormat="1" x14ac:dyDescent="0.25">
      <c r="A84" s="48"/>
      <c r="B84" s="72" t="s">
        <v>473</v>
      </c>
      <c r="C84" s="70">
        <f>SUM(D84+I84)</f>
        <v>3215494443</v>
      </c>
      <c r="D84" s="55">
        <f>SUM(E84:G84)+J84</f>
        <v>3215494443</v>
      </c>
      <c r="E84" s="95"/>
      <c r="F84" s="95"/>
      <c r="G84" s="95">
        <f>+'[8]Ingresos 2022'!$G$85+0.03</f>
        <v>1215494443</v>
      </c>
      <c r="H84" s="96">
        <f>SUM(I84:J84)</f>
        <v>2000000000</v>
      </c>
      <c r="I84" s="96"/>
      <c r="J84" s="96">
        <v>2000000000</v>
      </c>
    </row>
    <row r="85" spans="1:10" s="44" customFormat="1" x14ac:dyDescent="0.25">
      <c r="A85" s="48"/>
      <c r="B85" s="72"/>
      <c r="C85" s="70"/>
      <c r="D85" s="95"/>
      <c r="E85" s="95"/>
      <c r="F85" s="95"/>
      <c r="G85" s="95"/>
      <c r="H85" s="96"/>
      <c r="I85" s="96"/>
      <c r="J85" s="96"/>
    </row>
    <row r="86" spans="1:10" s="44" customFormat="1" x14ac:dyDescent="0.25">
      <c r="A86" s="48" t="s">
        <v>474</v>
      </c>
      <c r="B86" s="63" t="s">
        <v>475</v>
      </c>
      <c r="C86" s="64">
        <f t="shared" ref="C86:J86" si="11">SUM(C87:C95)</f>
        <v>5405306204</v>
      </c>
      <c r="D86" s="92">
        <f t="shared" si="11"/>
        <v>5405306204</v>
      </c>
      <c r="E86" s="92">
        <f t="shared" si="11"/>
        <v>3303003220</v>
      </c>
      <c r="F86" s="92">
        <f t="shared" si="11"/>
        <v>500000000</v>
      </c>
      <c r="G86" s="92">
        <f t="shared" si="11"/>
        <v>1602302984</v>
      </c>
      <c r="H86" s="93">
        <f t="shared" si="11"/>
        <v>0</v>
      </c>
      <c r="I86" s="93">
        <f t="shared" si="11"/>
        <v>0</v>
      </c>
      <c r="J86" s="93">
        <f t="shared" si="11"/>
        <v>0</v>
      </c>
    </row>
    <row r="87" spans="1:10" s="44" customFormat="1" x14ac:dyDescent="0.25">
      <c r="A87" s="48"/>
      <c r="B87" s="72" t="s">
        <v>476</v>
      </c>
      <c r="C87" s="70">
        <f>SUM(D87+I87)</f>
        <v>50000000</v>
      </c>
      <c r="D87" s="55">
        <f t="shared" ref="D87:D95" si="12">SUM(E87:G87)+J87</f>
        <v>50000000</v>
      </c>
      <c r="E87" s="95"/>
      <c r="F87" s="95"/>
      <c r="G87" s="55">
        <f>+'[9]Ingresos 2022'!$G$85</f>
        <v>50000000</v>
      </c>
      <c r="H87" s="96">
        <f>SUM(I87:J87)</f>
        <v>0</v>
      </c>
      <c r="I87" s="96"/>
      <c r="J87" s="96"/>
    </row>
    <row r="88" spans="1:10" s="44" customFormat="1" x14ac:dyDescent="0.25">
      <c r="A88" s="48"/>
      <c r="B88" s="72" t="s">
        <v>477</v>
      </c>
      <c r="C88" s="70">
        <f t="shared" ref="C88:C95" si="13">SUM(D88+I88)</f>
        <v>15000000</v>
      </c>
      <c r="D88" s="55">
        <f t="shared" si="12"/>
        <v>15000000</v>
      </c>
      <c r="E88" s="95"/>
      <c r="F88" s="95"/>
      <c r="G88" s="95">
        <f>+'[9]Ingresos 2022'!$G$86</f>
        <v>15000000</v>
      </c>
      <c r="H88" s="96"/>
      <c r="I88" s="96"/>
      <c r="J88" s="96"/>
    </row>
    <row r="89" spans="1:10" s="44" customFormat="1" x14ac:dyDescent="0.25">
      <c r="A89" s="48"/>
      <c r="B89" s="72" t="s">
        <v>478</v>
      </c>
      <c r="C89" s="70">
        <f t="shared" si="13"/>
        <v>680000000</v>
      </c>
      <c r="D89" s="55">
        <f t="shared" si="12"/>
        <v>680000000</v>
      </c>
      <c r="E89" s="95"/>
      <c r="F89" s="95"/>
      <c r="G89" s="95">
        <f>+'[2]Ingresos 2022'!$G$86</f>
        <v>680000000</v>
      </c>
      <c r="H89" s="96"/>
      <c r="I89" s="96"/>
      <c r="J89" s="96"/>
    </row>
    <row r="90" spans="1:10" s="44" customFormat="1" x14ac:dyDescent="0.25">
      <c r="A90" s="48"/>
      <c r="B90" s="72" t="s">
        <v>479</v>
      </c>
      <c r="C90" s="70">
        <f t="shared" si="13"/>
        <v>500000000</v>
      </c>
      <c r="D90" s="55">
        <f t="shared" si="12"/>
        <v>500000000</v>
      </c>
      <c r="E90" s="95"/>
      <c r="F90" s="95">
        <v>500000000</v>
      </c>
      <c r="G90" s="95"/>
      <c r="H90" s="96"/>
      <c r="I90" s="96"/>
      <c r="J90" s="96"/>
    </row>
    <row r="91" spans="1:10" s="44" customFormat="1" x14ac:dyDescent="0.25">
      <c r="A91" s="48"/>
      <c r="B91" s="72" t="s">
        <v>480</v>
      </c>
      <c r="C91" s="70">
        <f t="shared" si="13"/>
        <v>223931883</v>
      </c>
      <c r="D91" s="55">
        <f t="shared" si="12"/>
        <v>223931883</v>
      </c>
      <c r="E91" s="95">
        <v>223931883</v>
      </c>
      <c r="F91" s="95"/>
      <c r="G91" s="95"/>
      <c r="H91" s="96"/>
      <c r="I91" s="96"/>
      <c r="J91" s="96"/>
    </row>
    <row r="92" spans="1:10" s="44" customFormat="1" x14ac:dyDescent="0.25">
      <c r="A92" s="48"/>
      <c r="B92" s="72" t="s">
        <v>481</v>
      </c>
      <c r="C92" s="70">
        <f t="shared" si="13"/>
        <v>30000000</v>
      </c>
      <c r="D92" s="55">
        <f t="shared" si="12"/>
        <v>30000000</v>
      </c>
      <c r="E92" s="95"/>
      <c r="F92" s="95"/>
      <c r="G92" s="95">
        <f>+'[2]Ingresos 2022'!$G$95</f>
        <v>30000000</v>
      </c>
      <c r="H92" s="96"/>
      <c r="I92" s="96"/>
      <c r="J92" s="96"/>
    </row>
    <row r="93" spans="1:10" s="44" customFormat="1" x14ac:dyDescent="0.25">
      <c r="A93" s="48"/>
      <c r="B93" s="72" t="s">
        <v>482</v>
      </c>
      <c r="C93" s="70">
        <f t="shared" si="13"/>
        <v>65000000</v>
      </c>
      <c r="D93" s="55">
        <f t="shared" si="12"/>
        <v>65000000</v>
      </c>
      <c r="E93" s="95"/>
      <c r="F93" s="95"/>
      <c r="G93" s="95">
        <v>65000000</v>
      </c>
      <c r="H93" s="96"/>
      <c r="I93" s="96"/>
      <c r="J93" s="96"/>
    </row>
    <row r="94" spans="1:10" s="44" customFormat="1" x14ac:dyDescent="0.25">
      <c r="A94" s="48"/>
      <c r="B94" s="72" t="s">
        <v>483</v>
      </c>
      <c r="C94" s="70">
        <f t="shared" si="13"/>
        <v>762302984</v>
      </c>
      <c r="D94" s="55">
        <f t="shared" si="12"/>
        <v>762302984</v>
      </c>
      <c r="E94" s="95"/>
      <c r="F94" s="95"/>
      <c r="G94" s="95">
        <f>477797427+284505557</f>
        <v>762302984</v>
      </c>
      <c r="H94" s="96"/>
      <c r="I94" s="96"/>
      <c r="J94" s="96"/>
    </row>
    <row r="95" spans="1:10" s="44" customFormat="1" ht="13.8" thickBot="1" x14ac:dyDescent="0.3">
      <c r="A95" s="98"/>
      <c r="B95" s="99" t="s">
        <v>484</v>
      </c>
      <c r="C95" s="100">
        <f t="shared" si="13"/>
        <v>3079071337</v>
      </c>
      <c r="D95" s="101">
        <f t="shared" si="12"/>
        <v>3079071337</v>
      </c>
      <c r="E95" s="102">
        <f>2379000000+589585292+256045-8250000+112000000-270000+1750000+5000000</f>
        <v>3079071337</v>
      </c>
      <c r="F95" s="102"/>
      <c r="G95" s="102"/>
      <c r="H95" s="103">
        <f>SUM(I95:J95)</f>
        <v>0</v>
      </c>
      <c r="I95" s="103"/>
      <c r="J95" s="103"/>
    </row>
    <row r="96" spans="1:10" x14ac:dyDescent="0.25">
      <c r="D96" s="52"/>
      <c r="E96" s="52"/>
      <c r="F96" s="52"/>
      <c r="G96" s="52"/>
      <c r="H96" s="52"/>
      <c r="I96" s="52"/>
      <c r="J96" s="52"/>
    </row>
    <row r="97" spans="1:10" x14ac:dyDescent="0.25">
      <c r="A97" s="44" t="s">
        <v>737</v>
      </c>
      <c r="B97" s="104"/>
      <c r="C97" s="105"/>
      <c r="D97" s="52"/>
      <c r="E97" s="52"/>
      <c r="F97" s="52"/>
      <c r="G97" s="52"/>
      <c r="H97" s="52"/>
      <c r="I97" s="52"/>
      <c r="J97" s="52"/>
    </row>
    <row r="98" spans="1:10" hidden="1" x14ac:dyDescent="0.25">
      <c r="B98" s="106"/>
      <c r="C98" s="105"/>
      <c r="D98" s="52"/>
      <c r="E98" s="52"/>
      <c r="F98" s="52"/>
      <c r="G98" s="52"/>
      <c r="H98" s="52"/>
      <c r="I98" s="52"/>
      <c r="J98" s="52"/>
    </row>
    <row r="99" spans="1:10" ht="17.25" hidden="1" customHeight="1" x14ac:dyDescent="0.25">
      <c r="C99" s="57"/>
      <c r="D99" s="52"/>
      <c r="E99" s="52"/>
      <c r="F99" s="52"/>
      <c r="G99" s="52"/>
      <c r="H99" s="52"/>
      <c r="I99" s="52"/>
      <c r="J99" s="52"/>
    </row>
    <row r="100" spans="1:10" hidden="1" x14ac:dyDescent="0.25">
      <c r="C100" s="57"/>
      <c r="D100" s="52"/>
      <c r="E100" s="52"/>
      <c r="F100" s="52"/>
      <c r="G100" s="52"/>
      <c r="H100" s="52"/>
      <c r="I100" s="52"/>
      <c r="J100" s="52"/>
    </row>
    <row r="101" spans="1:10" hidden="1" x14ac:dyDescent="0.25">
      <c r="C101" s="57"/>
      <c r="D101" s="52"/>
      <c r="E101" s="52"/>
      <c r="F101" s="52"/>
      <c r="G101" s="52"/>
      <c r="H101" s="52"/>
      <c r="I101" s="52"/>
      <c r="J101" s="52"/>
    </row>
    <row r="102" spans="1:10" hidden="1" x14ac:dyDescent="0.25">
      <c r="C102" s="57"/>
      <c r="D102" s="52"/>
      <c r="E102" s="52"/>
      <c r="F102" s="52"/>
      <c r="G102" s="52"/>
      <c r="H102" s="52"/>
      <c r="I102" s="52"/>
      <c r="J102" s="52"/>
    </row>
    <row r="103" spans="1:10" hidden="1" x14ac:dyDescent="0.25">
      <c r="A103" s="107"/>
      <c r="C103" s="105"/>
      <c r="D103" s="52"/>
      <c r="E103" s="52"/>
      <c r="F103" s="52"/>
      <c r="G103" s="52"/>
      <c r="H103" s="52"/>
      <c r="I103" s="52"/>
      <c r="J103" s="52"/>
    </row>
    <row r="104" spans="1:10" hidden="1" x14ac:dyDescent="0.25">
      <c r="C104" s="107"/>
      <c r="D104" s="52"/>
      <c r="E104" s="52"/>
      <c r="F104" s="52"/>
      <c r="G104" s="52"/>
      <c r="H104" s="52"/>
      <c r="I104" s="52"/>
      <c r="J104" s="52"/>
    </row>
    <row r="105" spans="1:10" hidden="1" x14ac:dyDescent="0.25">
      <c r="D105" s="52"/>
      <c r="E105" s="52"/>
      <c r="F105" s="52"/>
      <c r="G105" s="52"/>
      <c r="H105" s="52"/>
      <c r="I105" s="52"/>
      <c r="J105" s="52"/>
    </row>
    <row r="106" spans="1:10" hidden="1" x14ac:dyDescent="0.25">
      <c r="D106" s="52"/>
      <c r="E106" s="52"/>
      <c r="F106" s="52"/>
      <c r="G106" s="52"/>
      <c r="H106" s="52"/>
      <c r="I106" s="52"/>
      <c r="J106" s="52"/>
    </row>
    <row r="107" spans="1:10" hidden="1" x14ac:dyDescent="0.25">
      <c r="D107" s="52"/>
      <c r="E107" s="52"/>
      <c r="F107" s="52"/>
      <c r="G107" s="52"/>
      <c r="H107" s="52"/>
      <c r="I107" s="52"/>
      <c r="J107" s="52"/>
    </row>
    <row r="108" spans="1:10" x14ac:dyDescent="0.25">
      <c r="C108" s="52"/>
      <c r="D108" s="52"/>
      <c r="E108" s="52"/>
      <c r="F108" s="52"/>
      <c r="G108" s="52"/>
      <c r="H108" s="52"/>
      <c r="I108" s="52"/>
      <c r="J108" s="52"/>
    </row>
    <row r="109" spans="1:10" x14ac:dyDescent="0.25">
      <c r="C109" s="108"/>
      <c r="D109" s="52"/>
      <c r="E109" s="52"/>
      <c r="F109" s="52"/>
      <c r="G109" s="52"/>
      <c r="H109" s="52"/>
      <c r="I109" s="52"/>
      <c r="J109" s="52"/>
    </row>
    <row r="110" spans="1:10" x14ac:dyDescent="0.25">
      <c r="C110" s="57"/>
      <c r="D110" s="52"/>
      <c r="F110" s="52"/>
      <c r="G110" s="52"/>
      <c r="H110" s="52"/>
      <c r="I110" s="52"/>
      <c r="J110" s="52"/>
    </row>
    <row r="111" spans="1:10" x14ac:dyDescent="0.25">
      <c r="D111" s="52"/>
      <c r="E111" s="52"/>
      <c r="F111" s="52"/>
      <c r="G111" s="52"/>
      <c r="H111" s="52"/>
      <c r="I111" s="52"/>
      <c r="J111" s="52"/>
    </row>
    <row r="112" spans="1:10" x14ac:dyDescent="0.25">
      <c r="D112" s="52"/>
      <c r="E112" s="52"/>
      <c r="F112" s="52"/>
      <c r="G112" s="52"/>
      <c r="H112" s="52"/>
      <c r="I112" s="52"/>
      <c r="J112" s="52"/>
    </row>
    <row r="113" spans="4:10" x14ac:dyDescent="0.25">
      <c r="D113" s="52"/>
      <c r="E113" s="52"/>
      <c r="F113" s="52"/>
      <c r="G113" s="52"/>
      <c r="H113" s="52"/>
      <c r="I113" s="52"/>
      <c r="J113" s="52"/>
    </row>
    <row r="114" spans="4:10" x14ac:dyDescent="0.25">
      <c r="D114" s="52"/>
      <c r="E114" s="52"/>
      <c r="F114" s="52"/>
      <c r="G114" s="52"/>
      <c r="H114" s="52"/>
      <c r="I114" s="52"/>
      <c r="J114" s="52"/>
    </row>
    <row r="115" spans="4:10" x14ac:dyDescent="0.25">
      <c r="D115" s="52"/>
      <c r="E115" s="52"/>
      <c r="F115" s="52"/>
      <c r="G115" s="52"/>
      <c r="H115" s="52"/>
      <c r="I115" s="52"/>
      <c r="J115" s="52"/>
    </row>
    <row r="116" spans="4:10" x14ac:dyDescent="0.25">
      <c r="D116" s="52"/>
      <c r="E116" s="52"/>
      <c r="F116" s="52"/>
      <c r="G116" s="52"/>
      <c r="H116" s="52"/>
      <c r="I116" s="52"/>
      <c r="J116" s="52"/>
    </row>
    <row r="117" spans="4:10" x14ac:dyDescent="0.25">
      <c r="D117" s="52"/>
      <c r="E117" s="52"/>
      <c r="F117" s="52"/>
      <c r="G117" s="52"/>
      <c r="H117" s="52"/>
      <c r="I117" s="52"/>
      <c r="J117" s="52"/>
    </row>
    <row r="118" spans="4:10" x14ac:dyDescent="0.25">
      <c r="D118" s="52"/>
      <c r="E118" s="52"/>
      <c r="F118" s="52"/>
      <c r="G118" s="52"/>
      <c r="H118" s="52"/>
      <c r="I118" s="52"/>
      <c r="J118" s="52"/>
    </row>
    <row r="119" spans="4:10" x14ac:dyDescent="0.25">
      <c r="D119" s="52"/>
      <c r="E119" s="52"/>
      <c r="F119" s="52"/>
      <c r="G119" s="52"/>
      <c r="H119" s="52"/>
      <c r="I119" s="52"/>
      <c r="J119" s="52"/>
    </row>
    <row r="120" spans="4:10" x14ac:dyDescent="0.25">
      <c r="D120" s="52"/>
      <c r="E120" s="52"/>
      <c r="F120" s="52"/>
      <c r="G120" s="52"/>
      <c r="H120" s="52"/>
      <c r="I120" s="52"/>
      <c r="J120" s="52"/>
    </row>
    <row r="121" spans="4:10" x14ac:dyDescent="0.25">
      <c r="D121" s="52"/>
      <c r="E121" s="52"/>
      <c r="F121" s="52"/>
      <c r="G121" s="52"/>
      <c r="H121" s="52"/>
      <c r="I121" s="52"/>
      <c r="J121" s="52"/>
    </row>
    <row r="122" spans="4:10" x14ac:dyDescent="0.25">
      <c r="D122" s="52"/>
      <c r="E122" s="52"/>
      <c r="F122" s="52"/>
      <c r="G122" s="52"/>
      <c r="H122" s="52"/>
      <c r="I122" s="52"/>
      <c r="J122" s="52"/>
    </row>
    <row r="123" spans="4:10" x14ac:dyDescent="0.25">
      <c r="D123" s="52"/>
      <c r="E123" s="52"/>
      <c r="F123" s="52"/>
      <c r="G123" s="52"/>
      <c r="H123" s="52"/>
      <c r="I123" s="52"/>
      <c r="J123" s="52"/>
    </row>
    <row r="124" spans="4:10" x14ac:dyDescent="0.25">
      <c r="D124" s="52"/>
      <c r="E124" s="52"/>
      <c r="F124" s="52"/>
      <c r="G124" s="52"/>
      <c r="H124" s="52"/>
      <c r="I124" s="52"/>
      <c r="J124" s="52"/>
    </row>
    <row r="125" spans="4:10" x14ac:dyDescent="0.25">
      <c r="D125" s="52"/>
      <c r="E125" s="52"/>
      <c r="F125" s="52"/>
      <c r="G125" s="52"/>
      <c r="H125" s="52"/>
      <c r="I125" s="52"/>
      <c r="J125" s="52"/>
    </row>
    <row r="126" spans="4:10" x14ac:dyDescent="0.25">
      <c r="D126" s="52"/>
      <c r="E126" s="52"/>
      <c r="F126" s="52"/>
      <c r="G126" s="52"/>
      <c r="H126" s="52"/>
      <c r="I126" s="52"/>
      <c r="J126" s="52"/>
    </row>
    <row r="127" spans="4:10" x14ac:dyDescent="0.25">
      <c r="D127" s="52"/>
      <c r="E127" s="52"/>
      <c r="F127" s="52"/>
      <c r="G127" s="52"/>
      <c r="H127" s="52"/>
      <c r="I127" s="52"/>
      <c r="J127" s="52"/>
    </row>
    <row r="128" spans="4:10" x14ac:dyDescent="0.25">
      <c r="D128" s="52"/>
      <c r="E128" s="52"/>
      <c r="F128" s="52"/>
      <c r="G128" s="52"/>
      <c r="H128" s="52"/>
      <c r="I128" s="52"/>
      <c r="J128" s="52"/>
    </row>
    <row r="129" spans="3:10" x14ac:dyDescent="0.25">
      <c r="D129" s="52"/>
      <c r="E129" s="52"/>
      <c r="F129" s="52"/>
      <c r="G129" s="52"/>
      <c r="H129" s="52"/>
      <c r="I129" s="52"/>
      <c r="J129" s="52"/>
    </row>
    <row r="130" spans="3:10" x14ac:dyDescent="0.25">
      <c r="D130" s="52"/>
      <c r="E130" s="52"/>
      <c r="F130" s="52"/>
      <c r="G130" s="52"/>
      <c r="H130" s="52"/>
      <c r="I130" s="52"/>
      <c r="J130" s="52"/>
    </row>
    <row r="131" spans="3:10" x14ac:dyDescent="0.25">
      <c r="C131" s="52"/>
      <c r="D131" s="52"/>
      <c r="E131" s="52"/>
      <c r="F131" s="52"/>
      <c r="G131" s="52"/>
      <c r="H131" s="52"/>
      <c r="I131" s="52"/>
      <c r="J131" s="52"/>
    </row>
    <row r="132" spans="3:10" x14ac:dyDescent="0.25">
      <c r="D132" s="52"/>
      <c r="E132" s="52"/>
      <c r="F132" s="52"/>
      <c r="G132" s="52"/>
      <c r="H132" s="52"/>
      <c r="I132" s="52"/>
      <c r="J132" s="52"/>
    </row>
    <row r="133" spans="3:10" x14ac:dyDescent="0.25">
      <c r="C133" s="52"/>
      <c r="D133" s="52"/>
      <c r="E133" s="52"/>
      <c r="F133" s="52"/>
      <c r="G133" s="52"/>
      <c r="H133" s="52"/>
      <c r="I133" s="52"/>
      <c r="J133" s="52"/>
    </row>
    <row r="134" spans="3:10" x14ac:dyDescent="0.25">
      <c r="C134" s="52"/>
      <c r="D134" s="52"/>
      <c r="E134" s="52"/>
      <c r="F134" s="52"/>
      <c r="G134" s="52"/>
      <c r="H134" s="52"/>
      <c r="I134" s="52"/>
      <c r="J134" s="52"/>
    </row>
    <row r="135" spans="3:10" x14ac:dyDescent="0.25">
      <c r="D135" s="52"/>
      <c r="E135" s="52"/>
      <c r="F135" s="52"/>
      <c r="G135" s="52"/>
      <c r="H135" s="52"/>
      <c r="I135" s="52"/>
      <c r="J135" s="52"/>
    </row>
    <row r="136" spans="3:10" x14ac:dyDescent="0.25">
      <c r="D136" s="52"/>
      <c r="E136" s="52"/>
      <c r="F136" s="52"/>
      <c r="G136" s="52"/>
      <c r="H136" s="52"/>
      <c r="I136" s="52"/>
      <c r="J136" s="52"/>
    </row>
    <row r="137" spans="3:10" x14ac:dyDescent="0.25">
      <c r="D137" s="52"/>
      <c r="E137" s="52"/>
      <c r="F137" s="52"/>
      <c r="G137" s="52"/>
      <c r="H137" s="52"/>
      <c r="I137" s="52"/>
      <c r="J137" s="52"/>
    </row>
    <row r="138" spans="3:10" x14ac:dyDescent="0.25">
      <c r="D138" s="52"/>
      <c r="E138" s="52"/>
      <c r="F138" s="52"/>
      <c r="G138" s="52"/>
      <c r="H138" s="52"/>
      <c r="I138" s="52"/>
      <c r="J138" s="52"/>
    </row>
    <row r="139" spans="3:10" x14ac:dyDescent="0.25">
      <c r="D139" s="52"/>
      <c r="E139" s="52"/>
      <c r="F139" s="52"/>
      <c r="G139" s="52"/>
      <c r="H139" s="52"/>
      <c r="I139" s="52"/>
      <c r="J139" s="52"/>
    </row>
    <row r="140" spans="3:10" x14ac:dyDescent="0.25">
      <c r="D140" s="52"/>
      <c r="E140" s="52"/>
      <c r="F140" s="52"/>
      <c r="G140" s="52"/>
      <c r="H140" s="52"/>
      <c r="I140" s="52"/>
      <c r="J140" s="52"/>
    </row>
    <row r="141" spans="3:10" x14ac:dyDescent="0.25">
      <c r="D141" s="52"/>
      <c r="E141" s="52"/>
      <c r="F141" s="52"/>
      <c r="G141" s="52"/>
      <c r="H141" s="52"/>
      <c r="I141" s="52"/>
      <c r="J141" s="52"/>
    </row>
    <row r="142" spans="3:10" x14ac:dyDescent="0.25">
      <c r="D142" s="52"/>
      <c r="E142" s="52"/>
      <c r="F142" s="52"/>
      <c r="G142" s="52"/>
      <c r="H142" s="52"/>
      <c r="I142" s="52"/>
      <c r="J142" s="52"/>
    </row>
    <row r="143" spans="3:10" x14ac:dyDescent="0.25">
      <c r="D143" s="52"/>
      <c r="E143" s="52"/>
      <c r="F143" s="52"/>
      <c r="G143" s="52"/>
      <c r="H143" s="52"/>
      <c r="I143" s="52"/>
      <c r="J143" s="52"/>
    </row>
    <row r="144" spans="3:10" x14ac:dyDescent="0.25">
      <c r="D144" s="52"/>
      <c r="E144" s="52"/>
      <c r="F144" s="52"/>
      <c r="G144" s="52"/>
      <c r="H144" s="52"/>
      <c r="I144" s="52"/>
      <c r="J144" s="52"/>
    </row>
    <row r="145" spans="3:10" x14ac:dyDescent="0.25">
      <c r="D145" s="52"/>
      <c r="E145" s="52"/>
      <c r="F145" s="52"/>
      <c r="G145" s="52"/>
      <c r="H145" s="52"/>
      <c r="I145" s="52"/>
      <c r="J145" s="52"/>
    </row>
    <row r="146" spans="3:10" x14ac:dyDescent="0.25">
      <c r="D146" s="52"/>
      <c r="E146" s="52"/>
      <c r="F146" s="52"/>
      <c r="G146" s="52"/>
      <c r="H146" s="52"/>
      <c r="I146" s="52"/>
      <c r="J146" s="52"/>
    </row>
    <row r="147" spans="3:10" x14ac:dyDescent="0.25">
      <c r="D147" s="52"/>
      <c r="E147" s="52"/>
      <c r="F147" s="52"/>
      <c r="G147" s="52"/>
      <c r="H147" s="52"/>
      <c r="I147" s="52"/>
      <c r="J147" s="52"/>
    </row>
    <row r="148" spans="3:10" x14ac:dyDescent="0.25">
      <c r="D148" s="52"/>
      <c r="E148" s="52"/>
      <c r="F148" s="52"/>
      <c r="G148" s="52"/>
      <c r="H148" s="52"/>
      <c r="I148" s="52"/>
      <c r="J148" s="52"/>
    </row>
    <row r="149" spans="3:10" x14ac:dyDescent="0.25">
      <c r="D149" s="52"/>
      <c r="E149" s="52"/>
      <c r="F149" s="52"/>
      <c r="G149" s="52"/>
      <c r="H149" s="52"/>
      <c r="I149" s="52"/>
      <c r="J149" s="52"/>
    </row>
    <row r="150" spans="3:10" x14ac:dyDescent="0.25">
      <c r="D150" s="52"/>
      <c r="E150" s="52"/>
      <c r="F150" s="52"/>
      <c r="G150" s="52"/>
      <c r="H150" s="52"/>
      <c r="I150" s="52"/>
      <c r="J150" s="52"/>
    </row>
    <row r="151" spans="3:10" x14ac:dyDescent="0.25">
      <c r="D151" s="52"/>
      <c r="E151" s="52"/>
      <c r="F151" s="52"/>
      <c r="G151" s="52"/>
      <c r="H151" s="52"/>
      <c r="I151" s="52"/>
      <c r="J151" s="52"/>
    </row>
    <row r="152" spans="3:10" x14ac:dyDescent="0.25">
      <c r="D152" s="52"/>
      <c r="E152" s="52"/>
      <c r="F152" s="52"/>
      <c r="G152" s="52"/>
      <c r="H152" s="52"/>
      <c r="I152" s="52"/>
      <c r="J152" s="52"/>
    </row>
    <row r="153" spans="3:10" x14ac:dyDescent="0.25">
      <c r="C153" s="110"/>
      <c r="D153" s="52"/>
      <c r="E153" s="52"/>
      <c r="F153" s="52"/>
      <c r="G153" s="52"/>
      <c r="H153" s="52"/>
      <c r="I153" s="52"/>
      <c r="J153" s="52"/>
    </row>
    <row r="154" spans="3:10" x14ac:dyDescent="0.25">
      <c r="C154" s="52"/>
      <c r="D154" s="52"/>
      <c r="E154" s="52"/>
      <c r="F154" s="52"/>
      <c r="G154" s="52"/>
      <c r="H154" s="52"/>
      <c r="I154" s="52"/>
      <c r="J154" s="52"/>
    </row>
    <row r="155" spans="3:10" x14ac:dyDescent="0.25">
      <c r="C155" s="108"/>
      <c r="D155" s="52"/>
      <c r="E155" s="52"/>
      <c r="F155" s="52"/>
      <c r="G155" s="52"/>
      <c r="H155" s="52"/>
      <c r="I155" s="52"/>
      <c r="J155" s="52"/>
    </row>
    <row r="156" spans="3:10" x14ac:dyDescent="0.25">
      <c r="D156" s="52"/>
      <c r="E156" s="52"/>
      <c r="F156" s="52"/>
      <c r="G156" s="52"/>
      <c r="H156" s="52"/>
      <c r="I156" s="52"/>
      <c r="J156" s="52"/>
    </row>
    <row r="157" spans="3:10" x14ac:dyDescent="0.25">
      <c r="C157" s="57"/>
      <c r="D157" s="52"/>
      <c r="E157" s="52"/>
      <c r="F157" s="52"/>
      <c r="G157" s="52"/>
      <c r="H157" s="52"/>
      <c r="I157" s="52"/>
      <c r="J157" s="52"/>
    </row>
    <row r="158" spans="3:10" x14ac:dyDescent="0.25">
      <c r="D158" s="52"/>
      <c r="E158" s="52"/>
      <c r="F158" s="52"/>
      <c r="G158" s="52"/>
      <c r="H158" s="52"/>
      <c r="I158" s="52"/>
      <c r="J158" s="52"/>
    </row>
    <row r="159" spans="3:10" x14ac:dyDescent="0.25">
      <c r="C159" s="52"/>
      <c r="D159" s="52"/>
      <c r="E159" s="52"/>
      <c r="F159" s="52"/>
      <c r="G159" s="52"/>
      <c r="H159" s="52"/>
      <c r="I159" s="52"/>
      <c r="J159" s="52"/>
    </row>
    <row r="160" spans="3:10" x14ac:dyDescent="0.25">
      <c r="C160" s="52"/>
      <c r="D160" s="52"/>
      <c r="E160" s="52"/>
      <c r="F160" s="52"/>
      <c r="G160" s="52"/>
      <c r="H160" s="52"/>
      <c r="I160" s="52"/>
      <c r="J160" s="52"/>
    </row>
    <row r="161" spans="3:10" x14ac:dyDescent="0.25">
      <c r="C161" s="57"/>
      <c r="D161" s="52"/>
      <c r="E161" s="52"/>
      <c r="F161" s="52"/>
      <c r="G161" s="52"/>
      <c r="H161" s="52"/>
      <c r="I161" s="52"/>
      <c r="J161" s="52"/>
    </row>
    <row r="162" spans="3:10" x14ac:dyDescent="0.25">
      <c r="C162" s="52"/>
      <c r="D162" s="52"/>
      <c r="E162" s="52"/>
      <c r="F162" s="52"/>
      <c r="G162" s="52"/>
      <c r="H162" s="52"/>
      <c r="I162" s="52"/>
      <c r="J162" s="52"/>
    </row>
    <row r="163" spans="3:10" x14ac:dyDescent="0.25">
      <c r="C163" s="57"/>
      <c r="D163" s="52"/>
      <c r="E163" s="52"/>
      <c r="F163" s="52"/>
      <c r="G163" s="52"/>
      <c r="H163" s="52"/>
      <c r="I163" s="52"/>
      <c r="J163" s="52"/>
    </row>
    <row r="164" spans="3:10" x14ac:dyDescent="0.25">
      <c r="C164" s="57"/>
      <c r="D164" s="52"/>
      <c r="E164" s="52"/>
      <c r="F164" s="52"/>
      <c r="G164" s="52"/>
      <c r="H164" s="52"/>
      <c r="I164" s="52"/>
      <c r="J164" s="52"/>
    </row>
    <row r="165" spans="3:10" x14ac:dyDescent="0.25">
      <c r="C165" s="107"/>
      <c r="D165" s="52"/>
      <c r="E165" s="52"/>
      <c r="F165" s="52"/>
      <c r="G165" s="52"/>
      <c r="H165" s="52"/>
      <c r="I165" s="52"/>
      <c r="J165" s="52"/>
    </row>
    <row r="166" spans="3:10" x14ac:dyDescent="0.25">
      <c r="C166" s="57"/>
      <c r="D166" s="52"/>
      <c r="E166" s="52"/>
      <c r="F166" s="52"/>
      <c r="G166" s="52"/>
      <c r="H166" s="52"/>
      <c r="I166" s="52"/>
      <c r="J166" s="52"/>
    </row>
    <row r="167" spans="3:10" x14ac:dyDescent="0.25">
      <c r="C167" s="57"/>
      <c r="D167" s="52"/>
      <c r="E167" s="52"/>
      <c r="F167" s="52"/>
      <c r="G167" s="52"/>
      <c r="H167" s="52"/>
      <c r="I167" s="52"/>
      <c r="J167" s="52"/>
    </row>
    <row r="168" spans="3:10" x14ac:dyDescent="0.25">
      <c r="C168" s="57"/>
      <c r="D168" s="52"/>
      <c r="E168" s="52"/>
      <c r="F168" s="52"/>
      <c r="G168" s="52"/>
      <c r="H168" s="52"/>
      <c r="I168" s="52"/>
      <c r="J168" s="52"/>
    </row>
    <row r="169" spans="3:10" x14ac:dyDescent="0.25">
      <c r="C169" s="57"/>
      <c r="D169" s="52"/>
      <c r="E169" s="52"/>
      <c r="F169" s="52"/>
      <c r="G169" s="52"/>
      <c r="H169" s="52"/>
      <c r="I169" s="52"/>
      <c r="J169" s="52"/>
    </row>
    <row r="170" spans="3:10" x14ac:dyDescent="0.25">
      <c r="C170" s="57"/>
      <c r="D170" s="52"/>
      <c r="E170" s="52"/>
      <c r="F170" s="52"/>
      <c r="G170" s="52"/>
      <c r="H170" s="52"/>
      <c r="I170" s="52"/>
      <c r="J170" s="52"/>
    </row>
    <row r="171" spans="3:10" x14ac:dyDescent="0.25">
      <c r="C171" s="52"/>
      <c r="D171" s="52"/>
      <c r="E171" s="52"/>
      <c r="F171" s="52"/>
      <c r="G171" s="52"/>
      <c r="H171" s="52"/>
      <c r="I171" s="52"/>
      <c r="J171" s="52"/>
    </row>
    <row r="172" spans="3:10" x14ac:dyDescent="0.25">
      <c r="D172" s="52"/>
      <c r="E172" s="52"/>
      <c r="F172" s="52"/>
      <c r="G172" s="52"/>
      <c r="H172" s="52"/>
      <c r="I172" s="52"/>
      <c r="J172" s="52"/>
    </row>
    <row r="173" spans="3:10" x14ac:dyDescent="0.25">
      <c r="D173" s="52"/>
      <c r="E173" s="52"/>
      <c r="F173" s="52"/>
      <c r="G173" s="52"/>
      <c r="H173" s="52"/>
      <c r="I173" s="52"/>
      <c r="J173" s="52"/>
    </row>
    <row r="174" spans="3:10" x14ac:dyDescent="0.25">
      <c r="D174" s="52"/>
      <c r="E174" s="52"/>
      <c r="F174" s="52"/>
      <c r="G174" s="52"/>
      <c r="H174" s="52"/>
      <c r="I174" s="52"/>
      <c r="J174" s="52"/>
    </row>
    <row r="175" spans="3:10" x14ac:dyDescent="0.25">
      <c r="D175" s="52"/>
      <c r="E175" s="52"/>
      <c r="F175" s="52"/>
      <c r="G175" s="52"/>
      <c r="H175" s="52"/>
      <c r="I175" s="52"/>
      <c r="J175" s="52"/>
    </row>
    <row r="176" spans="3:10" x14ac:dyDescent="0.25">
      <c r="D176" s="52"/>
      <c r="E176" s="52"/>
      <c r="F176" s="52"/>
      <c r="G176" s="52"/>
      <c r="H176" s="52"/>
      <c r="I176" s="52"/>
      <c r="J176" s="52"/>
    </row>
    <row r="177" spans="4:10" x14ac:dyDescent="0.25">
      <c r="D177" s="52"/>
      <c r="E177" s="52"/>
      <c r="F177" s="52"/>
      <c r="G177" s="52"/>
      <c r="H177" s="52"/>
      <c r="I177" s="52"/>
      <c r="J177" s="52"/>
    </row>
    <row r="178" spans="4:10" x14ac:dyDescent="0.25">
      <c r="D178" s="52"/>
      <c r="E178" s="52"/>
      <c r="F178" s="52"/>
      <c r="G178" s="52"/>
      <c r="H178" s="52"/>
      <c r="I178" s="52"/>
      <c r="J178" s="52"/>
    </row>
    <row r="179" spans="4:10" x14ac:dyDescent="0.25">
      <c r="D179" s="52"/>
      <c r="E179" s="52"/>
      <c r="F179" s="52"/>
      <c r="G179" s="52"/>
      <c r="H179" s="52"/>
      <c r="I179" s="52"/>
      <c r="J179" s="52"/>
    </row>
    <row r="180" spans="4:10" x14ac:dyDescent="0.25">
      <c r="D180" s="52"/>
      <c r="E180" s="52"/>
      <c r="F180" s="52"/>
      <c r="G180" s="52"/>
      <c r="H180" s="52"/>
      <c r="I180" s="52"/>
      <c r="J180" s="52"/>
    </row>
    <row r="181" spans="4:10" x14ac:dyDescent="0.25">
      <c r="D181" s="52"/>
      <c r="E181" s="52"/>
      <c r="F181" s="52"/>
      <c r="G181" s="52"/>
      <c r="H181" s="52"/>
      <c r="I181" s="52"/>
      <c r="J181" s="52"/>
    </row>
    <row r="182" spans="4:10" x14ac:dyDescent="0.25">
      <c r="D182" s="52"/>
      <c r="E182" s="52"/>
      <c r="F182" s="52"/>
      <c r="G182" s="52"/>
      <c r="H182" s="52"/>
      <c r="I182" s="52"/>
      <c r="J182" s="52"/>
    </row>
    <row r="183" spans="4:10" x14ac:dyDescent="0.25">
      <c r="D183" s="52"/>
      <c r="E183" s="52"/>
      <c r="F183" s="52"/>
      <c r="G183" s="52"/>
      <c r="H183" s="52"/>
      <c r="I183" s="52"/>
      <c r="J183" s="52"/>
    </row>
    <row r="184" spans="4:10" x14ac:dyDescent="0.25">
      <c r="D184" s="52"/>
      <c r="E184" s="52"/>
      <c r="F184" s="52"/>
      <c r="G184" s="52"/>
      <c r="H184" s="52"/>
      <c r="I184" s="52"/>
      <c r="J184" s="52"/>
    </row>
    <row r="185" spans="4:10" x14ac:dyDescent="0.25">
      <c r="D185" s="52"/>
      <c r="E185" s="52"/>
      <c r="F185" s="52"/>
      <c r="G185" s="52"/>
      <c r="H185" s="52"/>
      <c r="I185" s="52"/>
      <c r="J185" s="52"/>
    </row>
    <row r="186" spans="4:10" x14ac:dyDescent="0.25">
      <c r="D186" s="52"/>
      <c r="E186" s="52"/>
      <c r="F186" s="52"/>
      <c r="G186" s="52"/>
      <c r="H186" s="52"/>
      <c r="I186" s="52"/>
      <c r="J186" s="52"/>
    </row>
    <row r="187" spans="4:10" x14ac:dyDescent="0.25">
      <c r="D187" s="52"/>
      <c r="E187" s="52"/>
      <c r="F187" s="52"/>
      <c r="G187" s="52"/>
      <c r="H187" s="52"/>
      <c r="I187" s="52"/>
      <c r="J187" s="52"/>
    </row>
    <row r="188" spans="4:10" x14ac:dyDescent="0.25">
      <c r="D188" s="52"/>
      <c r="E188" s="52"/>
      <c r="F188" s="52"/>
      <c r="G188" s="52"/>
      <c r="H188" s="52"/>
      <c r="I188" s="52"/>
      <c r="J188" s="52"/>
    </row>
    <row r="189" spans="4:10" x14ac:dyDescent="0.25">
      <c r="D189" s="52"/>
      <c r="E189" s="52"/>
      <c r="F189" s="52"/>
      <c r="G189" s="52"/>
      <c r="H189" s="52"/>
      <c r="I189" s="52"/>
      <c r="J189" s="52"/>
    </row>
    <row r="190" spans="4:10" x14ac:dyDescent="0.25">
      <c r="D190" s="52"/>
      <c r="E190" s="52"/>
      <c r="F190" s="52"/>
      <c r="G190" s="52"/>
      <c r="H190" s="52"/>
      <c r="I190" s="52"/>
      <c r="J190" s="52"/>
    </row>
    <row r="191" spans="4:10" x14ac:dyDescent="0.25">
      <c r="D191" s="52"/>
      <c r="E191" s="52"/>
      <c r="F191" s="52"/>
      <c r="G191" s="52"/>
      <c r="H191" s="52"/>
      <c r="I191" s="52"/>
      <c r="J191" s="52"/>
    </row>
    <row r="192" spans="4:10" x14ac:dyDescent="0.25">
      <c r="D192" s="52"/>
      <c r="E192" s="52"/>
      <c r="F192" s="52"/>
      <c r="G192" s="52"/>
      <c r="H192" s="52"/>
      <c r="I192" s="52"/>
      <c r="J192" s="52"/>
    </row>
    <row r="193" spans="4:10" x14ac:dyDescent="0.25">
      <c r="D193" s="52"/>
      <c r="E193" s="52"/>
      <c r="F193" s="52"/>
      <c r="G193" s="52"/>
      <c r="H193" s="52"/>
      <c r="I193" s="52"/>
      <c r="J193" s="52"/>
    </row>
    <row r="194" spans="4:10" x14ac:dyDescent="0.25">
      <c r="D194" s="52"/>
      <c r="E194" s="52"/>
      <c r="F194" s="52"/>
      <c r="G194" s="52"/>
      <c r="H194" s="52"/>
      <c r="I194" s="52"/>
      <c r="J194" s="52"/>
    </row>
    <row r="195" spans="4:10" x14ac:dyDescent="0.25">
      <c r="D195" s="52"/>
      <c r="E195" s="52"/>
      <c r="F195" s="52"/>
      <c r="G195" s="52"/>
      <c r="H195" s="52"/>
      <c r="I195" s="52"/>
      <c r="J195" s="52"/>
    </row>
    <row r="196" spans="4:10" x14ac:dyDescent="0.25">
      <c r="D196" s="52"/>
      <c r="E196" s="52"/>
      <c r="F196" s="52"/>
      <c r="G196" s="52"/>
      <c r="H196" s="52"/>
      <c r="I196" s="52"/>
      <c r="J196" s="52"/>
    </row>
    <row r="197" spans="4:10" x14ac:dyDescent="0.25">
      <c r="D197" s="52"/>
      <c r="E197" s="52"/>
      <c r="F197" s="52"/>
      <c r="G197" s="52"/>
      <c r="H197" s="52"/>
      <c r="I197" s="52"/>
      <c r="J197" s="52"/>
    </row>
    <row r="198" spans="4:10" x14ac:dyDescent="0.25">
      <c r="D198" s="52"/>
      <c r="E198" s="52"/>
      <c r="F198" s="52"/>
      <c r="G198" s="52"/>
      <c r="H198" s="52"/>
      <c r="I198" s="52"/>
      <c r="J198" s="52"/>
    </row>
    <row r="199" spans="4:10" x14ac:dyDescent="0.25">
      <c r="D199" s="52"/>
      <c r="E199" s="52"/>
      <c r="F199" s="52"/>
      <c r="G199" s="52"/>
      <c r="H199" s="52"/>
      <c r="I199" s="52"/>
      <c r="J199" s="52"/>
    </row>
    <row r="200" spans="4:10" x14ac:dyDescent="0.25">
      <c r="D200" s="52"/>
      <c r="E200" s="52"/>
      <c r="F200" s="52"/>
      <c r="G200" s="52"/>
      <c r="H200" s="52"/>
      <c r="I200" s="52"/>
      <c r="J200" s="52"/>
    </row>
    <row r="201" spans="4:10" x14ac:dyDescent="0.25">
      <c r="D201" s="52"/>
      <c r="E201" s="52"/>
      <c r="F201" s="52"/>
      <c r="G201" s="52"/>
      <c r="H201" s="52"/>
      <c r="I201" s="52"/>
      <c r="J201" s="52"/>
    </row>
    <row r="202" spans="4:10" x14ac:dyDescent="0.25">
      <c r="D202" s="52"/>
      <c r="E202" s="52"/>
      <c r="F202" s="52"/>
      <c r="G202" s="52"/>
      <c r="H202" s="52"/>
      <c r="I202" s="52"/>
      <c r="J202" s="52"/>
    </row>
    <row r="203" spans="4:10" x14ac:dyDescent="0.25">
      <c r="D203" s="52"/>
      <c r="E203" s="52"/>
      <c r="F203" s="52"/>
      <c r="G203" s="52"/>
      <c r="H203" s="52"/>
      <c r="I203" s="52"/>
      <c r="J203" s="52"/>
    </row>
    <row r="204" spans="4:10" x14ac:dyDescent="0.25">
      <c r="D204" s="52"/>
      <c r="E204" s="52"/>
      <c r="F204" s="52"/>
      <c r="G204" s="52"/>
      <c r="H204" s="52"/>
      <c r="I204" s="52"/>
      <c r="J204" s="52"/>
    </row>
    <row r="205" spans="4:10" x14ac:dyDescent="0.25">
      <c r="D205" s="52"/>
      <c r="E205" s="52"/>
      <c r="F205" s="52"/>
      <c r="G205" s="52"/>
      <c r="H205" s="52"/>
      <c r="I205" s="52"/>
      <c r="J205" s="52"/>
    </row>
    <row r="206" spans="4:10" x14ac:dyDescent="0.25">
      <c r="D206" s="52"/>
      <c r="E206" s="52"/>
      <c r="F206" s="52"/>
      <c r="G206" s="52"/>
      <c r="H206" s="52"/>
      <c r="I206" s="52"/>
      <c r="J206" s="52"/>
    </row>
    <row r="207" spans="4:10" x14ac:dyDescent="0.25">
      <c r="D207" s="52"/>
      <c r="E207" s="52"/>
      <c r="F207" s="52"/>
      <c r="G207" s="52"/>
      <c r="H207" s="52"/>
      <c r="I207" s="52"/>
      <c r="J207" s="52"/>
    </row>
    <row r="208" spans="4:10" x14ac:dyDescent="0.25">
      <c r="D208" s="52"/>
      <c r="E208" s="52"/>
      <c r="F208" s="52"/>
      <c r="G208" s="52"/>
      <c r="H208" s="52"/>
      <c r="I208" s="52"/>
      <c r="J208" s="52"/>
    </row>
    <row r="209" spans="4:10" x14ac:dyDescent="0.25">
      <c r="D209" s="52"/>
      <c r="E209" s="52"/>
      <c r="F209" s="52"/>
      <c r="G209" s="52"/>
      <c r="H209" s="52"/>
      <c r="I209" s="52"/>
      <c r="J209" s="52"/>
    </row>
    <row r="210" spans="4:10" x14ac:dyDescent="0.25">
      <c r="D210" s="52"/>
      <c r="E210" s="52"/>
      <c r="F210" s="52"/>
      <c r="G210" s="52"/>
      <c r="H210" s="52"/>
      <c r="I210" s="52"/>
      <c r="J210" s="52"/>
    </row>
    <row r="211" spans="4:10" x14ac:dyDescent="0.25">
      <c r="D211" s="52"/>
      <c r="E211" s="52"/>
      <c r="F211" s="52"/>
      <c r="G211" s="52"/>
      <c r="H211" s="52"/>
      <c r="I211" s="52"/>
      <c r="J211" s="52"/>
    </row>
    <row r="212" spans="4:10" x14ac:dyDescent="0.25">
      <c r="D212" s="52"/>
      <c r="E212" s="52"/>
      <c r="F212" s="52"/>
      <c r="G212" s="52"/>
      <c r="H212" s="52"/>
      <c r="I212" s="52"/>
      <c r="J212" s="52"/>
    </row>
    <row r="213" spans="4:10" x14ac:dyDescent="0.25">
      <c r="D213" s="52"/>
      <c r="E213" s="52"/>
      <c r="F213" s="52"/>
      <c r="G213" s="52"/>
      <c r="H213" s="52"/>
      <c r="I213" s="52"/>
      <c r="J213" s="52"/>
    </row>
    <row r="214" spans="4:10" x14ac:dyDescent="0.25">
      <c r="D214" s="52"/>
      <c r="E214" s="52"/>
      <c r="F214" s="52"/>
      <c r="G214" s="52"/>
      <c r="H214" s="52"/>
      <c r="I214" s="52"/>
      <c r="J214" s="52"/>
    </row>
    <row r="215" spans="4:10" x14ac:dyDescent="0.25">
      <c r="D215" s="52"/>
      <c r="E215" s="52"/>
      <c r="F215" s="52"/>
      <c r="G215" s="52"/>
      <c r="H215" s="52"/>
      <c r="I215" s="52"/>
      <c r="J215" s="52"/>
    </row>
    <row r="216" spans="4:10" x14ac:dyDescent="0.25">
      <c r="D216" s="52"/>
      <c r="E216" s="52"/>
      <c r="F216" s="52"/>
      <c r="G216" s="52"/>
      <c r="H216" s="52"/>
      <c r="I216" s="52"/>
      <c r="J216" s="52"/>
    </row>
    <row r="217" spans="4:10" x14ac:dyDescent="0.25">
      <c r="D217" s="52"/>
      <c r="E217" s="52"/>
      <c r="F217" s="52"/>
      <c r="G217" s="52"/>
      <c r="H217" s="52"/>
      <c r="I217" s="52"/>
      <c r="J217" s="52"/>
    </row>
    <row r="218" spans="4:10" x14ac:dyDescent="0.25">
      <c r="D218" s="52"/>
      <c r="E218" s="52"/>
      <c r="F218" s="52"/>
      <c r="G218" s="52"/>
      <c r="H218" s="52"/>
      <c r="I218" s="52"/>
      <c r="J218" s="52"/>
    </row>
    <row r="219" spans="4:10" x14ac:dyDescent="0.25">
      <c r="D219" s="52"/>
      <c r="E219" s="52"/>
      <c r="F219" s="52"/>
      <c r="G219" s="52"/>
      <c r="H219" s="52"/>
      <c r="I219" s="52"/>
      <c r="J219" s="52"/>
    </row>
    <row r="220" spans="4:10" x14ac:dyDescent="0.25">
      <c r="D220" s="52"/>
      <c r="E220" s="52"/>
      <c r="F220" s="52"/>
      <c r="G220" s="52"/>
      <c r="H220" s="52"/>
      <c r="I220" s="52"/>
      <c r="J220" s="52"/>
    </row>
    <row r="221" spans="4:10" x14ac:dyDescent="0.25">
      <c r="D221" s="52"/>
      <c r="E221" s="52"/>
      <c r="F221" s="52"/>
      <c r="G221" s="52"/>
      <c r="H221" s="52"/>
      <c r="I221" s="52"/>
      <c r="J221" s="52"/>
    </row>
    <row r="222" spans="4:10" x14ac:dyDescent="0.25">
      <c r="D222" s="52"/>
      <c r="E222" s="52"/>
      <c r="F222" s="52"/>
      <c r="G222" s="52"/>
      <c r="H222" s="52"/>
      <c r="I222" s="52"/>
      <c r="J222" s="52"/>
    </row>
    <row r="223" spans="4:10" x14ac:dyDescent="0.25">
      <c r="D223" s="52"/>
      <c r="E223" s="52"/>
      <c r="F223" s="52"/>
      <c r="G223" s="52"/>
      <c r="H223" s="52"/>
      <c r="I223" s="52"/>
      <c r="J223" s="52"/>
    </row>
    <row r="224" spans="4:10" x14ac:dyDescent="0.25">
      <c r="D224" s="52"/>
      <c r="E224" s="52"/>
      <c r="F224" s="52"/>
      <c r="G224" s="52"/>
      <c r="H224" s="52"/>
      <c r="I224" s="52"/>
      <c r="J224" s="52"/>
    </row>
    <row r="225" spans="4:10" x14ac:dyDescent="0.25">
      <c r="D225" s="52"/>
      <c r="E225" s="52"/>
      <c r="F225" s="52"/>
      <c r="G225" s="52"/>
      <c r="H225" s="52"/>
      <c r="I225" s="52"/>
      <c r="J225" s="52"/>
    </row>
    <row r="226" spans="4:10" x14ac:dyDescent="0.25">
      <c r="D226" s="52"/>
      <c r="E226" s="52"/>
      <c r="F226" s="52"/>
      <c r="G226" s="52"/>
      <c r="H226" s="52"/>
      <c r="I226" s="52"/>
      <c r="J226" s="52"/>
    </row>
    <row r="227" spans="4:10" x14ac:dyDescent="0.25">
      <c r="D227" s="52"/>
      <c r="E227" s="52"/>
      <c r="F227" s="52"/>
      <c r="G227" s="52"/>
      <c r="H227" s="52"/>
      <c r="I227" s="52"/>
      <c r="J227" s="52"/>
    </row>
    <row r="228" spans="4:10" x14ac:dyDescent="0.25">
      <c r="D228" s="52"/>
      <c r="E228" s="52"/>
      <c r="F228" s="52"/>
      <c r="G228" s="52"/>
      <c r="H228" s="52"/>
      <c r="I228" s="52"/>
      <c r="J228" s="52"/>
    </row>
    <row r="229" spans="4:10" x14ac:dyDescent="0.25">
      <c r="D229" s="52"/>
      <c r="E229" s="52"/>
      <c r="F229" s="52"/>
      <c r="G229" s="52"/>
      <c r="H229" s="52"/>
      <c r="I229" s="52"/>
      <c r="J229" s="52"/>
    </row>
    <row r="230" spans="4:10" x14ac:dyDescent="0.25">
      <c r="D230" s="52"/>
      <c r="E230" s="52"/>
      <c r="F230" s="52"/>
      <c r="G230" s="52"/>
      <c r="H230" s="52"/>
      <c r="I230" s="52"/>
      <c r="J230" s="52"/>
    </row>
    <row r="231" spans="4:10" x14ac:dyDescent="0.25">
      <c r="D231" s="52"/>
      <c r="E231" s="52"/>
      <c r="F231" s="52"/>
      <c r="G231" s="52"/>
      <c r="H231" s="52"/>
      <c r="I231" s="52"/>
      <c r="J231" s="52"/>
    </row>
    <row r="232" spans="4:10" x14ac:dyDescent="0.25">
      <c r="D232" s="52"/>
      <c r="E232" s="52"/>
      <c r="F232" s="52"/>
      <c r="G232" s="52"/>
      <c r="H232" s="52"/>
      <c r="I232" s="52"/>
      <c r="J232" s="52"/>
    </row>
    <row r="233" spans="4:10" x14ac:dyDescent="0.25">
      <c r="D233" s="52"/>
      <c r="E233" s="52"/>
      <c r="F233" s="52"/>
      <c r="G233" s="52"/>
      <c r="H233" s="52"/>
      <c r="I233" s="52"/>
      <c r="J233" s="52"/>
    </row>
    <row r="234" spans="4:10" x14ac:dyDescent="0.25">
      <c r="D234" s="52"/>
      <c r="E234" s="52"/>
      <c r="F234" s="52"/>
      <c r="G234" s="52"/>
      <c r="H234" s="52"/>
      <c r="I234" s="52"/>
      <c r="J234" s="52"/>
    </row>
    <row r="235" spans="4:10" x14ac:dyDescent="0.25">
      <c r="D235" s="52"/>
      <c r="E235" s="52"/>
      <c r="F235" s="52"/>
      <c r="G235" s="52"/>
      <c r="H235" s="52"/>
      <c r="I235" s="52"/>
      <c r="J235" s="52"/>
    </row>
    <row r="236" spans="4:10" x14ac:dyDescent="0.25">
      <c r="D236" s="52"/>
      <c r="E236" s="52"/>
      <c r="F236" s="52"/>
      <c r="G236" s="52"/>
      <c r="H236" s="52"/>
      <c r="I236" s="52"/>
      <c r="J236" s="52"/>
    </row>
    <row r="237" spans="4:10" x14ac:dyDescent="0.25">
      <c r="D237" s="52"/>
      <c r="E237" s="52"/>
      <c r="F237" s="52"/>
      <c r="G237" s="52"/>
      <c r="H237" s="52"/>
      <c r="I237" s="52"/>
      <c r="J237" s="52"/>
    </row>
    <row r="238" spans="4:10" x14ac:dyDescent="0.25">
      <c r="D238" s="52"/>
      <c r="E238" s="52"/>
      <c r="F238" s="52"/>
      <c r="G238" s="52"/>
      <c r="H238" s="52"/>
      <c r="I238" s="52"/>
      <c r="J238" s="52"/>
    </row>
    <row r="239" spans="4:10" x14ac:dyDescent="0.25">
      <c r="D239" s="52"/>
      <c r="E239" s="52"/>
      <c r="F239" s="52"/>
      <c r="G239" s="52"/>
      <c r="H239" s="52"/>
      <c r="I239" s="52"/>
      <c r="J239" s="52"/>
    </row>
    <row r="240" spans="4:10" x14ac:dyDescent="0.25">
      <c r="D240" s="52"/>
      <c r="E240" s="52"/>
      <c r="F240" s="52"/>
      <c r="G240" s="52"/>
      <c r="H240" s="52"/>
      <c r="I240" s="52"/>
      <c r="J240" s="52"/>
    </row>
    <row r="241" spans="4:10" x14ac:dyDescent="0.25">
      <c r="D241" s="52"/>
      <c r="E241" s="52"/>
      <c r="F241" s="52"/>
      <c r="G241" s="52"/>
      <c r="H241" s="52"/>
      <c r="I241" s="52"/>
      <c r="J241" s="52"/>
    </row>
    <row r="242" spans="4:10" x14ac:dyDescent="0.25">
      <c r="D242" s="52"/>
      <c r="E242" s="52"/>
      <c r="F242" s="52"/>
      <c r="G242" s="52"/>
      <c r="H242" s="52"/>
      <c r="I242" s="52"/>
      <c r="J242" s="52"/>
    </row>
    <row r="243" spans="4:10" x14ac:dyDescent="0.25">
      <c r="D243" s="52"/>
      <c r="E243" s="52"/>
      <c r="F243" s="52"/>
      <c r="G243" s="52"/>
      <c r="H243" s="52"/>
      <c r="I243" s="52"/>
      <c r="J243" s="52"/>
    </row>
    <row r="244" spans="4:10" x14ac:dyDescent="0.25">
      <c r="D244" s="52"/>
      <c r="E244" s="52"/>
      <c r="F244" s="52"/>
      <c r="G244" s="52"/>
      <c r="H244" s="52"/>
      <c r="I244" s="52"/>
      <c r="J244" s="52"/>
    </row>
    <row r="245" spans="4:10" x14ac:dyDescent="0.25">
      <c r="D245" s="52"/>
      <c r="E245" s="52"/>
      <c r="F245" s="52"/>
      <c r="G245" s="52"/>
      <c r="H245" s="52"/>
      <c r="I245" s="52"/>
      <c r="J245" s="52"/>
    </row>
    <row r="246" spans="4:10" x14ac:dyDescent="0.25">
      <c r="D246" s="52"/>
      <c r="E246" s="52"/>
      <c r="F246" s="52"/>
      <c r="G246" s="52"/>
      <c r="H246" s="52"/>
      <c r="I246" s="52"/>
      <c r="J246" s="52"/>
    </row>
    <row r="247" spans="4:10" x14ac:dyDescent="0.25">
      <c r="D247" s="52"/>
      <c r="E247" s="52"/>
      <c r="F247" s="52"/>
      <c r="G247" s="52"/>
      <c r="H247" s="52"/>
      <c r="I247" s="52"/>
      <c r="J247" s="52"/>
    </row>
    <row r="248" spans="4:10" x14ac:dyDescent="0.25">
      <c r="D248" s="52"/>
      <c r="E248" s="52"/>
      <c r="F248" s="52"/>
      <c r="G248" s="52"/>
      <c r="H248" s="52"/>
      <c r="I248" s="52"/>
      <c r="J248" s="52"/>
    </row>
    <row r="249" spans="4:10" x14ac:dyDescent="0.25">
      <c r="D249" s="52"/>
      <c r="E249" s="52"/>
      <c r="F249" s="52"/>
      <c r="G249" s="52"/>
      <c r="H249" s="52"/>
      <c r="I249" s="52"/>
      <c r="J249" s="52"/>
    </row>
    <row r="250" spans="4:10" x14ac:dyDescent="0.25">
      <c r="D250" s="52"/>
      <c r="E250" s="52"/>
      <c r="F250" s="52"/>
      <c r="G250" s="52"/>
      <c r="H250" s="52"/>
      <c r="I250" s="52"/>
      <c r="J250" s="52"/>
    </row>
    <row r="251" spans="4:10" x14ac:dyDescent="0.25">
      <c r="D251" s="52"/>
      <c r="E251" s="52"/>
      <c r="F251" s="52"/>
      <c r="G251" s="52"/>
      <c r="H251" s="52"/>
      <c r="I251" s="52"/>
      <c r="J251" s="52"/>
    </row>
    <row r="252" spans="4:10" x14ac:dyDescent="0.25">
      <c r="D252" s="52"/>
      <c r="E252" s="52"/>
      <c r="F252" s="52"/>
      <c r="G252" s="52"/>
      <c r="H252" s="52"/>
      <c r="I252" s="52"/>
      <c r="J252" s="52"/>
    </row>
    <row r="253" spans="4:10" x14ac:dyDescent="0.25">
      <c r="D253" s="52"/>
      <c r="E253" s="52"/>
      <c r="F253" s="52"/>
      <c r="G253" s="52"/>
      <c r="H253" s="52"/>
      <c r="I253" s="52"/>
      <c r="J253" s="52"/>
    </row>
    <row r="254" spans="4:10" x14ac:dyDescent="0.25">
      <c r="D254" s="52"/>
      <c r="E254" s="52"/>
      <c r="F254" s="52"/>
      <c r="G254" s="52"/>
      <c r="H254" s="52"/>
      <c r="I254" s="52"/>
      <c r="J254" s="52"/>
    </row>
    <row r="255" spans="4:10" x14ac:dyDescent="0.25">
      <c r="D255" s="52"/>
      <c r="E255" s="52"/>
      <c r="F255" s="52"/>
      <c r="G255" s="52"/>
      <c r="H255" s="52"/>
      <c r="I255" s="52"/>
      <c r="J255" s="52"/>
    </row>
    <row r="256" spans="4:10" x14ac:dyDescent="0.25">
      <c r="D256" s="52"/>
      <c r="E256" s="52"/>
      <c r="F256" s="52"/>
      <c r="G256" s="52"/>
      <c r="H256" s="52"/>
      <c r="I256" s="52"/>
      <c r="J256" s="52"/>
    </row>
    <row r="257" spans="4:10" x14ac:dyDescent="0.25">
      <c r="D257" s="52"/>
      <c r="E257" s="52"/>
      <c r="F257" s="52"/>
      <c r="G257" s="52"/>
      <c r="H257" s="52"/>
      <c r="I257" s="52"/>
      <c r="J257" s="52"/>
    </row>
    <row r="258" spans="4:10" x14ac:dyDescent="0.25">
      <c r="D258" s="52"/>
      <c r="E258" s="52"/>
      <c r="F258" s="52"/>
      <c r="G258" s="52"/>
      <c r="H258" s="52"/>
      <c r="I258" s="52"/>
      <c r="J258" s="52"/>
    </row>
    <row r="259" spans="4:10" x14ac:dyDescent="0.25">
      <c r="D259" s="52"/>
      <c r="E259" s="52"/>
      <c r="F259" s="52"/>
      <c r="G259" s="52"/>
      <c r="H259" s="52"/>
      <c r="I259" s="52"/>
      <c r="J259" s="52"/>
    </row>
    <row r="260" spans="4:10" x14ac:dyDescent="0.25">
      <c r="D260" s="52"/>
      <c r="E260" s="52"/>
      <c r="F260" s="52"/>
      <c r="G260" s="52"/>
      <c r="H260" s="52"/>
      <c r="I260" s="52"/>
      <c r="J260" s="52"/>
    </row>
    <row r="261" spans="4:10" x14ac:dyDescent="0.25">
      <c r="D261" s="52"/>
      <c r="E261" s="52"/>
      <c r="F261" s="52"/>
      <c r="G261" s="52"/>
      <c r="H261" s="52"/>
      <c r="I261" s="52"/>
      <c r="J261" s="52"/>
    </row>
    <row r="262" spans="4:10" x14ac:dyDescent="0.25">
      <c r="D262" s="52"/>
      <c r="E262" s="52"/>
      <c r="F262" s="52"/>
      <c r="G262" s="52"/>
      <c r="H262" s="52"/>
      <c r="I262" s="52"/>
      <c r="J262" s="52"/>
    </row>
    <row r="263" spans="4:10" x14ac:dyDescent="0.25">
      <c r="D263" s="52"/>
      <c r="E263" s="52"/>
      <c r="F263" s="52"/>
      <c r="G263" s="52"/>
      <c r="H263" s="52"/>
      <c r="I263" s="52"/>
      <c r="J263" s="52"/>
    </row>
    <row r="264" spans="4:10" x14ac:dyDescent="0.25">
      <c r="D264" s="52"/>
      <c r="E264" s="52"/>
      <c r="F264" s="52"/>
      <c r="G264" s="52"/>
      <c r="H264" s="52"/>
      <c r="I264" s="52"/>
      <c r="J264" s="52"/>
    </row>
    <row r="265" spans="4:10" x14ac:dyDescent="0.25">
      <c r="D265" s="52"/>
      <c r="E265" s="52"/>
      <c r="F265" s="52"/>
      <c r="G265" s="52"/>
      <c r="H265" s="52"/>
      <c r="I265" s="52"/>
      <c r="J265" s="52"/>
    </row>
    <row r="266" spans="4:10" x14ac:dyDescent="0.25">
      <c r="D266" s="52"/>
      <c r="E266" s="52"/>
      <c r="F266" s="52"/>
      <c r="G266" s="52"/>
      <c r="H266" s="52"/>
      <c r="I266" s="52"/>
      <c r="J266" s="52"/>
    </row>
    <row r="267" spans="4:10" x14ac:dyDescent="0.25">
      <c r="D267" s="52"/>
      <c r="E267" s="52"/>
      <c r="F267" s="52"/>
      <c r="G267" s="52"/>
      <c r="H267" s="52"/>
      <c r="I267" s="52"/>
      <c r="J267" s="52"/>
    </row>
    <row r="268" spans="4:10" x14ac:dyDescent="0.25">
      <c r="D268" s="52"/>
      <c r="E268" s="52"/>
      <c r="F268" s="52"/>
      <c r="G268" s="52"/>
      <c r="H268" s="52"/>
      <c r="I268" s="52"/>
      <c r="J268" s="52"/>
    </row>
    <row r="269" spans="4:10" x14ac:dyDescent="0.25">
      <c r="D269" s="52"/>
      <c r="E269" s="52"/>
      <c r="F269" s="52"/>
      <c r="G269" s="52"/>
      <c r="H269" s="52"/>
      <c r="I269" s="52"/>
      <c r="J269" s="52"/>
    </row>
    <row r="270" spans="4:10" x14ac:dyDescent="0.25">
      <c r="D270" s="52"/>
      <c r="E270" s="52"/>
      <c r="F270" s="52"/>
      <c r="G270" s="52"/>
      <c r="H270" s="52"/>
      <c r="I270" s="52"/>
      <c r="J270" s="52"/>
    </row>
    <row r="271" spans="4:10" x14ac:dyDescent="0.25">
      <c r="D271" s="52"/>
      <c r="E271" s="52"/>
      <c r="F271" s="52"/>
      <c r="G271" s="52"/>
      <c r="H271" s="52"/>
      <c r="I271" s="52"/>
      <c r="J271" s="52"/>
    </row>
    <row r="272" spans="4:10" x14ac:dyDescent="0.25">
      <c r="D272" s="52"/>
      <c r="E272" s="52"/>
      <c r="F272" s="52"/>
      <c r="G272" s="52"/>
      <c r="H272" s="52"/>
      <c r="I272" s="52"/>
      <c r="J272" s="52"/>
    </row>
    <row r="273" spans="4:10" x14ac:dyDescent="0.25">
      <c r="D273" s="52"/>
      <c r="E273" s="52"/>
      <c r="F273" s="52"/>
      <c r="G273" s="52"/>
      <c r="H273" s="52"/>
      <c r="I273" s="52"/>
      <c r="J273" s="52"/>
    </row>
    <row r="274" spans="4:10" x14ac:dyDescent="0.25">
      <c r="D274" s="52"/>
      <c r="E274" s="52"/>
      <c r="F274" s="52"/>
      <c r="G274" s="52"/>
      <c r="H274" s="52"/>
      <c r="I274" s="52"/>
      <c r="J274" s="52"/>
    </row>
  </sheetData>
  <mergeCells count="1">
    <mergeCell ref="A1:J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4D500-978B-4B36-8BA9-A4A8293846E9}">
  <sheetPr>
    <tabColor theme="5"/>
  </sheetPr>
  <dimension ref="A1:CN242"/>
  <sheetViews>
    <sheetView tabSelected="1" topLeftCell="A197" zoomScale="70" zoomScaleNormal="70" workbookViewId="0">
      <selection activeCell="A242" sqref="A242"/>
    </sheetView>
  </sheetViews>
  <sheetFormatPr baseColWidth="10" defaultColWidth="12.5546875" defaultRowHeight="13.2" x14ac:dyDescent="0.25"/>
  <cols>
    <col min="1" max="1" width="14.6640625" style="187" customWidth="1"/>
    <col min="2" max="2" width="53.109375" style="112" bestFit="1" customWidth="1"/>
    <col min="3" max="3" width="17.6640625" style="111" customWidth="1"/>
    <col min="4" max="4" width="16.44140625" style="111" customWidth="1"/>
    <col min="5" max="5" width="12.6640625" style="111" hidden="1" customWidth="1"/>
    <col min="6" max="7" width="13.6640625" style="111" hidden="1" customWidth="1"/>
    <col min="8" max="8" width="12.6640625" style="111" hidden="1" customWidth="1"/>
    <col min="9" max="9" width="13.6640625" style="111" hidden="1" customWidth="1"/>
    <col min="10" max="11" width="12.6640625" style="111" hidden="1" customWidth="1"/>
    <col min="12" max="13" width="13.6640625" style="111" hidden="1" customWidth="1"/>
    <col min="14" max="14" width="12.6640625" style="111" hidden="1" customWidth="1"/>
    <col min="15" max="16" width="13.6640625" style="111" hidden="1" customWidth="1"/>
    <col min="17" max="17" width="12.6640625" style="111" hidden="1" customWidth="1"/>
    <col min="18" max="19" width="13.6640625" style="111" hidden="1" customWidth="1"/>
    <col min="20" max="21" width="12.6640625" style="111" hidden="1" customWidth="1"/>
    <col min="22" max="22" width="14.5546875" style="111" hidden="1" customWidth="1"/>
    <col min="23" max="23" width="12.6640625" style="111" hidden="1" customWidth="1"/>
    <col min="24" max="24" width="13.6640625" style="111" hidden="1" customWidth="1"/>
    <col min="25" max="25" width="16.33203125" style="111" customWidth="1"/>
    <col min="26" max="29" width="13.6640625" style="111" hidden="1" customWidth="1"/>
    <col min="30" max="30" width="12.6640625" style="111" hidden="1" customWidth="1"/>
    <col min="31" max="31" width="17.33203125" style="111" customWidth="1"/>
    <col min="32" max="32" width="14.44140625" style="111" hidden="1" customWidth="1"/>
    <col min="33" max="34" width="15.33203125" style="111" hidden="1" customWidth="1"/>
    <col min="35" max="35" width="17.109375" style="111" hidden="1" customWidth="1"/>
    <col min="36" max="36" width="19.109375" style="111" bestFit="1" customWidth="1"/>
    <col min="37" max="37" width="24.44140625" style="111" bestFit="1" customWidth="1"/>
    <col min="38" max="38" width="25.109375" style="111" bestFit="1" customWidth="1"/>
    <col min="39" max="39" width="15.88671875" style="111" hidden="1" customWidth="1"/>
    <col min="40" max="40" width="13.44140625" style="111" hidden="1" customWidth="1"/>
    <col min="41" max="41" width="15.33203125" style="111" hidden="1" customWidth="1"/>
    <col min="42" max="92" width="12.5546875" style="111"/>
    <col min="93" max="16384" width="12.5546875" style="112"/>
  </cols>
  <sheetData>
    <row r="1" spans="1:92" ht="14.4" customHeight="1" x14ac:dyDescent="0.25">
      <c r="A1" s="189" t="s">
        <v>704</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row>
    <row r="2" spans="1:92" ht="14.4" customHeight="1" x14ac:dyDescent="0.25">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row>
    <row r="3" spans="1:92" ht="14.4" customHeight="1" x14ac:dyDescent="0.25">
      <c r="A3" s="190"/>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row>
    <row r="4" spans="1:92" ht="14.4" customHeight="1" x14ac:dyDescent="0.25">
      <c r="A4" s="190"/>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row>
    <row r="5" spans="1:92" ht="15" customHeight="1" thickBot="1" x14ac:dyDescent="0.3">
      <c r="A5" s="191"/>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row>
    <row r="6" spans="1:92" s="136" customFormat="1" ht="93" thickBot="1" x14ac:dyDescent="0.3">
      <c r="A6" s="236" t="s">
        <v>702</v>
      </c>
      <c r="B6" s="237" t="s">
        <v>703</v>
      </c>
      <c r="C6" s="239" t="s">
        <v>705</v>
      </c>
      <c r="D6" s="237" t="s">
        <v>706</v>
      </c>
      <c r="E6" s="240" t="s">
        <v>707</v>
      </c>
      <c r="F6" s="241" t="s">
        <v>708</v>
      </c>
      <c r="G6" s="241" t="s">
        <v>709</v>
      </c>
      <c r="H6" s="241" t="s">
        <v>710</v>
      </c>
      <c r="I6" s="241" t="s">
        <v>711</v>
      </c>
      <c r="J6" s="242" t="s">
        <v>712</v>
      </c>
      <c r="K6" s="241" t="s">
        <v>713</v>
      </c>
      <c r="L6" s="241" t="s">
        <v>714</v>
      </c>
      <c r="M6" s="241" t="s">
        <v>715</v>
      </c>
      <c r="N6" s="241" t="s">
        <v>716</v>
      </c>
      <c r="O6" s="242" t="s">
        <v>717</v>
      </c>
      <c r="P6" s="242" t="s">
        <v>718</v>
      </c>
      <c r="Q6" s="242" t="s">
        <v>719</v>
      </c>
      <c r="R6" s="243" t="s">
        <v>720</v>
      </c>
      <c r="S6" s="244" t="s">
        <v>721</v>
      </c>
      <c r="T6" s="245" t="s">
        <v>722</v>
      </c>
      <c r="U6" s="242" t="s">
        <v>723</v>
      </c>
      <c r="V6" s="242" t="s">
        <v>724</v>
      </c>
      <c r="W6" s="243" t="s">
        <v>725</v>
      </c>
      <c r="X6" s="246" t="s">
        <v>726</v>
      </c>
      <c r="Y6" s="247" t="s">
        <v>727</v>
      </c>
      <c r="Z6" s="248" t="s">
        <v>728</v>
      </c>
      <c r="AA6" s="249" t="s">
        <v>729</v>
      </c>
      <c r="AB6" s="249" t="s">
        <v>730</v>
      </c>
      <c r="AC6" s="249" t="s">
        <v>731</v>
      </c>
      <c r="AD6" s="250" t="s">
        <v>732</v>
      </c>
      <c r="AE6" s="251" t="s">
        <v>733</v>
      </c>
      <c r="AF6" s="113" t="s">
        <v>1</v>
      </c>
      <c r="AG6" s="113" t="s">
        <v>2</v>
      </c>
      <c r="AH6" s="113" t="s">
        <v>3</v>
      </c>
      <c r="AI6" s="113" t="s">
        <v>4</v>
      </c>
      <c r="AJ6" s="244" t="s">
        <v>734</v>
      </c>
      <c r="AK6" s="252" t="s">
        <v>735</v>
      </c>
      <c r="AL6" s="251" t="s">
        <v>736</v>
      </c>
      <c r="AM6" s="133" t="s">
        <v>5</v>
      </c>
      <c r="AN6" s="133" t="s">
        <v>6</v>
      </c>
      <c r="AO6" s="134" t="s">
        <v>7</v>
      </c>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c r="CN6" s="135"/>
    </row>
    <row r="7" spans="1:92" s="145" customFormat="1" ht="18.600000000000001" customHeight="1" x14ac:dyDescent="0.25">
      <c r="A7" s="137"/>
      <c r="B7" s="138" t="s">
        <v>8</v>
      </c>
      <c r="C7" s="139">
        <f t="shared" ref="C7:AO7" si="0">+C8+C47+C136+C171+C175+C179+C205+C226+C236</f>
        <v>51099170396</v>
      </c>
      <c r="D7" s="139">
        <f t="shared" si="0"/>
        <v>4507671228</v>
      </c>
      <c r="E7" s="139">
        <f t="shared" si="0"/>
        <v>29600003</v>
      </c>
      <c r="F7" s="139">
        <f t="shared" si="0"/>
        <v>170666560</v>
      </c>
      <c r="G7" s="139">
        <f t="shared" si="0"/>
        <v>163199473</v>
      </c>
      <c r="H7" s="139">
        <f t="shared" si="0"/>
        <v>83763812</v>
      </c>
      <c r="I7" s="139">
        <f t="shared" si="0"/>
        <v>941404103</v>
      </c>
      <c r="J7" s="139">
        <f t="shared" si="0"/>
        <v>19619608</v>
      </c>
      <c r="K7" s="139">
        <f t="shared" si="0"/>
        <v>38475523</v>
      </c>
      <c r="L7" s="139">
        <f t="shared" si="0"/>
        <v>130922270</v>
      </c>
      <c r="M7" s="139">
        <f t="shared" si="0"/>
        <v>399108488</v>
      </c>
      <c r="N7" s="139">
        <f t="shared" si="0"/>
        <v>89308744</v>
      </c>
      <c r="O7" s="139">
        <f t="shared" si="0"/>
        <v>832422027</v>
      </c>
      <c r="P7" s="139">
        <f t="shared" si="0"/>
        <v>467569948</v>
      </c>
      <c r="Q7" s="139">
        <f t="shared" si="0"/>
        <v>29006112</v>
      </c>
      <c r="R7" s="139">
        <f t="shared" si="0"/>
        <v>114562273</v>
      </c>
      <c r="S7" s="139">
        <f t="shared" si="0"/>
        <v>555788138</v>
      </c>
      <c r="T7" s="139">
        <f t="shared" si="0"/>
        <v>99447885</v>
      </c>
      <c r="U7" s="139">
        <f t="shared" si="0"/>
        <v>33289358</v>
      </c>
      <c r="V7" s="139">
        <f t="shared" si="0"/>
        <v>102283643</v>
      </c>
      <c r="W7" s="139">
        <f t="shared" si="0"/>
        <v>23184001</v>
      </c>
      <c r="X7" s="139">
        <f t="shared" si="0"/>
        <v>184049259</v>
      </c>
      <c r="Y7" s="139">
        <f t="shared" si="0"/>
        <v>1414011174</v>
      </c>
      <c r="Z7" s="139">
        <f t="shared" si="0"/>
        <v>603529809</v>
      </c>
      <c r="AA7" s="139">
        <f t="shared" si="0"/>
        <v>132048978</v>
      </c>
      <c r="AB7" s="139">
        <f t="shared" si="0"/>
        <v>366709635</v>
      </c>
      <c r="AC7" s="139">
        <f t="shared" si="0"/>
        <v>227300783</v>
      </c>
      <c r="AD7" s="139">
        <f t="shared" si="0"/>
        <v>84421969</v>
      </c>
      <c r="AE7" s="139">
        <f t="shared" si="0"/>
        <v>6220094757</v>
      </c>
      <c r="AF7" s="139">
        <f t="shared" si="0"/>
        <v>52705547</v>
      </c>
      <c r="AG7" s="139">
        <f t="shared" si="0"/>
        <v>2907802460</v>
      </c>
      <c r="AH7" s="139">
        <f t="shared" si="0"/>
        <v>2366475408</v>
      </c>
      <c r="AI7" s="139">
        <f t="shared" si="0"/>
        <v>893111342</v>
      </c>
      <c r="AJ7" s="139">
        <f t="shared" si="0"/>
        <v>38957393237</v>
      </c>
      <c r="AK7" s="139">
        <f t="shared" si="0"/>
        <v>36930952783</v>
      </c>
      <c r="AL7" s="140">
        <f t="shared" si="0"/>
        <v>2026440454</v>
      </c>
      <c r="AM7" s="141">
        <f t="shared" si="0"/>
        <v>6259132</v>
      </c>
      <c r="AN7" s="142">
        <f t="shared" si="0"/>
        <v>9597442</v>
      </c>
      <c r="AO7" s="143">
        <f t="shared" si="0"/>
        <v>2010583880</v>
      </c>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row>
    <row r="8" spans="1:92" s="152" customFormat="1" ht="15.75" customHeight="1" x14ac:dyDescent="0.25">
      <c r="A8" s="146">
        <v>0</v>
      </c>
      <c r="B8" s="147" t="s">
        <v>9</v>
      </c>
      <c r="C8" s="148">
        <f>+C10+C14+C19+C34+C41</f>
        <v>3887759700</v>
      </c>
      <c r="D8" s="148">
        <f t="shared" ref="D8:AO8" si="1">+D10+D14+D19+D34+D41</f>
        <v>1646602293</v>
      </c>
      <c r="E8" s="148">
        <f t="shared" si="1"/>
        <v>29600003</v>
      </c>
      <c r="F8" s="148">
        <f t="shared" si="1"/>
        <v>163986992</v>
      </c>
      <c r="G8" s="148">
        <f t="shared" si="1"/>
        <v>152473667</v>
      </c>
      <c r="H8" s="148">
        <f t="shared" si="1"/>
        <v>73488812</v>
      </c>
      <c r="I8" s="148">
        <f t="shared" si="1"/>
        <v>154119498</v>
      </c>
      <c r="J8" s="148">
        <f t="shared" si="1"/>
        <v>19089018</v>
      </c>
      <c r="K8" s="148">
        <f t="shared" si="1"/>
        <v>32825523</v>
      </c>
      <c r="L8" s="148">
        <f t="shared" si="1"/>
        <v>122168270</v>
      </c>
      <c r="M8" s="148">
        <f t="shared" si="1"/>
        <v>242658488</v>
      </c>
      <c r="N8" s="148">
        <f t="shared" si="1"/>
        <v>33881630</v>
      </c>
      <c r="O8" s="148">
        <f t="shared" si="1"/>
        <v>131518008</v>
      </c>
      <c r="P8" s="148">
        <f t="shared" si="1"/>
        <v>73843093</v>
      </c>
      <c r="Q8" s="148">
        <f t="shared" si="1"/>
        <v>28506112</v>
      </c>
      <c r="R8" s="148">
        <f t="shared" si="1"/>
        <v>110512273</v>
      </c>
      <c r="S8" s="148">
        <f t="shared" si="1"/>
        <v>15937526</v>
      </c>
      <c r="T8" s="148">
        <f t="shared" si="1"/>
        <v>42997885</v>
      </c>
      <c r="U8" s="148">
        <f t="shared" si="1"/>
        <v>27788108</v>
      </c>
      <c r="V8" s="148">
        <f t="shared" si="1"/>
        <v>73036127</v>
      </c>
      <c r="W8" s="148">
        <f t="shared" si="1"/>
        <v>15422001</v>
      </c>
      <c r="X8" s="148">
        <f t="shared" si="1"/>
        <v>102749259</v>
      </c>
      <c r="Y8" s="148">
        <f t="shared" si="1"/>
        <v>679188670</v>
      </c>
      <c r="Z8" s="148">
        <f t="shared" si="1"/>
        <v>98288809</v>
      </c>
      <c r="AA8" s="148">
        <f t="shared" si="1"/>
        <v>90033378</v>
      </c>
      <c r="AB8" s="148">
        <f t="shared" si="1"/>
        <v>203323731</v>
      </c>
      <c r="AC8" s="148">
        <f t="shared" si="1"/>
        <v>209340783</v>
      </c>
      <c r="AD8" s="148">
        <f t="shared" si="1"/>
        <v>78201969</v>
      </c>
      <c r="AE8" s="148">
        <f t="shared" si="1"/>
        <v>671318676</v>
      </c>
      <c r="AF8" s="148">
        <f t="shared" si="1"/>
        <v>51205547</v>
      </c>
      <c r="AG8" s="148">
        <f t="shared" si="1"/>
        <v>331118019</v>
      </c>
      <c r="AH8" s="148">
        <f t="shared" si="1"/>
        <v>135039948</v>
      </c>
      <c r="AI8" s="148">
        <f t="shared" si="1"/>
        <v>153955162</v>
      </c>
      <c r="AJ8" s="148">
        <f t="shared" si="1"/>
        <v>890650061</v>
      </c>
      <c r="AK8" s="148">
        <f t="shared" si="1"/>
        <v>874394607</v>
      </c>
      <c r="AL8" s="149">
        <f t="shared" si="1"/>
        <v>16255454</v>
      </c>
      <c r="AM8" s="150">
        <f t="shared" si="1"/>
        <v>4209132</v>
      </c>
      <c r="AN8" s="148">
        <f t="shared" si="1"/>
        <v>5012442</v>
      </c>
      <c r="AO8" s="149">
        <f t="shared" si="1"/>
        <v>7033880</v>
      </c>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row>
    <row r="9" spans="1:92" s="152" customFormat="1" x14ac:dyDescent="0.25">
      <c r="A9" s="146"/>
      <c r="B9" s="147"/>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9"/>
      <c r="AM9" s="150"/>
      <c r="AN9" s="148"/>
      <c r="AO9" s="149"/>
      <c r="AP9" s="151"/>
      <c r="AQ9" s="151"/>
      <c r="AR9" s="151"/>
      <c r="AS9" s="151"/>
      <c r="AT9" s="151"/>
      <c r="AU9" s="151"/>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1"/>
      <c r="CN9" s="151"/>
    </row>
    <row r="10" spans="1:92" s="152" customFormat="1" x14ac:dyDescent="0.25">
      <c r="A10" s="153" t="s">
        <v>10</v>
      </c>
      <c r="B10" s="154" t="s">
        <v>11</v>
      </c>
      <c r="C10" s="148">
        <f>SUM(C11:C12)</f>
        <v>1397328874</v>
      </c>
      <c r="D10" s="148">
        <f t="shared" ref="D10:AO10" si="2">SUM(D11:D12)</f>
        <v>602896462</v>
      </c>
      <c r="E10" s="148">
        <f t="shared" si="2"/>
        <v>0</v>
      </c>
      <c r="F10" s="148">
        <f t="shared" si="2"/>
        <v>55777480</v>
      </c>
      <c r="G10" s="148">
        <f t="shared" si="2"/>
        <v>72729624</v>
      </c>
      <c r="H10" s="148">
        <f t="shared" si="2"/>
        <v>35375175</v>
      </c>
      <c r="I10" s="148">
        <f t="shared" si="2"/>
        <v>45766649</v>
      </c>
      <c r="J10" s="148">
        <f t="shared" si="2"/>
        <v>8176221</v>
      </c>
      <c r="K10" s="148">
        <f t="shared" si="2"/>
        <v>20104812</v>
      </c>
      <c r="L10" s="148">
        <f t="shared" si="2"/>
        <v>37309050</v>
      </c>
      <c r="M10" s="148">
        <f t="shared" si="2"/>
        <v>79167515</v>
      </c>
      <c r="N10" s="148">
        <f t="shared" si="2"/>
        <v>11952000</v>
      </c>
      <c r="O10" s="148">
        <f t="shared" si="2"/>
        <v>52754823</v>
      </c>
      <c r="P10" s="148">
        <f t="shared" si="2"/>
        <v>28323077</v>
      </c>
      <c r="Q10" s="148">
        <f t="shared" si="2"/>
        <v>11494350</v>
      </c>
      <c r="R10" s="148">
        <f t="shared" si="2"/>
        <v>44659476</v>
      </c>
      <c r="S10" s="148">
        <f t="shared" si="2"/>
        <v>6310710</v>
      </c>
      <c r="T10" s="148">
        <f t="shared" si="2"/>
        <v>17493750</v>
      </c>
      <c r="U10" s="148">
        <f t="shared" si="2"/>
        <v>10342800</v>
      </c>
      <c r="V10" s="148">
        <f t="shared" si="2"/>
        <v>24776100</v>
      </c>
      <c r="W10" s="148">
        <f t="shared" si="2"/>
        <v>4806450</v>
      </c>
      <c r="X10" s="148">
        <f t="shared" si="2"/>
        <v>35576400</v>
      </c>
      <c r="Y10" s="148">
        <f t="shared" si="2"/>
        <v>250100648</v>
      </c>
      <c r="Z10" s="148">
        <f t="shared" si="2"/>
        <v>33528600</v>
      </c>
      <c r="AA10" s="148">
        <f t="shared" si="2"/>
        <v>36932642</v>
      </c>
      <c r="AB10" s="148">
        <f t="shared" si="2"/>
        <v>78718240</v>
      </c>
      <c r="AC10" s="148">
        <f t="shared" si="2"/>
        <v>72165122</v>
      </c>
      <c r="AD10" s="148">
        <f t="shared" si="2"/>
        <v>28756044</v>
      </c>
      <c r="AE10" s="148">
        <f t="shared" si="2"/>
        <v>224937300</v>
      </c>
      <c r="AF10" s="148">
        <f t="shared" si="2"/>
        <v>18543000</v>
      </c>
      <c r="AG10" s="148">
        <f t="shared" si="2"/>
        <v>105797700</v>
      </c>
      <c r="AH10" s="148">
        <f t="shared" si="2"/>
        <v>44487600</v>
      </c>
      <c r="AI10" s="148">
        <f t="shared" si="2"/>
        <v>56109000</v>
      </c>
      <c r="AJ10" s="148">
        <f t="shared" si="2"/>
        <v>319394464</v>
      </c>
      <c r="AK10" s="148">
        <f t="shared" si="2"/>
        <v>313815808</v>
      </c>
      <c r="AL10" s="149">
        <f t="shared" si="2"/>
        <v>5578656</v>
      </c>
      <c r="AM10" s="150">
        <f t="shared" si="2"/>
        <v>1442557</v>
      </c>
      <c r="AN10" s="148">
        <f t="shared" si="2"/>
        <v>1719925</v>
      </c>
      <c r="AO10" s="149">
        <f t="shared" si="2"/>
        <v>2416174</v>
      </c>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row>
    <row r="11" spans="1:92" x14ac:dyDescent="0.25">
      <c r="A11" s="155" t="s">
        <v>12</v>
      </c>
      <c r="B11" s="156" t="s">
        <v>13</v>
      </c>
      <c r="C11" s="157">
        <f>SUM(D11+Y11+AE11+AJ11)</f>
        <v>1337829540</v>
      </c>
      <c r="D11" s="157">
        <f>SUM(E11:X11)</f>
        <v>580254621</v>
      </c>
      <c r="E11" s="157">
        <v>0</v>
      </c>
      <c r="F11" s="157">
        <v>54162000</v>
      </c>
      <c r="G11" s="157">
        <v>72729624</v>
      </c>
      <c r="H11" s="157">
        <v>35375175</v>
      </c>
      <c r="I11" s="157">
        <v>43390350</v>
      </c>
      <c r="J11" s="157">
        <v>6365250</v>
      </c>
      <c r="K11" s="157">
        <v>20104812</v>
      </c>
      <c r="L11" s="157">
        <v>37309050</v>
      </c>
      <c r="M11" s="157">
        <v>69082650</v>
      </c>
      <c r="N11" s="157">
        <v>11952000</v>
      </c>
      <c r="O11" s="157">
        <v>50892750</v>
      </c>
      <c r="P11" s="157">
        <v>27475200</v>
      </c>
      <c r="Q11" s="157">
        <v>11494350</v>
      </c>
      <c r="R11" s="157">
        <v>40615200</v>
      </c>
      <c r="S11" s="157">
        <v>6310710</v>
      </c>
      <c r="T11" s="157">
        <v>17493750</v>
      </c>
      <c r="U11" s="157">
        <v>10342800</v>
      </c>
      <c r="V11" s="157">
        <v>24776100</v>
      </c>
      <c r="W11" s="157">
        <v>4806450</v>
      </c>
      <c r="X11" s="157">
        <v>35576400</v>
      </c>
      <c r="Y11" s="157">
        <f>SUM(Z11:AD11)</f>
        <v>231600600</v>
      </c>
      <c r="Z11" s="157">
        <v>33528600</v>
      </c>
      <c r="AA11" s="157">
        <v>32333400</v>
      </c>
      <c r="AB11" s="157">
        <v>75928800</v>
      </c>
      <c r="AC11" s="157">
        <v>62091000</v>
      </c>
      <c r="AD11" s="157">
        <v>27718800</v>
      </c>
      <c r="AE11" s="157">
        <f>SUM(AF11:AI11)</f>
        <v>219811200</v>
      </c>
      <c r="AF11" s="157">
        <v>18543000</v>
      </c>
      <c r="AG11" s="157">
        <v>100671600</v>
      </c>
      <c r="AH11" s="157">
        <v>44487600</v>
      </c>
      <c r="AI11" s="157">
        <v>56109000</v>
      </c>
      <c r="AJ11" s="157">
        <f>SUM(AK11:AL11)</f>
        <v>306163119</v>
      </c>
      <c r="AK11" s="157">
        <v>300833367</v>
      </c>
      <c r="AL11" s="158">
        <f>SUM(AM11:AO11)</f>
        <v>5329752</v>
      </c>
      <c r="AM11" s="159">
        <v>1264440</v>
      </c>
      <c r="AN11" s="157">
        <v>1675200</v>
      </c>
      <c r="AO11" s="158">
        <v>2390112</v>
      </c>
    </row>
    <row r="12" spans="1:92" x14ac:dyDescent="0.25">
      <c r="A12" s="155" t="s">
        <v>14</v>
      </c>
      <c r="B12" s="156" t="s">
        <v>15</v>
      </c>
      <c r="C12" s="157">
        <f>SUM(D12+Y12+AE12+AJ12)</f>
        <v>59499334</v>
      </c>
      <c r="D12" s="157">
        <f>SUM(E12:X12)</f>
        <v>22641841</v>
      </c>
      <c r="E12" s="157">
        <v>0</v>
      </c>
      <c r="F12" s="157">
        <v>1615480</v>
      </c>
      <c r="G12" s="157">
        <v>0</v>
      </c>
      <c r="H12" s="157">
        <v>0</v>
      </c>
      <c r="I12" s="157">
        <v>2376299</v>
      </c>
      <c r="J12" s="157">
        <v>1810971</v>
      </c>
      <c r="K12" s="157">
        <v>0</v>
      </c>
      <c r="L12" s="157">
        <v>0</v>
      </c>
      <c r="M12" s="157">
        <v>10084865</v>
      </c>
      <c r="N12" s="157">
        <v>0</v>
      </c>
      <c r="O12" s="157">
        <v>1862073</v>
      </c>
      <c r="P12" s="157">
        <v>847877</v>
      </c>
      <c r="Q12" s="157">
        <v>0</v>
      </c>
      <c r="R12" s="157">
        <v>4044276</v>
      </c>
      <c r="S12" s="157">
        <v>0</v>
      </c>
      <c r="T12" s="157">
        <v>0</v>
      </c>
      <c r="U12" s="157">
        <v>0</v>
      </c>
      <c r="V12" s="157">
        <v>0</v>
      </c>
      <c r="W12" s="157">
        <v>0</v>
      </c>
      <c r="X12" s="157">
        <v>0</v>
      </c>
      <c r="Y12" s="157">
        <f>SUM(Z12:AD12)</f>
        <v>18500048</v>
      </c>
      <c r="Z12" s="157">
        <v>0</v>
      </c>
      <c r="AA12" s="157">
        <v>4599242</v>
      </c>
      <c r="AB12" s="157">
        <v>2789440</v>
      </c>
      <c r="AC12" s="157">
        <v>10074122</v>
      </c>
      <c r="AD12" s="157">
        <v>1037244</v>
      </c>
      <c r="AE12" s="157">
        <f>SUM(AF12:AI12)</f>
        <v>5126100</v>
      </c>
      <c r="AF12" s="157">
        <v>0</v>
      </c>
      <c r="AG12" s="157">
        <v>5126100</v>
      </c>
      <c r="AH12" s="157">
        <v>0</v>
      </c>
      <c r="AI12" s="157">
        <v>0</v>
      </c>
      <c r="AJ12" s="157">
        <f>SUM(AK12:AL12)</f>
        <v>13231345</v>
      </c>
      <c r="AK12" s="157">
        <v>12982441</v>
      </c>
      <c r="AL12" s="158">
        <f>SUM(AM12:AO12)</f>
        <v>248904</v>
      </c>
      <c r="AM12" s="159">
        <v>178117</v>
      </c>
      <c r="AN12" s="157">
        <v>44725</v>
      </c>
      <c r="AO12" s="158">
        <v>26062</v>
      </c>
    </row>
    <row r="13" spans="1:92" x14ac:dyDescent="0.25">
      <c r="A13" s="160"/>
      <c r="B13" s="161"/>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8"/>
      <c r="AM13" s="159"/>
      <c r="AN13" s="157"/>
      <c r="AO13" s="158"/>
    </row>
    <row r="14" spans="1:92" x14ac:dyDescent="0.25">
      <c r="A14" s="153" t="s">
        <v>16</v>
      </c>
      <c r="B14" s="162" t="s">
        <v>17</v>
      </c>
      <c r="C14" s="148">
        <f>SUM(C15:C17)</f>
        <v>57929116</v>
      </c>
      <c r="D14" s="148">
        <f t="shared" ref="D14:AO14" si="3">SUM(D15:D17)</f>
        <v>41147210</v>
      </c>
      <c r="E14" s="148">
        <f t="shared" si="3"/>
        <v>29600003</v>
      </c>
      <c r="F14" s="148">
        <f t="shared" si="3"/>
        <v>2187928</v>
      </c>
      <c r="G14" s="148">
        <f t="shared" si="3"/>
        <v>0</v>
      </c>
      <c r="H14" s="148">
        <f t="shared" si="3"/>
        <v>0</v>
      </c>
      <c r="I14" s="148">
        <f t="shared" si="3"/>
        <v>0</v>
      </c>
      <c r="J14" s="148">
        <f t="shared" si="3"/>
        <v>0</v>
      </c>
      <c r="K14" s="148">
        <f t="shared" si="3"/>
        <v>0</v>
      </c>
      <c r="L14" s="148">
        <f t="shared" si="3"/>
        <v>1652082</v>
      </c>
      <c r="M14" s="148">
        <f t="shared" si="3"/>
        <v>0</v>
      </c>
      <c r="N14" s="148">
        <f t="shared" si="3"/>
        <v>0</v>
      </c>
      <c r="O14" s="148">
        <f t="shared" si="3"/>
        <v>7418924</v>
      </c>
      <c r="P14" s="148">
        <f t="shared" si="3"/>
        <v>0</v>
      </c>
      <c r="Q14" s="148">
        <f t="shared" si="3"/>
        <v>0</v>
      </c>
      <c r="R14" s="148">
        <f t="shared" si="3"/>
        <v>0</v>
      </c>
      <c r="S14" s="148">
        <f t="shared" si="3"/>
        <v>288273</v>
      </c>
      <c r="T14" s="148">
        <f t="shared" si="3"/>
        <v>0</v>
      </c>
      <c r="U14" s="148">
        <f t="shared" si="3"/>
        <v>0</v>
      </c>
      <c r="V14" s="148">
        <f t="shared" si="3"/>
        <v>0</v>
      </c>
      <c r="W14" s="148">
        <f t="shared" si="3"/>
        <v>0</v>
      </c>
      <c r="X14" s="148">
        <f t="shared" si="3"/>
        <v>0</v>
      </c>
      <c r="Y14" s="148">
        <f t="shared" si="3"/>
        <v>0</v>
      </c>
      <c r="Z14" s="148">
        <f t="shared" si="3"/>
        <v>0</v>
      </c>
      <c r="AA14" s="148">
        <f t="shared" si="3"/>
        <v>0</v>
      </c>
      <c r="AB14" s="148">
        <f t="shared" si="3"/>
        <v>0</v>
      </c>
      <c r="AC14" s="148">
        <f t="shared" si="3"/>
        <v>0</v>
      </c>
      <c r="AD14" s="148">
        <f t="shared" si="3"/>
        <v>0</v>
      </c>
      <c r="AE14" s="148">
        <f t="shared" si="3"/>
        <v>4396333</v>
      </c>
      <c r="AF14" s="148">
        <f t="shared" si="3"/>
        <v>0</v>
      </c>
      <c r="AG14" s="148">
        <f t="shared" si="3"/>
        <v>4396333</v>
      </c>
      <c r="AH14" s="148">
        <f t="shared" si="3"/>
        <v>0</v>
      </c>
      <c r="AI14" s="148">
        <f t="shared" si="3"/>
        <v>0</v>
      </c>
      <c r="AJ14" s="148">
        <f t="shared" si="3"/>
        <v>12385573</v>
      </c>
      <c r="AK14" s="148">
        <f t="shared" si="3"/>
        <v>12076438</v>
      </c>
      <c r="AL14" s="149">
        <f t="shared" si="3"/>
        <v>309135</v>
      </c>
      <c r="AM14" s="150">
        <f t="shared" si="3"/>
        <v>232022</v>
      </c>
      <c r="AN14" s="148">
        <f t="shared" si="3"/>
        <v>77113</v>
      </c>
      <c r="AO14" s="149">
        <f t="shared" si="3"/>
        <v>0</v>
      </c>
    </row>
    <row r="15" spans="1:92" x14ac:dyDescent="0.25">
      <c r="A15" s="155" t="s">
        <v>18</v>
      </c>
      <c r="B15" s="156" t="s">
        <v>19</v>
      </c>
      <c r="C15" s="157">
        <f>SUM(D15+Y15+AE15+AJ15)</f>
        <v>9930483</v>
      </c>
      <c r="D15" s="157">
        <f>SUM(E15:X15)</f>
        <v>5923042</v>
      </c>
      <c r="E15" s="157">
        <v>0</v>
      </c>
      <c r="F15" s="157">
        <v>0</v>
      </c>
      <c r="G15" s="157">
        <v>0</v>
      </c>
      <c r="H15" s="157">
        <v>0</v>
      </c>
      <c r="I15" s="157">
        <v>0</v>
      </c>
      <c r="J15" s="157">
        <v>0</v>
      </c>
      <c r="K15" s="157">
        <v>0</v>
      </c>
      <c r="L15" s="157">
        <v>0</v>
      </c>
      <c r="M15" s="157">
        <v>0</v>
      </c>
      <c r="N15" s="157">
        <v>0</v>
      </c>
      <c r="O15" s="157">
        <v>5923042</v>
      </c>
      <c r="P15" s="157">
        <v>0</v>
      </c>
      <c r="Q15" s="157">
        <v>0</v>
      </c>
      <c r="R15" s="157">
        <v>0</v>
      </c>
      <c r="S15" s="157">
        <v>0</v>
      </c>
      <c r="T15" s="157">
        <v>0</v>
      </c>
      <c r="U15" s="157">
        <v>0</v>
      </c>
      <c r="V15" s="157">
        <v>0</v>
      </c>
      <c r="W15" s="157">
        <v>0</v>
      </c>
      <c r="X15" s="157">
        <v>0</v>
      </c>
      <c r="Y15" s="157">
        <f>SUM(Z15:AD15)</f>
        <v>0</v>
      </c>
      <c r="Z15" s="157">
        <v>0</v>
      </c>
      <c r="AA15" s="157">
        <v>0</v>
      </c>
      <c r="AB15" s="157">
        <v>0</v>
      </c>
      <c r="AC15" s="157">
        <v>0</v>
      </c>
      <c r="AD15" s="157">
        <v>0</v>
      </c>
      <c r="AE15" s="157">
        <f>SUM(AF15:AI15)</f>
        <v>0</v>
      </c>
      <c r="AF15" s="157">
        <v>0</v>
      </c>
      <c r="AG15" s="157">
        <v>0</v>
      </c>
      <c r="AH15" s="157">
        <v>0</v>
      </c>
      <c r="AI15" s="157">
        <v>0</v>
      </c>
      <c r="AJ15" s="157">
        <f>SUM(AK15:AL15)</f>
        <v>4007441</v>
      </c>
      <c r="AK15" s="157">
        <v>3926117</v>
      </c>
      <c r="AL15" s="158">
        <f>SUM(AM15:AO15)</f>
        <v>81324</v>
      </c>
      <c r="AM15" s="159">
        <v>53371</v>
      </c>
      <c r="AN15" s="157">
        <v>27953</v>
      </c>
      <c r="AO15" s="158">
        <v>0</v>
      </c>
    </row>
    <row r="16" spans="1:92" x14ac:dyDescent="0.25">
      <c r="A16" s="155" t="s">
        <v>20</v>
      </c>
      <c r="B16" s="156" t="s">
        <v>21</v>
      </c>
      <c r="C16" s="157">
        <f>SUM(D16+Y16+AE16+AJ16)</f>
        <v>18398630</v>
      </c>
      <c r="D16" s="157">
        <f>SUM(E16:X16)</f>
        <v>5624165</v>
      </c>
      <c r="E16" s="157">
        <v>0</v>
      </c>
      <c r="F16" s="157">
        <v>2187928</v>
      </c>
      <c r="G16" s="157">
        <v>0</v>
      </c>
      <c r="H16" s="157">
        <v>0</v>
      </c>
      <c r="I16" s="157">
        <v>0</v>
      </c>
      <c r="J16" s="157">
        <v>0</v>
      </c>
      <c r="K16" s="157">
        <v>0</v>
      </c>
      <c r="L16" s="157">
        <v>1652082</v>
      </c>
      <c r="M16" s="157">
        <v>0</v>
      </c>
      <c r="N16" s="157">
        <v>0</v>
      </c>
      <c r="O16" s="157">
        <v>1495882</v>
      </c>
      <c r="P16" s="157">
        <v>0</v>
      </c>
      <c r="Q16" s="157">
        <v>0</v>
      </c>
      <c r="R16" s="157">
        <v>0</v>
      </c>
      <c r="S16" s="157">
        <v>288273</v>
      </c>
      <c r="T16" s="157">
        <v>0</v>
      </c>
      <c r="U16" s="157">
        <v>0</v>
      </c>
      <c r="V16" s="157">
        <v>0</v>
      </c>
      <c r="W16" s="157">
        <v>0</v>
      </c>
      <c r="X16" s="157">
        <v>0</v>
      </c>
      <c r="Y16" s="157">
        <f>SUM(Z16:AD16)</f>
        <v>0</v>
      </c>
      <c r="Z16" s="157">
        <v>0</v>
      </c>
      <c r="AA16" s="157">
        <v>0</v>
      </c>
      <c r="AB16" s="157">
        <v>0</v>
      </c>
      <c r="AC16" s="157">
        <v>0</v>
      </c>
      <c r="AD16" s="157">
        <v>0</v>
      </c>
      <c r="AE16" s="157">
        <f>SUM(AF16:AI16)</f>
        <v>4396333</v>
      </c>
      <c r="AF16" s="157">
        <v>0</v>
      </c>
      <c r="AG16" s="157">
        <v>4396333</v>
      </c>
      <c r="AH16" s="157">
        <v>0</v>
      </c>
      <c r="AI16" s="157">
        <v>0</v>
      </c>
      <c r="AJ16" s="157">
        <f>SUM(AK16:AL16)</f>
        <v>8378132</v>
      </c>
      <c r="AK16" s="157">
        <v>8150321</v>
      </c>
      <c r="AL16" s="158">
        <f>SUM(AM16:AO16)</f>
        <v>227811</v>
      </c>
      <c r="AM16" s="159">
        <v>178651</v>
      </c>
      <c r="AN16" s="157">
        <v>49160</v>
      </c>
      <c r="AO16" s="158">
        <v>0</v>
      </c>
    </row>
    <row r="17" spans="1:41" x14ac:dyDescent="0.25">
      <c r="A17" s="155" t="s">
        <v>22</v>
      </c>
      <c r="B17" s="156" t="s">
        <v>23</v>
      </c>
      <c r="C17" s="157">
        <f>SUM(D17+Y17+AE17+AJ17)</f>
        <v>29600003</v>
      </c>
      <c r="D17" s="157">
        <f>SUM(E17:X17)</f>
        <v>29600003</v>
      </c>
      <c r="E17" s="157">
        <v>29600003</v>
      </c>
      <c r="F17" s="157">
        <v>0</v>
      </c>
      <c r="G17" s="157">
        <v>0</v>
      </c>
      <c r="H17" s="157">
        <v>0</v>
      </c>
      <c r="I17" s="157">
        <v>0</v>
      </c>
      <c r="J17" s="157">
        <v>0</v>
      </c>
      <c r="K17" s="157">
        <v>0</v>
      </c>
      <c r="L17" s="157">
        <v>0</v>
      </c>
      <c r="M17" s="157">
        <v>0</v>
      </c>
      <c r="N17" s="157">
        <v>0</v>
      </c>
      <c r="O17" s="157">
        <v>0</v>
      </c>
      <c r="P17" s="157">
        <v>0</v>
      </c>
      <c r="Q17" s="157">
        <v>0</v>
      </c>
      <c r="R17" s="157">
        <v>0</v>
      </c>
      <c r="S17" s="157">
        <v>0</v>
      </c>
      <c r="T17" s="157">
        <v>0</v>
      </c>
      <c r="U17" s="157">
        <v>0</v>
      </c>
      <c r="V17" s="157">
        <v>0</v>
      </c>
      <c r="W17" s="157">
        <v>0</v>
      </c>
      <c r="X17" s="157">
        <v>0</v>
      </c>
      <c r="Y17" s="157">
        <f>SUM(Z17:AD17)</f>
        <v>0</v>
      </c>
      <c r="Z17" s="157">
        <v>0</v>
      </c>
      <c r="AA17" s="157">
        <v>0</v>
      </c>
      <c r="AB17" s="157">
        <v>0</v>
      </c>
      <c r="AC17" s="157">
        <v>0</v>
      </c>
      <c r="AD17" s="157">
        <v>0</v>
      </c>
      <c r="AE17" s="157">
        <f>SUM(AF17:AI17)</f>
        <v>0</v>
      </c>
      <c r="AF17" s="157">
        <v>0</v>
      </c>
      <c r="AG17" s="157">
        <v>0</v>
      </c>
      <c r="AH17" s="157">
        <v>0</v>
      </c>
      <c r="AI17" s="157">
        <v>0</v>
      </c>
      <c r="AJ17" s="157">
        <f>SUM(AK17:AL17)</f>
        <v>0</v>
      </c>
      <c r="AK17" s="157">
        <v>0</v>
      </c>
      <c r="AL17" s="158">
        <f>SUM(AM17:AO17)</f>
        <v>0</v>
      </c>
      <c r="AM17" s="159">
        <v>0</v>
      </c>
      <c r="AN17" s="157">
        <v>0</v>
      </c>
      <c r="AO17" s="158">
        <v>0</v>
      </c>
    </row>
    <row r="18" spans="1:41" x14ac:dyDescent="0.25">
      <c r="A18" s="160"/>
      <c r="B18" s="161"/>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8"/>
      <c r="AM18" s="159"/>
      <c r="AN18" s="157"/>
      <c r="AO18" s="158"/>
    </row>
    <row r="19" spans="1:41" x14ac:dyDescent="0.25">
      <c r="A19" s="163" t="s">
        <v>24</v>
      </c>
      <c r="B19" s="154" t="s">
        <v>25</v>
      </c>
      <c r="C19" s="148">
        <f>SUM(C20+C24+C28+C29+C31)</f>
        <v>1581538383</v>
      </c>
      <c r="D19" s="148">
        <f t="shared" ref="D19:AO19" si="4">SUM(D20+D24+D28+D29+D31)</f>
        <v>645964282</v>
      </c>
      <c r="E19" s="148">
        <f t="shared" si="4"/>
        <v>0</v>
      </c>
      <c r="F19" s="148">
        <f t="shared" si="4"/>
        <v>69839131</v>
      </c>
      <c r="G19" s="148">
        <f t="shared" si="4"/>
        <v>46101915</v>
      </c>
      <c r="H19" s="148">
        <f t="shared" si="4"/>
        <v>21898902</v>
      </c>
      <c r="I19" s="148">
        <f t="shared" si="4"/>
        <v>74347581</v>
      </c>
      <c r="J19" s="148">
        <f t="shared" si="4"/>
        <v>6700952</v>
      </c>
      <c r="K19" s="148">
        <f t="shared" si="4"/>
        <v>5478013</v>
      </c>
      <c r="L19" s="148">
        <f t="shared" si="4"/>
        <v>56251661</v>
      </c>
      <c r="M19" s="148">
        <f t="shared" si="4"/>
        <v>109950269</v>
      </c>
      <c r="N19" s="148">
        <f t="shared" si="4"/>
        <v>14453909</v>
      </c>
      <c r="O19" s="148">
        <f t="shared" si="4"/>
        <v>42510483</v>
      </c>
      <c r="P19" s="148">
        <f t="shared" si="4"/>
        <v>29227111</v>
      </c>
      <c r="Q19" s="148">
        <f t="shared" si="4"/>
        <v>10722109</v>
      </c>
      <c r="R19" s="148">
        <f t="shared" si="4"/>
        <v>41469124</v>
      </c>
      <c r="S19" s="148">
        <f t="shared" si="4"/>
        <v>5822050</v>
      </c>
      <c r="T19" s="148">
        <f t="shared" si="4"/>
        <v>16016985</v>
      </c>
      <c r="U19" s="148">
        <f t="shared" si="4"/>
        <v>11314076</v>
      </c>
      <c r="V19" s="148">
        <f t="shared" si="4"/>
        <v>32145173</v>
      </c>
      <c r="W19" s="148">
        <f t="shared" si="4"/>
        <v>7212804</v>
      </c>
      <c r="X19" s="148">
        <f t="shared" si="4"/>
        <v>44502034</v>
      </c>
      <c r="Y19" s="148">
        <f t="shared" si="4"/>
        <v>279230332</v>
      </c>
      <c r="Z19" s="148">
        <f t="shared" si="4"/>
        <v>43073547</v>
      </c>
      <c r="AA19" s="148">
        <f t="shared" si="4"/>
        <v>33235572</v>
      </c>
      <c r="AB19" s="148">
        <f t="shared" si="4"/>
        <v>79743694</v>
      </c>
      <c r="AC19" s="148">
        <f t="shared" si="4"/>
        <v>90986250</v>
      </c>
      <c r="AD19" s="148">
        <f t="shared" si="4"/>
        <v>32191269</v>
      </c>
      <c r="AE19" s="148">
        <f t="shared" si="4"/>
        <v>293863806</v>
      </c>
      <c r="AF19" s="148">
        <f t="shared" si="4"/>
        <v>21364439</v>
      </c>
      <c r="AG19" s="148">
        <f t="shared" si="4"/>
        <v>147865377</v>
      </c>
      <c r="AH19" s="148">
        <f t="shared" si="4"/>
        <v>60756835</v>
      </c>
      <c r="AI19" s="148">
        <f t="shared" si="4"/>
        <v>63877155</v>
      </c>
      <c r="AJ19" s="148">
        <f t="shared" si="4"/>
        <v>362479963</v>
      </c>
      <c r="AK19" s="148">
        <f t="shared" si="4"/>
        <v>355696412</v>
      </c>
      <c r="AL19" s="149">
        <f t="shared" si="4"/>
        <v>6783551</v>
      </c>
      <c r="AM19" s="150">
        <f t="shared" si="4"/>
        <v>1607501</v>
      </c>
      <c r="AN19" s="148">
        <f t="shared" si="4"/>
        <v>2110318</v>
      </c>
      <c r="AO19" s="149">
        <f t="shared" si="4"/>
        <v>3065732</v>
      </c>
    </row>
    <row r="20" spans="1:41" x14ac:dyDescent="0.25">
      <c r="A20" s="164" t="s">
        <v>26</v>
      </c>
      <c r="B20" s="162" t="s">
        <v>27</v>
      </c>
      <c r="C20" s="148">
        <f>SUM(C21:C22)</f>
        <v>504932370</v>
      </c>
      <c r="D20" s="148">
        <f t="shared" ref="D20:AO20" si="5">SUM(D21:D22)</f>
        <v>211541316</v>
      </c>
      <c r="E20" s="148">
        <f t="shared" si="5"/>
        <v>0</v>
      </c>
      <c r="F20" s="148">
        <f t="shared" si="5"/>
        <v>17666064</v>
      </c>
      <c r="G20" s="148">
        <f t="shared" si="5"/>
        <v>14651964</v>
      </c>
      <c r="H20" s="148">
        <f t="shared" si="5"/>
        <v>5194728</v>
      </c>
      <c r="I20" s="148">
        <f t="shared" si="5"/>
        <v>29124846</v>
      </c>
      <c r="J20" s="148">
        <f t="shared" si="5"/>
        <v>1893105</v>
      </c>
      <c r="K20" s="148">
        <f t="shared" si="5"/>
        <v>1694241</v>
      </c>
      <c r="L20" s="148">
        <f t="shared" si="5"/>
        <v>16448112</v>
      </c>
      <c r="M20" s="148">
        <f t="shared" si="5"/>
        <v>43359471</v>
      </c>
      <c r="N20" s="148">
        <f t="shared" si="5"/>
        <v>4079259</v>
      </c>
      <c r="O20" s="148">
        <f t="shared" si="5"/>
        <v>21135582</v>
      </c>
      <c r="P20" s="148">
        <f t="shared" si="5"/>
        <v>7787466</v>
      </c>
      <c r="Q20" s="148">
        <f t="shared" si="5"/>
        <v>2185722</v>
      </c>
      <c r="R20" s="148">
        <f t="shared" si="5"/>
        <v>14251332</v>
      </c>
      <c r="S20" s="148">
        <f t="shared" si="5"/>
        <v>2146536</v>
      </c>
      <c r="T20" s="148">
        <f t="shared" si="5"/>
        <v>6607152</v>
      </c>
      <c r="U20" s="148">
        <f t="shared" si="5"/>
        <v>3606318</v>
      </c>
      <c r="V20" s="148">
        <f t="shared" si="5"/>
        <v>8704341</v>
      </c>
      <c r="W20" s="148">
        <f t="shared" si="5"/>
        <v>1441413</v>
      </c>
      <c r="X20" s="148">
        <f t="shared" si="5"/>
        <v>9563664</v>
      </c>
      <c r="Y20" s="148">
        <f t="shared" si="5"/>
        <v>75831288</v>
      </c>
      <c r="Z20" s="148">
        <f t="shared" si="5"/>
        <v>16250196</v>
      </c>
      <c r="AA20" s="148">
        <f t="shared" si="5"/>
        <v>8059140</v>
      </c>
      <c r="AB20" s="148">
        <f t="shared" si="5"/>
        <v>12883476</v>
      </c>
      <c r="AC20" s="148">
        <f t="shared" si="5"/>
        <v>31002144</v>
      </c>
      <c r="AD20" s="148">
        <f t="shared" si="5"/>
        <v>7636332</v>
      </c>
      <c r="AE20" s="148">
        <f t="shared" si="5"/>
        <v>89351976</v>
      </c>
      <c r="AF20" s="148">
        <f t="shared" si="5"/>
        <v>6124332</v>
      </c>
      <c r="AG20" s="148">
        <f t="shared" si="5"/>
        <v>45282216</v>
      </c>
      <c r="AH20" s="148">
        <f t="shared" si="5"/>
        <v>19334532</v>
      </c>
      <c r="AI20" s="148">
        <f t="shared" si="5"/>
        <v>18610896</v>
      </c>
      <c r="AJ20" s="148">
        <f t="shared" si="5"/>
        <v>128207790</v>
      </c>
      <c r="AK20" s="148">
        <f t="shared" si="5"/>
        <v>125799533</v>
      </c>
      <c r="AL20" s="149">
        <f t="shared" si="5"/>
        <v>2408257</v>
      </c>
      <c r="AM20" s="150">
        <f t="shared" si="5"/>
        <v>502934</v>
      </c>
      <c r="AN20" s="148">
        <f t="shared" si="5"/>
        <v>1052783</v>
      </c>
      <c r="AO20" s="149">
        <f t="shared" si="5"/>
        <v>852540</v>
      </c>
    </row>
    <row r="21" spans="1:41" x14ac:dyDescent="0.25">
      <c r="A21" s="155" t="s">
        <v>28</v>
      </c>
      <c r="B21" s="156" t="s">
        <v>29</v>
      </c>
      <c r="C21" s="157">
        <f>SUM(D21+Y21+AE21+AJ21)</f>
        <v>452008205</v>
      </c>
      <c r="D21" s="157">
        <f>SUM(E21:X21)</f>
        <v>195707535</v>
      </c>
      <c r="E21" s="157">
        <v>0</v>
      </c>
      <c r="F21" s="157">
        <v>17666064</v>
      </c>
      <c r="G21" s="157">
        <v>14651964</v>
      </c>
      <c r="H21" s="157">
        <v>5194728</v>
      </c>
      <c r="I21" s="157">
        <v>23642226</v>
      </c>
      <c r="J21" s="157">
        <v>1893105</v>
      </c>
      <c r="K21" s="157">
        <v>1694241</v>
      </c>
      <c r="L21" s="157">
        <v>16448112</v>
      </c>
      <c r="M21" s="157">
        <v>33008310</v>
      </c>
      <c r="N21" s="157">
        <v>4079259</v>
      </c>
      <c r="O21" s="157">
        <v>21135582</v>
      </c>
      <c r="P21" s="157">
        <v>7787466</v>
      </c>
      <c r="Q21" s="157">
        <v>2185722</v>
      </c>
      <c r="R21" s="157">
        <v>14251332</v>
      </c>
      <c r="S21" s="157">
        <v>2146536</v>
      </c>
      <c r="T21" s="157">
        <v>6607152</v>
      </c>
      <c r="U21" s="157">
        <v>3606318</v>
      </c>
      <c r="V21" s="157">
        <v>8704341</v>
      </c>
      <c r="W21" s="157">
        <v>1441413</v>
      </c>
      <c r="X21" s="157">
        <v>9563664</v>
      </c>
      <c r="Y21" s="157">
        <f>SUM(Z21:AD21)</f>
        <v>67026408</v>
      </c>
      <c r="Z21" s="157">
        <v>16250196</v>
      </c>
      <c r="AA21" s="157">
        <v>8059140</v>
      </c>
      <c r="AB21" s="157">
        <v>12883476</v>
      </c>
      <c r="AC21" s="157">
        <v>22197264</v>
      </c>
      <c r="AD21" s="157">
        <v>7636332</v>
      </c>
      <c r="AE21" s="157">
        <f>SUM(AF21:AI21)</f>
        <v>74771244</v>
      </c>
      <c r="AF21" s="157">
        <v>6124332</v>
      </c>
      <c r="AG21" s="157">
        <v>30701484</v>
      </c>
      <c r="AH21" s="157">
        <v>19334532</v>
      </c>
      <c r="AI21" s="157">
        <v>18610896</v>
      </c>
      <c r="AJ21" s="157">
        <f>SUM(AK21:AL21)</f>
        <v>114503018</v>
      </c>
      <c r="AK21" s="157">
        <v>112431835</v>
      </c>
      <c r="AL21" s="158">
        <f>SUM(AM21:AO21)</f>
        <v>2071183</v>
      </c>
      <c r="AM21" s="159">
        <v>502934</v>
      </c>
      <c r="AN21" s="157">
        <v>715709</v>
      </c>
      <c r="AO21" s="158">
        <v>852540</v>
      </c>
    </row>
    <row r="22" spans="1:41" x14ac:dyDescent="0.25">
      <c r="A22" s="155" t="s">
        <v>30</v>
      </c>
      <c r="B22" s="156" t="s">
        <v>31</v>
      </c>
      <c r="C22" s="157">
        <f>SUM(D22+Y22+AE22+AJ22)</f>
        <v>52924165</v>
      </c>
      <c r="D22" s="157">
        <f>SUM(E22:X22)</f>
        <v>15833781</v>
      </c>
      <c r="E22" s="157">
        <v>0</v>
      </c>
      <c r="F22" s="157">
        <v>0</v>
      </c>
      <c r="G22" s="157">
        <v>0</v>
      </c>
      <c r="H22" s="157">
        <v>0</v>
      </c>
      <c r="I22" s="157">
        <v>5482620</v>
      </c>
      <c r="J22" s="157">
        <v>0</v>
      </c>
      <c r="K22" s="157">
        <v>0</v>
      </c>
      <c r="L22" s="157">
        <v>0</v>
      </c>
      <c r="M22" s="157">
        <v>10351161</v>
      </c>
      <c r="N22" s="157">
        <v>0</v>
      </c>
      <c r="O22" s="157">
        <v>0</v>
      </c>
      <c r="P22" s="157">
        <v>0</v>
      </c>
      <c r="Q22" s="157">
        <v>0</v>
      </c>
      <c r="R22" s="157">
        <v>0</v>
      </c>
      <c r="S22" s="157">
        <v>0</v>
      </c>
      <c r="T22" s="157">
        <v>0</v>
      </c>
      <c r="U22" s="157">
        <v>0</v>
      </c>
      <c r="V22" s="157">
        <v>0</v>
      </c>
      <c r="W22" s="157">
        <v>0</v>
      </c>
      <c r="X22" s="157">
        <v>0</v>
      </c>
      <c r="Y22" s="157">
        <f>SUM(Z22:AD22)</f>
        <v>8804880</v>
      </c>
      <c r="Z22" s="157">
        <v>0</v>
      </c>
      <c r="AA22" s="157">
        <v>0</v>
      </c>
      <c r="AB22" s="157">
        <v>0</v>
      </c>
      <c r="AC22" s="157">
        <v>8804880</v>
      </c>
      <c r="AD22" s="157">
        <v>0</v>
      </c>
      <c r="AE22" s="157">
        <f>SUM(AF22:AI22)</f>
        <v>14580732</v>
      </c>
      <c r="AF22" s="157">
        <v>0</v>
      </c>
      <c r="AG22" s="157">
        <v>14580732</v>
      </c>
      <c r="AH22" s="157">
        <v>0</v>
      </c>
      <c r="AI22" s="157">
        <v>0</v>
      </c>
      <c r="AJ22" s="157">
        <f>SUM(AK22:AL22)</f>
        <v>13704772</v>
      </c>
      <c r="AK22" s="157">
        <v>13367698</v>
      </c>
      <c r="AL22" s="158">
        <f>SUM(AM22:AO22)</f>
        <v>337074</v>
      </c>
      <c r="AM22" s="159">
        <v>0</v>
      </c>
      <c r="AN22" s="157">
        <v>337074</v>
      </c>
      <c r="AO22" s="158">
        <v>0</v>
      </c>
    </row>
    <row r="23" spans="1:41" x14ac:dyDescent="0.25">
      <c r="A23" s="160"/>
      <c r="B23" s="161"/>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8"/>
      <c r="AM23" s="159"/>
      <c r="AN23" s="157"/>
      <c r="AO23" s="158"/>
    </row>
    <row r="24" spans="1:41" x14ac:dyDescent="0.25">
      <c r="A24" s="164" t="s">
        <v>32</v>
      </c>
      <c r="B24" s="162" t="s">
        <v>33</v>
      </c>
      <c r="C24" s="148">
        <f>SUM(C25:C26)</f>
        <v>520110800</v>
      </c>
      <c r="D24" s="148">
        <f t="shared" ref="D24:AO24" si="6">SUM(D25:D26)</f>
        <v>201949589</v>
      </c>
      <c r="E24" s="148">
        <f t="shared" si="6"/>
        <v>0</v>
      </c>
      <c r="F24" s="148">
        <f t="shared" si="6"/>
        <v>27883410</v>
      </c>
      <c r="G24" s="148">
        <f t="shared" si="6"/>
        <v>12415170</v>
      </c>
      <c r="H24" s="148">
        <f t="shared" si="6"/>
        <v>6596618</v>
      </c>
      <c r="I24" s="148">
        <f t="shared" si="6"/>
        <v>21975030</v>
      </c>
      <c r="J24" s="148">
        <f t="shared" si="6"/>
        <v>2546100</v>
      </c>
      <c r="K24" s="148">
        <f t="shared" si="6"/>
        <v>0</v>
      </c>
      <c r="L24" s="148">
        <f t="shared" si="6"/>
        <v>19799010</v>
      </c>
      <c r="M24" s="148">
        <f t="shared" si="6"/>
        <v>31521173</v>
      </c>
      <c r="N24" s="148">
        <f t="shared" si="6"/>
        <v>5712233</v>
      </c>
      <c r="O24" s="148">
        <f t="shared" si="6"/>
        <v>4172603</v>
      </c>
      <c r="P24" s="148">
        <f t="shared" si="6"/>
        <v>10074060</v>
      </c>
      <c r="Q24" s="148">
        <f t="shared" si="6"/>
        <v>4432230</v>
      </c>
      <c r="R24" s="148">
        <f t="shared" si="6"/>
        <v>12586860</v>
      </c>
      <c r="S24" s="148">
        <f t="shared" si="6"/>
        <v>1459953</v>
      </c>
      <c r="T24" s="148">
        <f t="shared" si="6"/>
        <v>3798878</v>
      </c>
      <c r="U24" s="148">
        <f t="shared" si="6"/>
        <v>3798878</v>
      </c>
      <c r="V24" s="148">
        <f t="shared" si="6"/>
        <v>12239865</v>
      </c>
      <c r="W24" s="148">
        <f t="shared" si="6"/>
        <v>2643548</v>
      </c>
      <c r="X24" s="148">
        <f t="shared" si="6"/>
        <v>18293970</v>
      </c>
      <c r="Y24" s="148">
        <f t="shared" si="6"/>
        <v>107475585</v>
      </c>
      <c r="Z24" s="148">
        <f t="shared" si="6"/>
        <v>13720740</v>
      </c>
      <c r="AA24" s="148">
        <f t="shared" si="6"/>
        <v>12943590</v>
      </c>
      <c r="AB24" s="148">
        <f t="shared" si="6"/>
        <v>36481515</v>
      </c>
      <c r="AC24" s="148">
        <f t="shared" si="6"/>
        <v>30357450</v>
      </c>
      <c r="AD24" s="148">
        <f t="shared" si="6"/>
        <v>13972290</v>
      </c>
      <c r="AE24" s="148">
        <f t="shared" si="6"/>
        <v>103112955</v>
      </c>
      <c r="AF24" s="148">
        <f t="shared" si="6"/>
        <v>7878420</v>
      </c>
      <c r="AG24" s="148">
        <f t="shared" si="6"/>
        <v>52836795</v>
      </c>
      <c r="AH24" s="148">
        <f t="shared" si="6"/>
        <v>19705620</v>
      </c>
      <c r="AI24" s="148">
        <f t="shared" si="6"/>
        <v>22692120</v>
      </c>
      <c r="AJ24" s="148">
        <f t="shared" si="6"/>
        <v>107572671</v>
      </c>
      <c r="AK24" s="148">
        <f t="shared" si="6"/>
        <v>105492647</v>
      </c>
      <c r="AL24" s="149">
        <f t="shared" si="6"/>
        <v>2080024</v>
      </c>
      <c r="AM24" s="150">
        <f t="shared" si="6"/>
        <v>501851</v>
      </c>
      <c r="AN24" s="148">
        <f t="shared" si="6"/>
        <v>409253</v>
      </c>
      <c r="AO24" s="149">
        <f t="shared" si="6"/>
        <v>1168920</v>
      </c>
    </row>
    <row r="25" spans="1:41" x14ac:dyDescent="0.25">
      <c r="A25" s="155" t="s">
        <v>34</v>
      </c>
      <c r="B25" s="156" t="s">
        <v>35</v>
      </c>
      <c r="C25" s="157">
        <f>SUM(D25+Y25+AE25+AJ25)</f>
        <v>477626959</v>
      </c>
      <c r="D25" s="157">
        <f>SUM(E25:X25)</f>
        <v>163115856</v>
      </c>
      <c r="E25" s="157">
        <v>0</v>
      </c>
      <c r="F25" s="157">
        <v>0</v>
      </c>
      <c r="G25" s="157">
        <v>12415170</v>
      </c>
      <c r="H25" s="157">
        <v>6596618</v>
      </c>
      <c r="I25" s="157">
        <v>21975030</v>
      </c>
      <c r="J25" s="157">
        <v>2546100</v>
      </c>
      <c r="K25" s="157">
        <v>0</v>
      </c>
      <c r="L25" s="157">
        <v>19799010</v>
      </c>
      <c r="M25" s="157">
        <v>31521173</v>
      </c>
      <c r="N25" s="157">
        <v>0</v>
      </c>
      <c r="O25" s="157">
        <v>4172603</v>
      </c>
      <c r="P25" s="157">
        <v>10074060</v>
      </c>
      <c r="Q25" s="157">
        <v>4432230</v>
      </c>
      <c r="R25" s="157">
        <v>12586860</v>
      </c>
      <c r="S25" s="157">
        <v>1459953</v>
      </c>
      <c r="T25" s="157">
        <v>3798878</v>
      </c>
      <c r="U25" s="157">
        <v>3798878</v>
      </c>
      <c r="V25" s="157">
        <v>7001775</v>
      </c>
      <c r="W25" s="157">
        <v>2643548</v>
      </c>
      <c r="X25" s="157">
        <v>18293970</v>
      </c>
      <c r="Y25" s="157">
        <f>SUM(Z25:AD25)</f>
        <v>107475585</v>
      </c>
      <c r="Z25" s="157">
        <v>13720740</v>
      </c>
      <c r="AA25" s="157">
        <v>12943590</v>
      </c>
      <c r="AB25" s="157">
        <v>36481515</v>
      </c>
      <c r="AC25" s="157">
        <v>30357450</v>
      </c>
      <c r="AD25" s="157">
        <v>13972290</v>
      </c>
      <c r="AE25" s="157">
        <f>SUM(AF25:AI25)</f>
        <v>103112955</v>
      </c>
      <c r="AF25" s="157">
        <v>7878420</v>
      </c>
      <c r="AG25" s="157">
        <v>52836795</v>
      </c>
      <c r="AH25" s="157">
        <v>19705620</v>
      </c>
      <c r="AI25" s="157">
        <v>22692120</v>
      </c>
      <c r="AJ25" s="157">
        <f>SUM(AK25:AL25)</f>
        <v>103922563</v>
      </c>
      <c r="AK25" s="157">
        <v>101842539</v>
      </c>
      <c r="AL25" s="158">
        <f>SUM(AM25:AO25)</f>
        <v>2080024</v>
      </c>
      <c r="AM25" s="159">
        <v>501851</v>
      </c>
      <c r="AN25" s="157">
        <v>409253</v>
      </c>
      <c r="AO25" s="158">
        <v>1168920</v>
      </c>
    </row>
    <row r="26" spans="1:41" x14ac:dyDescent="0.25">
      <c r="A26" s="155" t="s">
        <v>36</v>
      </c>
      <c r="B26" s="156" t="s">
        <v>37</v>
      </c>
      <c r="C26" s="157">
        <f>SUM(D26+Y26+AE26+AJ26)</f>
        <v>42483841</v>
      </c>
      <c r="D26" s="157">
        <f>SUM(E26:X26)</f>
        <v>38833733</v>
      </c>
      <c r="E26" s="157">
        <v>0</v>
      </c>
      <c r="F26" s="157">
        <v>27883410</v>
      </c>
      <c r="G26" s="157">
        <v>0</v>
      </c>
      <c r="H26" s="157">
        <v>0</v>
      </c>
      <c r="I26" s="157">
        <v>0</v>
      </c>
      <c r="J26" s="157">
        <v>0</v>
      </c>
      <c r="K26" s="157">
        <v>0</v>
      </c>
      <c r="L26" s="157">
        <v>0</v>
      </c>
      <c r="M26" s="157">
        <v>0</v>
      </c>
      <c r="N26" s="157">
        <v>5712233</v>
      </c>
      <c r="O26" s="157">
        <v>0</v>
      </c>
      <c r="P26" s="157">
        <v>0</v>
      </c>
      <c r="Q26" s="157">
        <v>0</v>
      </c>
      <c r="R26" s="157">
        <v>0</v>
      </c>
      <c r="S26" s="157">
        <v>0</v>
      </c>
      <c r="T26" s="157">
        <v>0</v>
      </c>
      <c r="U26" s="157">
        <v>0</v>
      </c>
      <c r="V26" s="157">
        <v>5238090</v>
      </c>
      <c r="W26" s="157">
        <v>0</v>
      </c>
      <c r="X26" s="157">
        <v>0</v>
      </c>
      <c r="Y26" s="157">
        <f>SUM(Z26:AD26)</f>
        <v>0</v>
      </c>
      <c r="Z26" s="157">
        <v>0</v>
      </c>
      <c r="AA26" s="157">
        <v>0</v>
      </c>
      <c r="AB26" s="157">
        <v>0</v>
      </c>
      <c r="AC26" s="157">
        <v>0</v>
      </c>
      <c r="AD26" s="157">
        <v>0</v>
      </c>
      <c r="AE26" s="157">
        <f>SUM(AF26:AI26)</f>
        <v>0</v>
      </c>
      <c r="AF26" s="157">
        <v>0</v>
      </c>
      <c r="AG26" s="157">
        <v>0</v>
      </c>
      <c r="AH26" s="157">
        <v>0</v>
      </c>
      <c r="AI26" s="157">
        <v>0</v>
      </c>
      <c r="AJ26" s="157">
        <f>SUM(AK26:AL26)</f>
        <v>3650108</v>
      </c>
      <c r="AK26" s="157">
        <v>3650108</v>
      </c>
      <c r="AL26" s="158">
        <f>SUM(AM26:AO26)</f>
        <v>0</v>
      </c>
      <c r="AM26" s="159">
        <v>0</v>
      </c>
      <c r="AN26" s="157">
        <v>0</v>
      </c>
      <c r="AO26" s="158">
        <v>0</v>
      </c>
    </row>
    <row r="27" spans="1:41" x14ac:dyDescent="0.25">
      <c r="A27" s="160"/>
      <c r="B27" s="161"/>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8"/>
      <c r="AM27" s="159"/>
      <c r="AN27" s="157"/>
      <c r="AO27" s="158"/>
    </row>
    <row r="28" spans="1:41" x14ac:dyDescent="0.25">
      <c r="A28" s="155" t="s">
        <v>38</v>
      </c>
      <c r="B28" s="156" t="s">
        <v>39</v>
      </c>
      <c r="C28" s="157">
        <f>SUM(D28+Y28+AE28+AJ28)</f>
        <v>231322807</v>
      </c>
      <c r="D28" s="157">
        <f>SUM(E28:X28)</f>
        <v>96954464</v>
      </c>
      <c r="E28" s="157">
        <v>0</v>
      </c>
      <c r="F28" s="157">
        <v>9831119</v>
      </c>
      <c r="G28" s="157">
        <v>9140888</v>
      </c>
      <c r="H28" s="157">
        <v>4405699</v>
      </c>
      <c r="I28" s="157">
        <v>9239557</v>
      </c>
      <c r="J28" s="157">
        <v>1144398</v>
      </c>
      <c r="K28" s="157">
        <v>1967910</v>
      </c>
      <c r="L28" s="157">
        <v>7324061</v>
      </c>
      <c r="M28" s="157">
        <v>14547522</v>
      </c>
      <c r="N28" s="157">
        <v>2031224</v>
      </c>
      <c r="O28" s="157">
        <v>7898787</v>
      </c>
      <c r="P28" s="157">
        <v>4426938</v>
      </c>
      <c r="Q28" s="157">
        <v>1708959</v>
      </c>
      <c r="R28" s="157">
        <v>6625277</v>
      </c>
      <c r="S28" s="157">
        <v>955464</v>
      </c>
      <c r="T28" s="157">
        <v>2577749</v>
      </c>
      <c r="U28" s="157">
        <v>1665914</v>
      </c>
      <c r="V28" s="157">
        <v>4378560</v>
      </c>
      <c r="W28" s="157">
        <v>924558</v>
      </c>
      <c r="X28" s="157">
        <v>6159880</v>
      </c>
      <c r="Y28" s="157">
        <f>SUM(Z28:AD28)</f>
        <v>40717769</v>
      </c>
      <c r="Z28" s="157">
        <v>5892473</v>
      </c>
      <c r="AA28" s="157">
        <v>5397555</v>
      </c>
      <c r="AB28" s="157">
        <v>12189380</v>
      </c>
      <c r="AC28" s="157">
        <v>12550106</v>
      </c>
      <c r="AD28" s="157">
        <v>4688255</v>
      </c>
      <c r="AE28" s="157">
        <f>SUM(AF28:AI28)</f>
        <v>40245958</v>
      </c>
      <c r="AF28" s="157">
        <v>3069803</v>
      </c>
      <c r="AG28" s="157">
        <v>19850724</v>
      </c>
      <c r="AH28" s="157">
        <v>8095726</v>
      </c>
      <c r="AI28" s="157">
        <v>9229705</v>
      </c>
      <c r="AJ28" s="157">
        <f>SUM(AK28:AL28)</f>
        <v>53404616</v>
      </c>
      <c r="AK28" s="157">
        <v>52429897</v>
      </c>
      <c r="AL28" s="158">
        <f>SUM(AM28:AO28)</f>
        <v>974719</v>
      </c>
      <c r="AM28" s="159">
        <v>252468</v>
      </c>
      <c r="AN28" s="157">
        <v>300566</v>
      </c>
      <c r="AO28" s="158">
        <v>421685</v>
      </c>
    </row>
    <row r="29" spans="1:41" x14ac:dyDescent="0.25">
      <c r="A29" s="155" t="s">
        <v>40</v>
      </c>
      <c r="B29" s="156" t="s">
        <v>41</v>
      </c>
      <c r="C29" s="157">
        <f>SUM(D29+Y29+AE29+AJ29)</f>
        <v>213449905</v>
      </c>
      <c r="D29" s="157">
        <f>SUM(E29:X29)</f>
        <v>89463384</v>
      </c>
      <c r="E29" s="157">
        <v>0</v>
      </c>
      <c r="F29" s="157">
        <v>9071528</v>
      </c>
      <c r="G29" s="157">
        <v>8434627</v>
      </c>
      <c r="H29" s="157">
        <v>4065297</v>
      </c>
      <c r="I29" s="157">
        <v>8525672</v>
      </c>
      <c r="J29" s="157">
        <v>1055978</v>
      </c>
      <c r="K29" s="157">
        <v>1815862</v>
      </c>
      <c r="L29" s="157">
        <v>6758176</v>
      </c>
      <c r="M29" s="157">
        <v>13423524</v>
      </c>
      <c r="N29" s="157">
        <v>1874284</v>
      </c>
      <c r="O29" s="157">
        <v>7288496</v>
      </c>
      <c r="P29" s="157">
        <v>4084895</v>
      </c>
      <c r="Q29" s="157">
        <v>1576918</v>
      </c>
      <c r="R29" s="157">
        <v>6113382</v>
      </c>
      <c r="S29" s="157">
        <v>881642</v>
      </c>
      <c r="T29" s="157">
        <v>2378582</v>
      </c>
      <c r="U29" s="157">
        <v>1537199</v>
      </c>
      <c r="V29" s="157">
        <v>4040255</v>
      </c>
      <c r="W29" s="157">
        <v>853123</v>
      </c>
      <c r="X29" s="157">
        <v>5683944</v>
      </c>
      <c r="Y29" s="157">
        <f>SUM(Z29:AD29)</f>
        <v>37571756</v>
      </c>
      <c r="Z29" s="157">
        <v>5437198</v>
      </c>
      <c r="AA29" s="157">
        <v>4980519</v>
      </c>
      <c r="AB29" s="157">
        <v>11247581</v>
      </c>
      <c r="AC29" s="157">
        <v>11580436</v>
      </c>
      <c r="AD29" s="157">
        <v>4326022</v>
      </c>
      <c r="AE29" s="157">
        <f>SUM(AF29:AI29)</f>
        <v>37136399</v>
      </c>
      <c r="AF29" s="157">
        <v>2832618</v>
      </c>
      <c r="AG29" s="157">
        <v>18316980</v>
      </c>
      <c r="AH29" s="157">
        <v>7470219</v>
      </c>
      <c r="AI29" s="157">
        <v>8516582</v>
      </c>
      <c r="AJ29" s="157">
        <f>SUM(AK29:AL29)</f>
        <v>49278366</v>
      </c>
      <c r="AK29" s="157">
        <v>48378958</v>
      </c>
      <c r="AL29" s="158">
        <f>SUM(AM29:AO29)</f>
        <v>899408</v>
      </c>
      <c r="AM29" s="159">
        <v>232961</v>
      </c>
      <c r="AN29" s="157">
        <v>277343</v>
      </c>
      <c r="AO29" s="158">
        <v>389104</v>
      </c>
    </row>
    <row r="30" spans="1:41" x14ac:dyDescent="0.25">
      <c r="A30" s="160"/>
      <c r="B30" s="161"/>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8"/>
      <c r="AM30" s="159"/>
      <c r="AN30" s="157"/>
      <c r="AO30" s="158"/>
    </row>
    <row r="31" spans="1:41" x14ac:dyDescent="0.25">
      <c r="A31" s="164" t="s">
        <v>42</v>
      </c>
      <c r="B31" s="162" t="s">
        <v>43</v>
      </c>
      <c r="C31" s="148">
        <f>SUM(C32)</f>
        <v>111722501</v>
      </c>
      <c r="D31" s="148">
        <f t="shared" ref="D31:AO31" si="7">SUM(D32)</f>
        <v>46055529</v>
      </c>
      <c r="E31" s="148">
        <f t="shared" si="7"/>
        <v>0</v>
      </c>
      <c r="F31" s="148">
        <f t="shared" si="7"/>
        <v>5387010</v>
      </c>
      <c r="G31" s="148">
        <f t="shared" si="7"/>
        <v>1459266</v>
      </c>
      <c r="H31" s="148">
        <f t="shared" si="7"/>
        <v>1636560</v>
      </c>
      <c r="I31" s="148">
        <f t="shared" si="7"/>
        <v>5482476</v>
      </c>
      <c r="J31" s="148">
        <f t="shared" si="7"/>
        <v>61371</v>
      </c>
      <c r="K31" s="148">
        <f t="shared" si="7"/>
        <v>0</v>
      </c>
      <c r="L31" s="148">
        <f t="shared" si="7"/>
        <v>5922302</v>
      </c>
      <c r="M31" s="148">
        <f t="shared" si="7"/>
        <v>7098579</v>
      </c>
      <c r="N31" s="148">
        <f t="shared" si="7"/>
        <v>756909</v>
      </c>
      <c r="O31" s="148">
        <f t="shared" si="7"/>
        <v>2015015</v>
      </c>
      <c r="P31" s="148">
        <f t="shared" si="7"/>
        <v>2853752</v>
      </c>
      <c r="Q31" s="148">
        <f t="shared" si="7"/>
        <v>818280</v>
      </c>
      <c r="R31" s="148">
        <f t="shared" si="7"/>
        <v>1892273</v>
      </c>
      <c r="S31" s="148">
        <f t="shared" si="7"/>
        <v>378455</v>
      </c>
      <c r="T31" s="148">
        <f t="shared" si="7"/>
        <v>654624</v>
      </c>
      <c r="U31" s="148">
        <f t="shared" si="7"/>
        <v>705767</v>
      </c>
      <c r="V31" s="148">
        <f t="shared" si="7"/>
        <v>2782152</v>
      </c>
      <c r="W31" s="148">
        <f t="shared" si="7"/>
        <v>1350162</v>
      </c>
      <c r="X31" s="148">
        <f t="shared" si="7"/>
        <v>4800576</v>
      </c>
      <c r="Y31" s="148">
        <f t="shared" si="7"/>
        <v>17633934</v>
      </c>
      <c r="Z31" s="148">
        <f t="shared" si="7"/>
        <v>1772940</v>
      </c>
      <c r="AA31" s="148">
        <f t="shared" si="7"/>
        <v>1854768</v>
      </c>
      <c r="AB31" s="148">
        <f t="shared" si="7"/>
        <v>6941742</v>
      </c>
      <c r="AC31" s="148">
        <f t="shared" si="7"/>
        <v>5496114</v>
      </c>
      <c r="AD31" s="148">
        <f t="shared" si="7"/>
        <v>1568370</v>
      </c>
      <c r="AE31" s="148">
        <f t="shared" si="7"/>
        <v>24016518</v>
      </c>
      <c r="AF31" s="148">
        <f t="shared" si="7"/>
        <v>1459266</v>
      </c>
      <c r="AG31" s="148">
        <f t="shared" si="7"/>
        <v>11578662</v>
      </c>
      <c r="AH31" s="148">
        <f t="shared" si="7"/>
        <v>6150738</v>
      </c>
      <c r="AI31" s="148">
        <f t="shared" si="7"/>
        <v>4827852</v>
      </c>
      <c r="AJ31" s="148">
        <f t="shared" si="7"/>
        <v>24016520</v>
      </c>
      <c r="AK31" s="148">
        <f t="shared" si="7"/>
        <v>23595377</v>
      </c>
      <c r="AL31" s="149">
        <f t="shared" si="7"/>
        <v>421143</v>
      </c>
      <c r="AM31" s="150">
        <f t="shared" si="7"/>
        <v>117287</v>
      </c>
      <c r="AN31" s="148">
        <f t="shared" si="7"/>
        <v>70373</v>
      </c>
      <c r="AO31" s="149">
        <f t="shared" si="7"/>
        <v>233483</v>
      </c>
    </row>
    <row r="32" spans="1:41" x14ac:dyDescent="0.25">
      <c r="A32" s="155" t="s">
        <v>44</v>
      </c>
      <c r="B32" s="156" t="s">
        <v>45</v>
      </c>
      <c r="C32" s="157">
        <f>SUM(D32+Y32+AE32+AJ32)</f>
        <v>111722501</v>
      </c>
      <c r="D32" s="157">
        <f>SUM(E32:X32)</f>
        <v>46055529</v>
      </c>
      <c r="E32" s="157">
        <v>0</v>
      </c>
      <c r="F32" s="157">
        <v>5387010</v>
      </c>
      <c r="G32" s="157">
        <v>1459266</v>
      </c>
      <c r="H32" s="157">
        <v>1636560</v>
      </c>
      <c r="I32" s="157">
        <v>5482476</v>
      </c>
      <c r="J32" s="157">
        <v>61371</v>
      </c>
      <c r="K32" s="157">
        <v>0</v>
      </c>
      <c r="L32" s="157">
        <v>5922302</v>
      </c>
      <c r="M32" s="157">
        <v>7098579</v>
      </c>
      <c r="N32" s="157">
        <v>756909</v>
      </c>
      <c r="O32" s="157">
        <v>2015015</v>
      </c>
      <c r="P32" s="157">
        <v>2853752</v>
      </c>
      <c r="Q32" s="157">
        <v>818280</v>
      </c>
      <c r="R32" s="157">
        <v>1892273</v>
      </c>
      <c r="S32" s="157">
        <v>378455</v>
      </c>
      <c r="T32" s="157">
        <v>654624</v>
      </c>
      <c r="U32" s="157">
        <v>705767</v>
      </c>
      <c r="V32" s="157">
        <v>2782152</v>
      </c>
      <c r="W32" s="157">
        <v>1350162</v>
      </c>
      <c r="X32" s="157">
        <v>4800576</v>
      </c>
      <c r="Y32" s="157">
        <f>SUM(Z32:AD32)</f>
        <v>17633934</v>
      </c>
      <c r="Z32" s="157">
        <v>1772940</v>
      </c>
      <c r="AA32" s="157">
        <v>1854768</v>
      </c>
      <c r="AB32" s="157">
        <v>6941742</v>
      </c>
      <c r="AC32" s="157">
        <v>5496114</v>
      </c>
      <c r="AD32" s="157">
        <v>1568370</v>
      </c>
      <c r="AE32" s="157">
        <f>SUM(AF32:AI32)</f>
        <v>24016518</v>
      </c>
      <c r="AF32" s="157">
        <v>1459266</v>
      </c>
      <c r="AG32" s="157">
        <v>11578662</v>
      </c>
      <c r="AH32" s="157">
        <v>6150738</v>
      </c>
      <c r="AI32" s="157">
        <v>4827852</v>
      </c>
      <c r="AJ32" s="157">
        <f>SUM(AK32:AL32)</f>
        <v>24016520</v>
      </c>
      <c r="AK32" s="157">
        <v>23595377</v>
      </c>
      <c r="AL32" s="158">
        <f>SUM(AM32:AO32)</f>
        <v>421143</v>
      </c>
      <c r="AM32" s="159">
        <v>117287</v>
      </c>
      <c r="AN32" s="157">
        <v>70373</v>
      </c>
      <c r="AO32" s="158">
        <v>233483</v>
      </c>
    </row>
    <row r="33" spans="1:41" x14ac:dyDescent="0.25">
      <c r="A33" s="160"/>
      <c r="B33" s="161"/>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8"/>
      <c r="AM33" s="159"/>
      <c r="AN33" s="157"/>
      <c r="AO33" s="158"/>
    </row>
    <row r="34" spans="1:41" ht="26.4" x14ac:dyDescent="0.25">
      <c r="A34" s="165" t="s">
        <v>46</v>
      </c>
      <c r="B34" s="162" t="s">
        <v>47</v>
      </c>
      <c r="C34" s="148">
        <f>SUM(C35:C39)</f>
        <v>464958892</v>
      </c>
      <c r="D34" s="148">
        <f t="shared" ref="D34:AO34" si="8">SUM(D35:D39)</f>
        <v>194878501</v>
      </c>
      <c r="E34" s="148">
        <f t="shared" si="8"/>
        <v>0</v>
      </c>
      <c r="F34" s="148">
        <f t="shared" si="8"/>
        <v>19760551</v>
      </c>
      <c r="G34" s="148">
        <f t="shared" si="8"/>
        <v>18373187</v>
      </c>
      <c r="H34" s="148">
        <f t="shared" si="8"/>
        <v>8855454</v>
      </c>
      <c r="I34" s="148">
        <f t="shared" si="8"/>
        <v>18571511</v>
      </c>
      <c r="J34" s="148">
        <f t="shared" si="8"/>
        <v>2300241</v>
      </c>
      <c r="K34" s="148">
        <f t="shared" si="8"/>
        <v>3955500</v>
      </c>
      <c r="L34" s="148">
        <f t="shared" si="8"/>
        <v>14721364</v>
      </c>
      <c r="M34" s="148">
        <f t="shared" si="8"/>
        <v>29240522</v>
      </c>
      <c r="N34" s="148">
        <f t="shared" si="8"/>
        <v>4082763</v>
      </c>
      <c r="O34" s="148">
        <f t="shared" si="8"/>
        <v>15876565</v>
      </c>
      <c r="P34" s="148">
        <f t="shared" si="8"/>
        <v>8898147</v>
      </c>
      <c r="Q34" s="148">
        <f t="shared" si="8"/>
        <v>3435008</v>
      </c>
      <c r="R34" s="148">
        <f t="shared" si="8"/>
        <v>13316809</v>
      </c>
      <c r="S34" s="148">
        <f t="shared" si="8"/>
        <v>1920484</v>
      </c>
      <c r="T34" s="148">
        <f t="shared" si="8"/>
        <v>5181277</v>
      </c>
      <c r="U34" s="148">
        <f t="shared" si="8"/>
        <v>3348488</v>
      </c>
      <c r="V34" s="148">
        <f t="shared" si="8"/>
        <v>8800906</v>
      </c>
      <c r="W34" s="148">
        <f t="shared" si="8"/>
        <v>1858364</v>
      </c>
      <c r="X34" s="148">
        <f t="shared" si="8"/>
        <v>12381360</v>
      </c>
      <c r="Y34" s="148">
        <f t="shared" si="8"/>
        <v>81842723</v>
      </c>
      <c r="Z34" s="148">
        <f t="shared" si="8"/>
        <v>11843873</v>
      </c>
      <c r="AA34" s="148">
        <f t="shared" si="8"/>
        <v>10849087</v>
      </c>
      <c r="AB34" s="148">
        <f t="shared" si="8"/>
        <v>24500655</v>
      </c>
      <c r="AC34" s="148">
        <f t="shared" si="8"/>
        <v>25225714</v>
      </c>
      <c r="AD34" s="148">
        <f t="shared" si="8"/>
        <v>9423394</v>
      </c>
      <c r="AE34" s="148">
        <f t="shared" si="8"/>
        <v>80894384</v>
      </c>
      <c r="AF34" s="148">
        <f t="shared" si="8"/>
        <v>6170307</v>
      </c>
      <c r="AG34" s="148">
        <f t="shared" si="8"/>
        <v>39899958</v>
      </c>
      <c r="AH34" s="148">
        <f t="shared" si="8"/>
        <v>16272411</v>
      </c>
      <c r="AI34" s="148">
        <f t="shared" si="8"/>
        <v>18551708</v>
      </c>
      <c r="AJ34" s="148">
        <f t="shared" si="8"/>
        <v>107343284</v>
      </c>
      <c r="AK34" s="148">
        <f t="shared" si="8"/>
        <v>105384093</v>
      </c>
      <c r="AL34" s="149">
        <f t="shared" si="8"/>
        <v>1959191</v>
      </c>
      <c r="AM34" s="150">
        <f t="shared" si="8"/>
        <v>507463</v>
      </c>
      <c r="AN34" s="148">
        <f t="shared" si="8"/>
        <v>604138</v>
      </c>
      <c r="AO34" s="149">
        <f t="shared" si="8"/>
        <v>847590</v>
      </c>
    </row>
    <row r="35" spans="1:41" x14ac:dyDescent="0.25">
      <c r="A35" s="166" t="s">
        <v>48</v>
      </c>
      <c r="B35" s="156" t="s">
        <v>49</v>
      </c>
      <c r="C35" s="157">
        <f>SUM(D35+Y35+AE35+AJ35)</f>
        <v>256768316</v>
      </c>
      <c r="D35" s="157">
        <f>SUM(E35:X35)</f>
        <v>107619456</v>
      </c>
      <c r="E35" s="157">
        <v>0</v>
      </c>
      <c r="F35" s="157">
        <v>10912542</v>
      </c>
      <c r="G35" s="157">
        <v>10146386</v>
      </c>
      <c r="H35" s="157">
        <v>4890325</v>
      </c>
      <c r="I35" s="157">
        <v>10255908</v>
      </c>
      <c r="J35" s="157">
        <v>1270282</v>
      </c>
      <c r="K35" s="157">
        <v>2184380</v>
      </c>
      <c r="L35" s="157">
        <v>8129708</v>
      </c>
      <c r="M35" s="157">
        <v>16147750</v>
      </c>
      <c r="N35" s="157">
        <v>2254659</v>
      </c>
      <c r="O35" s="157">
        <v>8767654</v>
      </c>
      <c r="P35" s="157">
        <v>4913901</v>
      </c>
      <c r="Q35" s="157">
        <v>1896944</v>
      </c>
      <c r="R35" s="157">
        <v>7354058</v>
      </c>
      <c r="S35" s="157">
        <v>1060565</v>
      </c>
      <c r="T35" s="157">
        <v>2861302</v>
      </c>
      <c r="U35" s="157">
        <v>1849164</v>
      </c>
      <c r="V35" s="157">
        <v>4860201</v>
      </c>
      <c r="W35" s="157">
        <v>1026260</v>
      </c>
      <c r="X35" s="157">
        <v>6837467</v>
      </c>
      <c r="Y35" s="157">
        <f>SUM(Z35:AD35)</f>
        <v>45196723</v>
      </c>
      <c r="Z35" s="157">
        <v>6540645</v>
      </c>
      <c r="AA35" s="157">
        <v>5991286</v>
      </c>
      <c r="AB35" s="157">
        <v>13530212</v>
      </c>
      <c r="AC35" s="157">
        <v>13930617</v>
      </c>
      <c r="AD35" s="157">
        <v>5203963</v>
      </c>
      <c r="AE35" s="157">
        <f>SUM(AF35:AI35)</f>
        <v>44673014</v>
      </c>
      <c r="AF35" s="157">
        <v>3407482</v>
      </c>
      <c r="AG35" s="157">
        <v>22034304</v>
      </c>
      <c r="AH35" s="157">
        <v>8986256</v>
      </c>
      <c r="AI35" s="157">
        <v>10244972</v>
      </c>
      <c r="AJ35" s="157">
        <f>SUM(AK35:AL35)</f>
        <v>59279123</v>
      </c>
      <c r="AK35" s="157">
        <v>58197185</v>
      </c>
      <c r="AL35" s="158">
        <f>SUM(AM35:AO35)</f>
        <v>1081938</v>
      </c>
      <c r="AM35" s="159">
        <v>280239</v>
      </c>
      <c r="AN35" s="157">
        <v>333628</v>
      </c>
      <c r="AO35" s="158">
        <v>468071</v>
      </c>
    </row>
    <row r="36" spans="1:41" x14ac:dyDescent="0.25">
      <c r="A36" s="167" t="s">
        <v>50</v>
      </c>
      <c r="B36" s="156" t="s">
        <v>51</v>
      </c>
      <c r="C36" s="157">
        <f>SUM(D36+Y36+AE36+AJ36)</f>
        <v>13879384</v>
      </c>
      <c r="D36" s="157">
        <f>SUM(E36:X36)</f>
        <v>5817276</v>
      </c>
      <c r="E36" s="157">
        <v>0</v>
      </c>
      <c r="F36" s="157">
        <v>589868</v>
      </c>
      <c r="G36" s="157">
        <v>548454</v>
      </c>
      <c r="H36" s="157">
        <v>264342</v>
      </c>
      <c r="I36" s="157">
        <v>554374</v>
      </c>
      <c r="J36" s="157">
        <v>68664</v>
      </c>
      <c r="K36" s="157">
        <v>118075</v>
      </c>
      <c r="L36" s="157">
        <v>439444</v>
      </c>
      <c r="M36" s="157">
        <v>872852</v>
      </c>
      <c r="N36" s="157">
        <v>121874</v>
      </c>
      <c r="O36" s="157">
        <v>473928</v>
      </c>
      <c r="P36" s="157">
        <v>265617</v>
      </c>
      <c r="Q36" s="157">
        <v>102538</v>
      </c>
      <c r="R36" s="157">
        <v>397517</v>
      </c>
      <c r="S36" s="157">
        <v>57328</v>
      </c>
      <c r="T36" s="157">
        <v>154665</v>
      </c>
      <c r="U36" s="157">
        <v>99955</v>
      </c>
      <c r="V36" s="157">
        <v>262714</v>
      </c>
      <c r="W36" s="157">
        <v>55474</v>
      </c>
      <c r="X36" s="157">
        <v>369593</v>
      </c>
      <c r="Y36" s="157">
        <f>SUM(Z36:AD36)</f>
        <v>2443069</v>
      </c>
      <c r="Z36" s="157">
        <v>353549</v>
      </c>
      <c r="AA36" s="157">
        <v>323854</v>
      </c>
      <c r="AB36" s="157">
        <v>731363</v>
      </c>
      <c r="AC36" s="157">
        <v>753007</v>
      </c>
      <c r="AD36" s="157">
        <v>281296</v>
      </c>
      <c r="AE36" s="157">
        <f>SUM(AF36:AI36)</f>
        <v>2414760</v>
      </c>
      <c r="AF36" s="157">
        <v>184189</v>
      </c>
      <c r="AG36" s="157">
        <v>1191044</v>
      </c>
      <c r="AH36" s="157">
        <v>485744</v>
      </c>
      <c r="AI36" s="157">
        <v>553783</v>
      </c>
      <c r="AJ36" s="157">
        <f>SUM(AK36:AL36)</f>
        <v>3204279</v>
      </c>
      <c r="AK36" s="157">
        <v>3145794</v>
      </c>
      <c r="AL36" s="158">
        <f>SUM(AM36:AO36)</f>
        <v>58485</v>
      </c>
      <c r="AM36" s="159">
        <v>15149</v>
      </c>
      <c r="AN36" s="157">
        <v>18034</v>
      </c>
      <c r="AO36" s="158">
        <v>25302</v>
      </c>
    </row>
    <row r="37" spans="1:41" x14ac:dyDescent="0.25">
      <c r="A37" s="166" t="s">
        <v>52</v>
      </c>
      <c r="B37" s="156" t="s">
        <v>53</v>
      </c>
      <c r="C37" s="157">
        <f>SUM(D37+Y37+AE37+AJ37)</f>
        <v>41638117</v>
      </c>
      <c r="D37" s="157">
        <f>SUM(E37:X37)</f>
        <v>17451810</v>
      </c>
      <c r="E37" s="157">
        <v>0</v>
      </c>
      <c r="F37" s="157">
        <v>1769602</v>
      </c>
      <c r="G37" s="157">
        <v>1645360</v>
      </c>
      <c r="H37" s="157">
        <v>793026</v>
      </c>
      <c r="I37" s="157">
        <v>1663121</v>
      </c>
      <c r="J37" s="157">
        <v>205992</v>
      </c>
      <c r="K37" s="157">
        <v>354224</v>
      </c>
      <c r="L37" s="157">
        <v>1318331</v>
      </c>
      <c r="M37" s="157">
        <v>2618554</v>
      </c>
      <c r="N37" s="157">
        <v>365621</v>
      </c>
      <c r="O37" s="157">
        <v>1421782</v>
      </c>
      <c r="P37" s="157">
        <v>796849</v>
      </c>
      <c r="Q37" s="157">
        <v>307613</v>
      </c>
      <c r="R37" s="157">
        <v>1192550</v>
      </c>
      <c r="S37" s="157">
        <v>171984</v>
      </c>
      <c r="T37" s="157">
        <v>463995</v>
      </c>
      <c r="U37" s="157">
        <v>299865</v>
      </c>
      <c r="V37" s="157">
        <v>788141</v>
      </c>
      <c r="W37" s="157">
        <v>166421</v>
      </c>
      <c r="X37" s="157">
        <v>1108779</v>
      </c>
      <c r="Y37" s="157">
        <f>SUM(Z37:AD37)</f>
        <v>7329200</v>
      </c>
      <c r="Z37" s="157">
        <v>1060646</v>
      </c>
      <c r="AA37" s="157">
        <v>971560</v>
      </c>
      <c r="AB37" s="157">
        <v>2194089</v>
      </c>
      <c r="AC37" s="157">
        <v>2259019</v>
      </c>
      <c r="AD37" s="157">
        <v>843886</v>
      </c>
      <c r="AE37" s="157">
        <f>SUM(AF37:AI37)</f>
        <v>7244274</v>
      </c>
      <c r="AF37" s="157">
        <v>552565</v>
      </c>
      <c r="AG37" s="157">
        <v>3573131</v>
      </c>
      <c r="AH37" s="157">
        <v>1457231</v>
      </c>
      <c r="AI37" s="157">
        <v>1661347</v>
      </c>
      <c r="AJ37" s="157">
        <f>SUM(AK37:AL37)</f>
        <v>9612833</v>
      </c>
      <c r="AK37" s="157">
        <v>9437382</v>
      </c>
      <c r="AL37" s="158">
        <f>SUM(AM37:AO37)</f>
        <v>175451</v>
      </c>
      <c r="AM37" s="159">
        <v>45445</v>
      </c>
      <c r="AN37" s="157">
        <v>54102</v>
      </c>
      <c r="AO37" s="158">
        <v>75904</v>
      </c>
    </row>
    <row r="38" spans="1:41" x14ac:dyDescent="0.25">
      <c r="A38" s="166" t="s">
        <v>54</v>
      </c>
      <c r="B38" s="156" t="s">
        <v>55</v>
      </c>
      <c r="C38" s="157">
        <f>SUM(D38+Y38+AE38+AJ38)</f>
        <v>138793691</v>
      </c>
      <c r="D38" s="157">
        <f>SUM(E38:X38)</f>
        <v>58172683</v>
      </c>
      <c r="E38" s="157">
        <v>0</v>
      </c>
      <c r="F38" s="157">
        <v>5898671</v>
      </c>
      <c r="G38" s="157">
        <v>5484533</v>
      </c>
      <c r="H38" s="157">
        <v>2643419</v>
      </c>
      <c r="I38" s="157">
        <v>5543734</v>
      </c>
      <c r="J38" s="157">
        <v>686639</v>
      </c>
      <c r="K38" s="157">
        <v>1180746</v>
      </c>
      <c r="L38" s="157">
        <v>4394437</v>
      </c>
      <c r="M38" s="157">
        <v>8728514</v>
      </c>
      <c r="N38" s="157">
        <v>1218735</v>
      </c>
      <c r="O38" s="157">
        <v>4739273</v>
      </c>
      <c r="P38" s="157">
        <v>2656163</v>
      </c>
      <c r="Q38" s="157">
        <v>1025375</v>
      </c>
      <c r="R38" s="157">
        <v>3975167</v>
      </c>
      <c r="S38" s="157">
        <v>573279</v>
      </c>
      <c r="T38" s="157">
        <v>1546650</v>
      </c>
      <c r="U38" s="157">
        <v>999549</v>
      </c>
      <c r="V38" s="157">
        <v>2627136</v>
      </c>
      <c r="W38" s="157">
        <v>554735</v>
      </c>
      <c r="X38" s="157">
        <v>3695928</v>
      </c>
      <c r="Y38" s="157">
        <f>SUM(Z38:AD38)</f>
        <v>24430662</v>
      </c>
      <c r="Z38" s="157">
        <v>3535484</v>
      </c>
      <c r="AA38" s="157">
        <v>3238533</v>
      </c>
      <c r="AB38" s="157">
        <v>7313628</v>
      </c>
      <c r="AC38" s="157">
        <v>7530064</v>
      </c>
      <c r="AD38" s="157">
        <v>2812953</v>
      </c>
      <c r="AE38" s="157">
        <f>SUM(AF38:AI38)</f>
        <v>24147576</v>
      </c>
      <c r="AF38" s="157">
        <v>1841882</v>
      </c>
      <c r="AG38" s="157">
        <v>11910435</v>
      </c>
      <c r="AH38" s="157">
        <v>4857436</v>
      </c>
      <c r="AI38" s="157">
        <v>5537823</v>
      </c>
      <c r="AJ38" s="157">
        <f>SUM(AK38:AL38)</f>
        <v>32042770</v>
      </c>
      <c r="AK38" s="157">
        <v>31457938</v>
      </c>
      <c r="AL38" s="158">
        <f>SUM(AM38:AO38)</f>
        <v>584832</v>
      </c>
      <c r="AM38" s="159">
        <v>151481</v>
      </c>
      <c r="AN38" s="157">
        <v>180340</v>
      </c>
      <c r="AO38" s="158">
        <v>253011</v>
      </c>
    </row>
    <row r="39" spans="1:41" x14ac:dyDescent="0.25">
      <c r="A39" s="166" t="s">
        <v>56</v>
      </c>
      <c r="B39" s="156" t="s">
        <v>57</v>
      </c>
      <c r="C39" s="157">
        <f>SUM(D39+Y39+AE39+AJ39)</f>
        <v>13879384</v>
      </c>
      <c r="D39" s="157">
        <f>SUM(E39:X39)</f>
        <v>5817276</v>
      </c>
      <c r="E39" s="157">
        <v>0</v>
      </c>
      <c r="F39" s="157">
        <v>589868</v>
      </c>
      <c r="G39" s="157">
        <v>548454</v>
      </c>
      <c r="H39" s="157">
        <v>264342</v>
      </c>
      <c r="I39" s="157">
        <v>554374</v>
      </c>
      <c r="J39" s="157">
        <v>68664</v>
      </c>
      <c r="K39" s="157">
        <v>118075</v>
      </c>
      <c r="L39" s="157">
        <v>439444</v>
      </c>
      <c r="M39" s="157">
        <v>872852</v>
      </c>
      <c r="N39" s="157">
        <v>121874</v>
      </c>
      <c r="O39" s="157">
        <v>473928</v>
      </c>
      <c r="P39" s="157">
        <v>265617</v>
      </c>
      <c r="Q39" s="157">
        <v>102538</v>
      </c>
      <c r="R39" s="157">
        <v>397517</v>
      </c>
      <c r="S39" s="157">
        <v>57328</v>
      </c>
      <c r="T39" s="157">
        <v>154665</v>
      </c>
      <c r="U39" s="157">
        <v>99955</v>
      </c>
      <c r="V39" s="157">
        <v>262714</v>
      </c>
      <c r="W39" s="157">
        <v>55474</v>
      </c>
      <c r="X39" s="157">
        <v>369593</v>
      </c>
      <c r="Y39" s="157">
        <f>SUM(Z39:AD39)</f>
        <v>2443069</v>
      </c>
      <c r="Z39" s="157">
        <v>353549</v>
      </c>
      <c r="AA39" s="157">
        <v>323854</v>
      </c>
      <c r="AB39" s="157">
        <v>731363</v>
      </c>
      <c r="AC39" s="157">
        <v>753007</v>
      </c>
      <c r="AD39" s="157">
        <v>281296</v>
      </c>
      <c r="AE39" s="157">
        <f>SUM(AF39:AI39)</f>
        <v>2414760</v>
      </c>
      <c r="AF39" s="157">
        <v>184189</v>
      </c>
      <c r="AG39" s="157">
        <v>1191044</v>
      </c>
      <c r="AH39" s="157">
        <v>485744</v>
      </c>
      <c r="AI39" s="157">
        <v>553783</v>
      </c>
      <c r="AJ39" s="157">
        <f>SUM(AK39:AL39)</f>
        <v>3204279</v>
      </c>
      <c r="AK39" s="157">
        <v>3145794</v>
      </c>
      <c r="AL39" s="158">
        <f>SUM(AM39:AO39)</f>
        <v>58485</v>
      </c>
      <c r="AM39" s="159">
        <v>15149</v>
      </c>
      <c r="AN39" s="157">
        <v>18034</v>
      </c>
      <c r="AO39" s="158">
        <v>25302</v>
      </c>
    </row>
    <row r="40" spans="1:41" x14ac:dyDescent="0.25">
      <c r="A40" s="160"/>
      <c r="B40" s="161"/>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8"/>
      <c r="AM40" s="159"/>
      <c r="AN40" s="157"/>
      <c r="AO40" s="158"/>
    </row>
    <row r="41" spans="1:41" ht="26.4" x14ac:dyDescent="0.25">
      <c r="A41" s="168" t="s">
        <v>58</v>
      </c>
      <c r="B41" s="162" t="s">
        <v>59</v>
      </c>
      <c r="C41" s="148">
        <f>SUM(C42:C45)</f>
        <v>386004435</v>
      </c>
      <c r="D41" s="148">
        <f t="shared" ref="D41:AO41" si="9">SUM(D42:D45)</f>
        <v>161715838</v>
      </c>
      <c r="E41" s="148">
        <f t="shared" si="9"/>
        <v>0</v>
      </c>
      <c r="F41" s="148">
        <f t="shared" si="9"/>
        <v>16421902</v>
      </c>
      <c r="G41" s="148">
        <f t="shared" si="9"/>
        <v>15268941</v>
      </c>
      <c r="H41" s="148">
        <f t="shared" si="9"/>
        <v>7359281</v>
      </c>
      <c r="I41" s="148">
        <f t="shared" si="9"/>
        <v>15433757</v>
      </c>
      <c r="J41" s="148">
        <f t="shared" si="9"/>
        <v>1911604</v>
      </c>
      <c r="K41" s="148">
        <f t="shared" si="9"/>
        <v>3287198</v>
      </c>
      <c r="L41" s="148">
        <f t="shared" si="9"/>
        <v>12234113</v>
      </c>
      <c r="M41" s="148">
        <f t="shared" si="9"/>
        <v>24300182</v>
      </c>
      <c r="N41" s="148">
        <f t="shared" si="9"/>
        <v>3392958</v>
      </c>
      <c r="O41" s="148">
        <f t="shared" si="9"/>
        <v>12957213</v>
      </c>
      <c r="P41" s="148">
        <f t="shared" si="9"/>
        <v>7394758</v>
      </c>
      <c r="Q41" s="148">
        <f t="shared" si="9"/>
        <v>2854645</v>
      </c>
      <c r="R41" s="148">
        <f t="shared" si="9"/>
        <v>11066864</v>
      </c>
      <c r="S41" s="148">
        <f t="shared" si="9"/>
        <v>1596009</v>
      </c>
      <c r="T41" s="148">
        <f t="shared" si="9"/>
        <v>4305873</v>
      </c>
      <c r="U41" s="148">
        <f t="shared" si="9"/>
        <v>2782744</v>
      </c>
      <c r="V41" s="148">
        <f t="shared" si="9"/>
        <v>7313948</v>
      </c>
      <c r="W41" s="148">
        <f t="shared" si="9"/>
        <v>1544383</v>
      </c>
      <c r="X41" s="148">
        <f t="shared" si="9"/>
        <v>10289465</v>
      </c>
      <c r="Y41" s="148">
        <f t="shared" si="9"/>
        <v>68014967</v>
      </c>
      <c r="Z41" s="148">
        <f t="shared" si="9"/>
        <v>9842789</v>
      </c>
      <c r="AA41" s="148">
        <f t="shared" si="9"/>
        <v>9016077</v>
      </c>
      <c r="AB41" s="148">
        <f t="shared" si="9"/>
        <v>20361142</v>
      </c>
      <c r="AC41" s="148">
        <f t="shared" si="9"/>
        <v>20963697</v>
      </c>
      <c r="AD41" s="148">
        <f t="shared" si="9"/>
        <v>7831262</v>
      </c>
      <c r="AE41" s="148">
        <f t="shared" si="9"/>
        <v>67226853</v>
      </c>
      <c r="AF41" s="148">
        <f t="shared" si="9"/>
        <v>5127801</v>
      </c>
      <c r="AG41" s="148">
        <f t="shared" si="9"/>
        <v>33158651</v>
      </c>
      <c r="AH41" s="148">
        <f t="shared" si="9"/>
        <v>13523102</v>
      </c>
      <c r="AI41" s="148">
        <f t="shared" si="9"/>
        <v>15417299</v>
      </c>
      <c r="AJ41" s="148">
        <f t="shared" si="9"/>
        <v>89046777</v>
      </c>
      <c r="AK41" s="148">
        <f t="shared" si="9"/>
        <v>87421856</v>
      </c>
      <c r="AL41" s="149">
        <f t="shared" si="9"/>
        <v>1624921</v>
      </c>
      <c r="AM41" s="150">
        <f t="shared" si="9"/>
        <v>419589</v>
      </c>
      <c r="AN41" s="148">
        <f t="shared" si="9"/>
        <v>500948</v>
      </c>
      <c r="AO41" s="149">
        <f t="shared" si="9"/>
        <v>704384</v>
      </c>
    </row>
    <row r="42" spans="1:41" x14ac:dyDescent="0.25">
      <c r="A42" s="167" t="s">
        <v>60</v>
      </c>
      <c r="B42" s="156" t="s">
        <v>61</v>
      </c>
      <c r="C42" s="157">
        <f>SUM(D42+Y42+AE42+AJ42)</f>
        <v>150452361</v>
      </c>
      <c r="D42" s="157">
        <f>SUM(E42:X42)</f>
        <v>63059190</v>
      </c>
      <c r="E42" s="157">
        <v>0</v>
      </c>
      <c r="F42" s="157">
        <v>6394160</v>
      </c>
      <c r="G42" s="157">
        <v>5945234</v>
      </c>
      <c r="H42" s="157">
        <v>2865467</v>
      </c>
      <c r="I42" s="157">
        <v>6009408</v>
      </c>
      <c r="J42" s="157">
        <v>744317</v>
      </c>
      <c r="K42" s="157">
        <v>1279929</v>
      </c>
      <c r="L42" s="157">
        <v>4763570</v>
      </c>
      <c r="M42" s="157">
        <v>9461709</v>
      </c>
      <c r="N42" s="157">
        <v>1321108</v>
      </c>
      <c r="O42" s="157">
        <v>5137371</v>
      </c>
      <c r="P42" s="157">
        <v>2879281</v>
      </c>
      <c r="Q42" s="157">
        <v>1111507</v>
      </c>
      <c r="R42" s="157">
        <v>4309081</v>
      </c>
      <c r="S42" s="157">
        <v>621434</v>
      </c>
      <c r="T42" s="157">
        <v>1676568</v>
      </c>
      <c r="U42" s="157">
        <v>1083511</v>
      </c>
      <c r="V42" s="157">
        <v>2847816</v>
      </c>
      <c r="W42" s="157">
        <v>601333</v>
      </c>
      <c r="X42" s="157">
        <v>4006386</v>
      </c>
      <c r="Y42" s="157">
        <f>SUM(Z42:AD42)</f>
        <v>26482838</v>
      </c>
      <c r="Z42" s="157">
        <v>3832465</v>
      </c>
      <c r="AA42" s="157">
        <v>3510570</v>
      </c>
      <c r="AB42" s="157">
        <v>7927973</v>
      </c>
      <c r="AC42" s="157">
        <v>8162589</v>
      </c>
      <c r="AD42" s="157">
        <v>3049241</v>
      </c>
      <c r="AE42" s="157">
        <f>SUM(AF42:AI42)</f>
        <v>26175971</v>
      </c>
      <c r="AF42" s="157">
        <v>1996600</v>
      </c>
      <c r="AG42" s="157">
        <v>12910911</v>
      </c>
      <c r="AH42" s="157">
        <v>5265460</v>
      </c>
      <c r="AI42" s="157">
        <v>6003000</v>
      </c>
      <c r="AJ42" s="157">
        <f>SUM(AK42:AL42)</f>
        <v>34734362</v>
      </c>
      <c r="AK42" s="157">
        <v>34100405</v>
      </c>
      <c r="AL42" s="158">
        <f>SUM(AM42:AO42)</f>
        <v>633957</v>
      </c>
      <c r="AM42" s="159">
        <v>164205</v>
      </c>
      <c r="AN42" s="157">
        <v>195488</v>
      </c>
      <c r="AO42" s="158">
        <v>274264</v>
      </c>
    </row>
    <row r="43" spans="1:41" ht="26.4" x14ac:dyDescent="0.25">
      <c r="A43" s="167" t="s">
        <v>62</v>
      </c>
      <c r="B43" s="156" t="s">
        <v>63</v>
      </c>
      <c r="C43" s="157">
        <f>SUM(D43+Y43+AE43+AJ43)</f>
        <v>83276221</v>
      </c>
      <c r="D43" s="157">
        <f>SUM(E43:X43)</f>
        <v>34903613</v>
      </c>
      <c r="E43" s="157">
        <v>0</v>
      </c>
      <c r="F43" s="157">
        <v>3539203</v>
      </c>
      <c r="G43" s="157">
        <v>3290720</v>
      </c>
      <c r="H43" s="157">
        <v>1586052</v>
      </c>
      <c r="I43" s="157">
        <v>3326241</v>
      </c>
      <c r="J43" s="157">
        <v>411984</v>
      </c>
      <c r="K43" s="157">
        <v>708448</v>
      </c>
      <c r="L43" s="157">
        <v>2636662</v>
      </c>
      <c r="M43" s="157">
        <v>5237108</v>
      </c>
      <c r="N43" s="157">
        <v>731241</v>
      </c>
      <c r="O43" s="157">
        <v>2843564</v>
      </c>
      <c r="P43" s="157">
        <v>1593698</v>
      </c>
      <c r="Q43" s="157">
        <v>615225</v>
      </c>
      <c r="R43" s="157">
        <v>2385100</v>
      </c>
      <c r="S43" s="157">
        <v>343968</v>
      </c>
      <c r="T43" s="157">
        <v>927990</v>
      </c>
      <c r="U43" s="157">
        <v>599729</v>
      </c>
      <c r="V43" s="157">
        <v>1576282</v>
      </c>
      <c r="W43" s="157">
        <v>332841</v>
      </c>
      <c r="X43" s="157">
        <v>2217557</v>
      </c>
      <c r="Y43" s="157">
        <f>SUM(Z43:AD43)</f>
        <v>14658398</v>
      </c>
      <c r="Z43" s="157">
        <v>2121291</v>
      </c>
      <c r="AA43" s="157">
        <v>1943120</v>
      </c>
      <c r="AB43" s="157">
        <v>4388177</v>
      </c>
      <c r="AC43" s="157">
        <v>4518038</v>
      </c>
      <c r="AD43" s="157">
        <v>1687772</v>
      </c>
      <c r="AE43" s="157">
        <f>SUM(AF43:AI43)</f>
        <v>14488547</v>
      </c>
      <c r="AF43" s="157">
        <v>1105130</v>
      </c>
      <c r="AG43" s="157">
        <v>7146261</v>
      </c>
      <c r="AH43" s="157">
        <v>2914462</v>
      </c>
      <c r="AI43" s="157">
        <v>3322694</v>
      </c>
      <c r="AJ43" s="157">
        <f>SUM(AK43:AL43)</f>
        <v>19225663</v>
      </c>
      <c r="AK43" s="157">
        <v>18874763</v>
      </c>
      <c r="AL43" s="158">
        <f>SUM(AM43:AO43)</f>
        <v>350900</v>
      </c>
      <c r="AM43" s="159">
        <v>90889</v>
      </c>
      <c r="AN43" s="157">
        <v>108204</v>
      </c>
      <c r="AO43" s="158">
        <v>151807</v>
      </c>
    </row>
    <row r="44" spans="1:41" x14ac:dyDescent="0.25">
      <c r="A44" s="167" t="s">
        <v>64</v>
      </c>
      <c r="B44" s="156" t="s">
        <v>65</v>
      </c>
      <c r="C44" s="157">
        <f>SUM(D44+Y44+AE44+AJ44)</f>
        <v>41638117</v>
      </c>
      <c r="D44" s="157">
        <f>SUM(E44:X44)</f>
        <v>17451810</v>
      </c>
      <c r="E44" s="157">
        <v>0</v>
      </c>
      <c r="F44" s="157">
        <v>1769602</v>
      </c>
      <c r="G44" s="157">
        <v>1645360</v>
      </c>
      <c r="H44" s="157">
        <v>793026</v>
      </c>
      <c r="I44" s="157">
        <v>1663121</v>
      </c>
      <c r="J44" s="157">
        <v>205992</v>
      </c>
      <c r="K44" s="157">
        <v>354224</v>
      </c>
      <c r="L44" s="157">
        <v>1318331</v>
      </c>
      <c r="M44" s="157">
        <v>2618554</v>
      </c>
      <c r="N44" s="157">
        <v>365621</v>
      </c>
      <c r="O44" s="157">
        <v>1421782</v>
      </c>
      <c r="P44" s="157">
        <v>796849</v>
      </c>
      <c r="Q44" s="157">
        <v>307613</v>
      </c>
      <c r="R44" s="157">
        <v>1192550</v>
      </c>
      <c r="S44" s="157">
        <v>171984</v>
      </c>
      <c r="T44" s="157">
        <v>463995</v>
      </c>
      <c r="U44" s="157">
        <v>299865</v>
      </c>
      <c r="V44" s="157">
        <v>788141</v>
      </c>
      <c r="W44" s="157">
        <v>166421</v>
      </c>
      <c r="X44" s="157">
        <v>1108779</v>
      </c>
      <c r="Y44" s="157">
        <f>SUM(Z44:AD44)</f>
        <v>7329200</v>
      </c>
      <c r="Z44" s="157">
        <v>1060646</v>
      </c>
      <c r="AA44" s="157">
        <v>971560</v>
      </c>
      <c r="AB44" s="157">
        <v>2194089</v>
      </c>
      <c r="AC44" s="157">
        <v>2259019</v>
      </c>
      <c r="AD44" s="157">
        <v>843886</v>
      </c>
      <c r="AE44" s="157">
        <f>SUM(AF44:AI44)</f>
        <v>7244274</v>
      </c>
      <c r="AF44" s="157">
        <v>552565</v>
      </c>
      <c r="AG44" s="157">
        <v>3573131</v>
      </c>
      <c r="AH44" s="157">
        <v>1457231</v>
      </c>
      <c r="AI44" s="157">
        <v>1661347</v>
      </c>
      <c r="AJ44" s="157">
        <f>SUM(AK44:AL44)</f>
        <v>9612833</v>
      </c>
      <c r="AK44" s="157">
        <v>9437382</v>
      </c>
      <c r="AL44" s="158">
        <f>SUM(AM44:AO44)</f>
        <v>175451</v>
      </c>
      <c r="AM44" s="159">
        <v>45445</v>
      </c>
      <c r="AN44" s="157">
        <v>54102</v>
      </c>
      <c r="AO44" s="158">
        <v>75904</v>
      </c>
    </row>
    <row r="45" spans="1:41" ht="26.4" x14ac:dyDescent="0.25">
      <c r="A45" s="167" t="s">
        <v>66</v>
      </c>
      <c r="B45" s="156" t="s">
        <v>67</v>
      </c>
      <c r="C45" s="157">
        <f>SUM(D45+Y45+AE45+AJ45)</f>
        <v>110637736</v>
      </c>
      <c r="D45" s="157">
        <f>SUM(E45:X45)</f>
        <v>46301225</v>
      </c>
      <c r="E45" s="157">
        <v>0</v>
      </c>
      <c r="F45" s="157">
        <v>4718937</v>
      </c>
      <c r="G45" s="157">
        <v>4387627</v>
      </c>
      <c r="H45" s="157">
        <v>2114736</v>
      </c>
      <c r="I45" s="157">
        <v>4434987</v>
      </c>
      <c r="J45" s="157">
        <v>549311</v>
      </c>
      <c r="K45" s="157">
        <v>944597</v>
      </c>
      <c r="L45" s="157">
        <v>3515550</v>
      </c>
      <c r="M45" s="157">
        <v>6982811</v>
      </c>
      <c r="N45" s="157">
        <v>974988</v>
      </c>
      <c r="O45" s="157">
        <v>3554496</v>
      </c>
      <c r="P45" s="157">
        <v>2124930</v>
      </c>
      <c r="Q45" s="157">
        <v>820300</v>
      </c>
      <c r="R45" s="157">
        <v>3180133</v>
      </c>
      <c r="S45" s="157">
        <v>458623</v>
      </c>
      <c r="T45" s="157">
        <v>1237320</v>
      </c>
      <c r="U45" s="157">
        <v>799639</v>
      </c>
      <c r="V45" s="157">
        <v>2101709</v>
      </c>
      <c r="W45" s="157">
        <v>443788</v>
      </c>
      <c r="X45" s="157">
        <v>2956743</v>
      </c>
      <c r="Y45" s="157">
        <f>SUM(Z45:AD45)</f>
        <v>19544531</v>
      </c>
      <c r="Z45" s="157">
        <v>2828387</v>
      </c>
      <c r="AA45" s="157">
        <v>2590827</v>
      </c>
      <c r="AB45" s="157">
        <v>5850903</v>
      </c>
      <c r="AC45" s="157">
        <v>6024051</v>
      </c>
      <c r="AD45" s="157">
        <v>2250363</v>
      </c>
      <c r="AE45" s="157">
        <f>SUM(AF45:AI45)</f>
        <v>19318061</v>
      </c>
      <c r="AF45" s="157">
        <v>1473506</v>
      </c>
      <c r="AG45" s="157">
        <v>9528348</v>
      </c>
      <c r="AH45" s="157">
        <v>3885949</v>
      </c>
      <c r="AI45" s="157">
        <v>4430258</v>
      </c>
      <c r="AJ45" s="157">
        <f>SUM(AK45:AL45)</f>
        <v>25473919</v>
      </c>
      <c r="AK45" s="157">
        <v>25009306</v>
      </c>
      <c r="AL45" s="158">
        <f>SUM(AM45:AO45)</f>
        <v>464613</v>
      </c>
      <c r="AM45" s="159">
        <v>119050</v>
      </c>
      <c r="AN45" s="157">
        <v>143154</v>
      </c>
      <c r="AO45" s="158">
        <v>202409</v>
      </c>
    </row>
    <row r="46" spans="1:41" x14ac:dyDescent="0.25">
      <c r="A46" s="160"/>
      <c r="B46" s="161"/>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8"/>
      <c r="AM46" s="159"/>
      <c r="AN46" s="157"/>
      <c r="AO46" s="158"/>
    </row>
    <row r="47" spans="1:41" x14ac:dyDescent="0.25">
      <c r="A47" s="165">
        <v>1</v>
      </c>
      <c r="B47" s="169" t="s">
        <v>68</v>
      </c>
      <c r="C47" s="142">
        <f t="shared" ref="C47:AO47" si="10">+C49+C56+C63+C73+C103+C107+C115+C119+C128+C131</f>
        <v>6191201364</v>
      </c>
      <c r="D47" s="142">
        <f t="shared" si="10"/>
        <v>1344869595</v>
      </c>
      <c r="E47" s="142">
        <f t="shared" si="10"/>
        <v>0</v>
      </c>
      <c r="F47" s="142">
        <f t="shared" si="10"/>
        <v>1696368</v>
      </c>
      <c r="G47" s="142">
        <f t="shared" si="10"/>
        <v>7500000</v>
      </c>
      <c r="H47" s="142">
        <f t="shared" si="10"/>
        <v>5150000</v>
      </c>
      <c r="I47" s="142">
        <f t="shared" si="10"/>
        <v>164041832</v>
      </c>
      <c r="J47" s="142">
        <f t="shared" si="10"/>
        <v>27000</v>
      </c>
      <c r="K47" s="142">
        <f t="shared" si="10"/>
        <v>5050000</v>
      </c>
      <c r="L47" s="142">
        <f t="shared" si="10"/>
        <v>54000</v>
      </c>
      <c r="M47" s="142">
        <f t="shared" si="10"/>
        <v>450000</v>
      </c>
      <c r="N47" s="142">
        <f t="shared" si="10"/>
        <v>18637114.000000007</v>
      </c>
      <c r="O47" s="142">
        <f t="shared" si="10"/>
        <v>566973019</v>
      </c>
      <c r="P47" s="142">
        <f t="shared" si="10"/>
        <v>75632200</v>
      </c>
      <c r="Q47" s="142">
        <f t="shared" si="10"/>
        <v>0</v>
      </c>
      <c r="R47" s="142">
        <f t="shared" si="10"/>
        <v>1650000</v>
      </c>
      <c r="S47" s="142">
        <f t="shared" si="10"/>
        <v>387850612</v>
      </c>
      <c r="T47" s="142">
        <f t="shared" si="10"/>
        <v>13100000</v>
      </c>
      <c r="U47" s="142">
        <f t="shared" si="10"/>
        <v>4001250</v>
      </c>
      <c r="V47" s="142">
        <f t="shared" si="10"/>
        <v>11756200</v>
      </c>
      <c r="W47" s="142">
        <f t="shared" si="10"/>
        <v>2200000</v>
      </c>
      <c r="X47" s="142">
        <f t="shared" si="10"/>
        <v>79100000</v>
      </c>
      <c r="Y47" s="142">
        <f t="shared" si="10"/>
        <v>682667504</v>
      </c>
      <c r="Z47" s="142">
        <f t="shared" si="10"/>
        <v>502226000</v>
      </c>
      <c r="AA47" s="142">
        <f t="shared" si="10"/>
        <v>35885600</v>
      </c>
      <c r="AB47" s="142">
        <f t="shared" si="10"/>
        <v>133905904</v>
      </c>
      <c r="AC47" s="142">
        <f t="shared" si="10"/>
        <v>10000000</v>
      </c>
      <c r="AD47" s="142">
        <f t="shared" si="10"/>
        <v>650000</v>
      </c>
      <c r="AE47" s="142">
        <f t="shared" si="10"/>
        <v>122320767</v>
      </c>
      <c r="AF47" s="142">
        <f t="shared" si="10"/>
        <v>500000</v>
      </c>
      <c r="AG47" s="142">
        <f t="shared" si="10"/>
        <v>49089587</v>
      </c>
      <c r="AH47" s="142">
        <f t="shared" si="10"/>
        <v>25075000</v>
      </c>
      <c r="AI47" s="142">
        <f t="shared" si="10"/>
        <v>47656180</v>
      </c>
      <c r="AJ47" s="142">
        <f t="shared" si="10"/>
        <v>4041343498</v>
      </c>
      <c r="AK47" s="142">
        <f t="shared" si="10"/>
        <v>4040918498</v>
      </c>
      <c r="AL47" s="143">
        <f t="shared" si="10"/>
        <v>425000</v>
      </c>
      <c r="AM47" s="141">
        <f t="shared" si="10"/>
        <v>150000</v>
      </c>
      <c r="AN47" s="142">
        <f t="shared" si="10"/>
        <v>275000</v>
      </c>
      <c r="AO47" s="143">
        <f t="shared" si="10"/>
        <v>0</v>
      </c>
    </row>
    <row r="48" spans="1:41" x14ac:dyDescent="0.25">
      <c r="A48" s="165"/>
      <c r="B48" s="169"/>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3"/>
      <c r="AM48" s="141"/>
      <c r="AN48" s="142"/>
      <c r="AO48" s="143"/>
    </row>
    <row r="49" spans="1:41" x14ac:dyDescent="0.25">
      <c r="A49" s="170" t="s">
        <v>69</v>
      </c>
      <c r="B49" s="162" t="s">
        <v>70</v>
      </c>
      <c r="C49" s="142">
        <f>SUM(C50:C54)</f>
        <v>16186192</v>
      </c>
      <c r="D49" s="142">
        <f t="shared" ref="D49:AO49" si="11">SUM(D50:D54)</f>
        <v>12133394</v>
      </c>
      <c r="E49" s="142">
        <f t="shared" si="11"/>
        <v>0</v>
      </c>
      <c r="F49" s="142">
        <f t="shared" si="11"/>
        <v>0</v>
      </c>
      <c r="G49" s="142">
        <f t="shared" si="11"/>
        <v>0</v>
      </c>
      <c r="H49" s="142">
        <f t="shared" si="11"/>
        <v>0</v>
      </c>
      <c r="I49" s="142">
        <f t="shared" si="11"/>
        <v>0</v>
      </c>
      <c r="J49" s="142">
        <f t="shared" si="11"/>
        <v>0</v>
      </c>
      <c r="K49" s="142">
        <f t="shared" si="11"/>
        <v>0</v>
      </c>
      <c r="L49" s="142">
        <f t="shared" si="11"/>
        <v>0</v>
      </c>
      <c r="M49" s="142">
        <f t="shared" si="11"/>
        <v>0</v>
      </c>
      <c r="N49" s="142">
        <f t="shared" si="11"/>
        <v>0</v>
      </c>
      <c r="O49" s="142">
        <f t="shared" si="11"/>
        <v>5758394</v>
      </c>
      <c r="P49" s="142">
        <f t="shared" si="11"/>
        <v>0</v>
      </c>
      <c r="Q49" s="142">
        <f t="shared" si="11"/>
        <v>0</v>
      </c>
      <c r="R49" s="142">
        <f t="shared" si="11"/>
        <v>0</v>
      </c>
      <c r="S49" s="142">
        <f t="shared" si="11"/>
        <v>0</v>
      </c>
      <c r="T49" s="142">
        <f t="shared" si="11"/>
        <v>0</v>
      </c>
      <c r="U49" s="142">
        <f t="shared" si="11"/>
        <v>0</v>
      </c>
      <c r="V49" s="142">
        <f t="shared" si="11"/>
        <v>6375000</v>
      </c>
      <c r="W49" s="142">
        <f t="shared" si="11"/>
        <v>0</v>
      </c>
      <c r="X49" s="142">
        <f t="shared" si="11"/>
        <v>0</v>
      </c>
      <c r="Y49" s="142">
        <f t="shared" si="11"/>
        <v>1200000</v>
      </c>
      <c r="Z49" s="142">
        <f t="shared" si="11"/>
        <v>350000</v>
      </c>
      <c r="AA49" s="142">
        <f t="shared" si="11"/>
        <v>850000</v>
      </c>
      <c r="AB49" s="142">
        <f t="shared" si="11"/>
        <v>0</v>
      </c>
      <c r="AC49" s="142">
        <f t="shared" si="11"/>
        <v>0</v>
      </c>
      <c r="AD49" s="142">
        <f t="shared" si="11"/>
        <v>0</v>
      </c>
      <c r="AE49" s="142">
        <f t="shared" si="11"/>
        <v>0</v>
      </c>
      <c r="AF49" s="142">
        <f t="shared" si="11"/>
        <v>0</v>
      </c>
      <c r="AG49" s="142">
        <f t="shared" si="11"/>
        <v>0</v>
      </c>
      <c r="AH49" s="142">
        <f t="shared" si="11"/>
        <v>0</v>
      </c>
      <c r="AI49" s="142">
        <f t="shared" si="11"/>
        <v>0</v>
      </c>
      <c r="AJ49" s="142">
        <f t="shared" si="11"/>
        <v>2852798</v>
      </c>
      <c r="AK49" s="142">
        <f t="shared" si="11"/>
        <v>2852798</v>
      </c>
      <c r="AL49" s="143">
        <f t="shared" si="11"/>
        <v>0</v>
      </c>
      <c r="AM49" s="141">
        <f t="shared" si="11"/>
        <v>0</v>
      </c>
      <c r="AN49" s="142">
        <f t="shared" si="11"/>
        <v>0</v>
      </c>
      <c r="AO49" s="143">
        <f t="shared" si="11"/>
        <v>0</v>
      </c>
    </row>
    <row r="50" spans="1:41" x14ac:dyDescent="0.25">
      <c r="A50" s="171" t="s">
        <v>71</v>
      </c>
      <c r="B50" s="156" t="s">
        <v>72</v>
      </c>
      <c r="C50" s="157">
        <f>SUM(D50+Y50+AE50+AJ50)</f>
        <v>4161192</v>
      </c>
      <c r="D50" s="157">
        <f>SUM(E50:X50)</f>
        <v>4045894</v>
      </c>
      <c r="E50" s="157">
        <v>0</v>
      </c>
      <c r="F50" s="157">
        <v>0</v>
      </c>
      <c r="G50" s="157">
        <v>0</v>
      </c>
      <c r="H50" s="157">
        <v>0</v>
      </c>
      <c r="I50" s="157">
        <v>0</v>
      </c>
      <c r="J50" s="157">
        <v>0</v>
      </c>
      <c r="K50" s="157">
        <v>0</v>
      </c>
      <c r="L50" s="157">
        <v>0</v>
      </c>
      <c r="M50" s="157">
        <v>0</v>
      </c>
      <c r="N50" s="157">
        <v>0</v>
      </c>
      <c r="O50" s="157">
        <f>4161192-[10]Hoja2!$M$7</f>
        <v>4045894</v>
      </c>
      <c r="P50" s="157">
        <v>0</v>
      </c>
      <c r="Q50" s="157">
        <v>0</v>
      </c>
      <c r="R50" s="157">
        <v>0</v>
      </c>
      <c r="S50" s="157">
        <v>0</v>
      </c>
      <c r="T50" s="157">
        <v>0</v>
      </c>
      <c r="U50" s="157">
        <v>0</v>
      </c>
      <c r="V50" s="157">
        <v>0</v>
      </c>
      <c r="W50" s="157">
        <v>0</v>
      </c>
      <c r="X50" s="157">
        <v>0</v>
      </c>
      <c r="Y50" s="157">
        <f>SUM(Z50:AD50)</f>
        <v>0</v>
      </c>
      <c r="Z50" s="157">
        <v>0</v>
      </c>
      <c r="AA50" s="157">
        <v>0</v>
      </c>
      <c r="AB50" s="157">
        <v>0</v>
      </c>
      <c r="AC50" s="157">
        <v>0</v>
      </c>
      <c r="AD50" s="157">
        <v>0</v>
      </c>
      <c r="AE50" s="157">
        <f>SUM(AF50:AI50)</f>
        <v>0</v>
      </c>
      <c r="AF50" s="157">
        <v>0</v>
      </c>
      <c r="AG50" s="157">
        <v>0</v>
      </c>
      <c r="AH50" s="157">
        <v>0</v>
      </c>
      <c r="AI50" s="157">
        <v>0</v>
      </c>
      <c r="AJ50" s="157">
        <f>SUM(AK50:AL50)</f>
        <v>115298</v>
      </c>
      <c r="AK50" s="157">
        <f>+[10]Hoja2!$M$7</f>
        <v>115298</v>
      </c>
      <c r="AL50" s="158">
        <f>SUM(AM50:AO50)</f>
        <v>0</v>
      </c>
      <c r="AM50" s="159">
        <v>0</v>
      </c>
      <c r="AN50" s="157">
        <v>0</v>
      </c>
      <c r="AO50" s="158">
        <v>0</v>
      </c>
    </row>
    <row r="51" spans="1:41" x14ac:dyDescent="0.25">
      <c r="A51" s="171" t="s">
        <v>73</v>
      </c>
      <c r="B51" s="156" t="s">
        <v>74</v>
      </c>
      <c r="C51" s="157">
        <f>SUM(D51+Y51+AE51+AJ51)</f>
        <v>10700000</v>
      </c>
      <c r="D51" s="157">
        <f>SUM(E51:X51)</f>
        <v>7125000</v>
      </c>
      <c r="E51" s="157">
        <v>0</v>
      </c>
      <c r="F51" s="157">
        <v>0</v>
      </c>
      <c r="G51" s="157">
        <v>0</v>
      </c>
      <c r="H51" s="157">
        <v>0</v>
      </c>
      <c r="I51" s="157">
        <v>0</v>
      </c>
      <c r="J51" s="157">
        <v>0</v>
      </c>
      <c r="K51" s="157">
        <v>0</v>
      </c>
      <c r="L51" s="157">
        <v>0</v>
      </c>
      <c r="M51" s="157">
        <v>0</v>
      </c>
      <c r="N51" s="157">
        <v>0</v>
      </c>
      <c r="O51" s="157">
        <f>1000000-250000</f>
        <v>750000</v>
      </c>
      <c r="P51" s="157">
        <v>0</v>
      </c>
      <c r="Q51" s="157">
        <v>0</v>
      </c>
      <c r="R51" s="157">
        <v>0</v>
      </c>
      <c r="S51" s="157">
        <v>0</v>
      </c>
      <c r="T51" s="157">
        <v>0</v>
      </c>
      <c r="U51" s="157">
        <v>0</v>
      </c>
      <c r="V51" s="157">
        <f>8500000-2125000</f>
        <v>6375000</v>
      </c>
      <c r="W51" s="157">
        <v>0</v>
      </c>
      <c r="X51" s="157">
        <v>0</v>
      </c>
      <c r="Y51" s="157">
        <f>SUM(Z51:AD51)</f>
        <v>1200000</v>
      </c>
      <c r="Z51" s="157">
        <v>350000</v>
      </c>
      <c r="AA51" s="157">
        <v>850000</v>
      </c>
      <c r="AB51" s="157">
        <v>0</v>
      </c>
      <c r="AC51" s="157">
        <v>0</v>
      </c>
      <c r="AD51" s="157">
        <v>0</v>
      </c>
      <c r="AE51" s="157">
        <f>SUM(AF51:AI51)</f>
        <v>0</v>
      </c>
      <c r="AF51" s="157">
        <v>0</v>
      </c>
      <c r="AG51" s="157">
        <v>0</v>
      </c>
      <c r="AH51" s="157">
        <v>0</v>
      </c>
      <c r="AI51" s="157">
        <v>0</v>
      </c>
      <c r="AJ51" s="157">
        <f>SUM(AK51:AL51)</f>
        <v>2375000</v>
      </c>
      <c r="AK51" s="157">
        <f>+[10]Hoja2!$M$8</f>
        <v>2375000</v>
      </c>
      <c r="AL51" s="158">
        <f>SUM(AM51:AO51)</f>
        <v>0</v>
      </c>
      <c r="AM51" s="159">
        <v>0</v>
      </c>
      <c r="AN51" s="157">
        <v>0</v>
      </c>
      <c r="AO51" s="158">
        <v>0</v>
      </c>
    </row>
    <row r="52" spans="1:41" x14ac:dyDescent="0.25">
      <c r="A52" s="171" t="s">
        <v>75</v>
      </c>
      <c r="B52" s="156" t="s">
        <v>76</v>
      </c>
      <c r="C52" s="157">
        <f>SUM(D52+Y52+AE52+AJ52)</f>
        <v>700000</v>
      </c>
      <c r="D52" s="157">
        <f>SUM(E52:X52)</f>
        <v>525000</v>
      </c>
      <c r="E52" s="157">
        <v>0</v>
      </c>
      <c r="F52" s="157">
        <v>0</v>
      </c>
      <c r="G52" s="157">
        <v>0</v>
      </c>
      <c r="H52" s="157">
        <v>0</v>
      </c>
      <c r="I52" s="157">
        <v>0</v>
      </c>
      <c r="J52" s="157">
        <v>0</v>
      </c>
      <c r="K52" s="157">
        <v>0</v>
      </c>
      <c r="L52" s="157">
        <v>0</v>
      </c>
      <c r="M52" s="157">
        <v>0</v>
      </c>
      <c r="N52" s="157">
        <v>0</v>
      </c>
      <c r="O52" s="157">
        <f>700000-[10]Hoja2!$M$9</f>
        <v>525000</v>
      </c>
      <c r="P52" s="157">
        <v>0</v>
      </c>
      <c r="Q52" s="157">
        <v>0</v>
      </c>
      <c r="R52" s="157">
        <v>0</v>
      </c>
      <c r="S52" s="157">
        <v>0</v>
      </c>
      <c r="T52" s="157">
        <v>0</v>
      </c>
      <c r="U52" s="157">
        <v>0</v>
      </c>
      <c r="V52" s="157">
        <v>0</v>
      </c>
      <c r="W52" s="157">
        <v>0</v>
      </c>
      <c r="X52" s="157">
        <v>0</v>
      </c>
      <c r="Y52" s="157">
        <f>SUM(Z52:AD52)</f>
        <v>0</v>
      </c>
      <c r="Z52" s="157">
        <v>0</v>
      </c>
      <c r="AA52" s="157">
        <v>0</v>
      </c>
      <c r="AB52" s="157">
        <v>0</v>
      </c>
      <c r="AC52" s="157">
        <v>0</v>
      </c>
      <c r="AD52" s="157">
        <v>0</v>
      </c>
      <c r="AE52" s="157">
        <f>SUM(AF52:AI52)</f>
        <v>0</v>
      </c>
      <c r="AF52" s="157">
        <v>0</v>
      </c>
      <c r="AG52" s="157">
        <v>0</v>
      </c>
      <c r="AH52" s="157">
        <v>0</v>
      </c>
      <c r="AI52" s="157">
        <v>0</v>
      </c>
      <c r="AJ52" s="157">
        <f>SUM(AK52:AL52)</f>
        <v>175000</v>
      </c>
      <c r="AK52" s="157">
        <f>+[10]Hoja2!$M$9</f>
        <v>175000</v>
      </c>
      <c r="AL52" s="158">
        <f>SUM(AM52:AO52)</f>
        <v>0</v>
      </c>
      <c r="AM52" s="159">
        <v>0</v>
      </c>
      <c r="AN52" s="157">
        <v>0</v>
      </c>
      <c r="AO52" s="158">
        <v>0</v>
      </c>
    </row>
    <row r="53" spans="1:41" x14ac:dyDescent="0.25">
      <c r="A53" s="171" t="s">
        <v>77</v>
      </c>
      <c r="B53" s="156" t="s">
        <v>78</v>
      </c>
      <c r="C53" s="157">
        <f>SUM(D53+Y53+AE53+AJ53)</f>
        <v>500000</v>
      </c>
      <c r="D53" s="157">
        <f>SUM(E53:X53)</f>
        <v>375000</v>
      </c>
      <c r="E53" s="157">
        <v>0</v>
      </c>
      <c r="F53" s="157">
        <v>0</v>
      </c>
      <c r="G53" s="157">
        <v>0</v>
      </c>
      <c r="H53" s="157">
        <v>0</v>
      </c>
      <c r="I53" s="157">
        <v>0</v>
      </c>
      <c r="J53" s="157">
        <v>0</v>
      </c>
      <c r="K53" s="157">
        <v>0</v>
      </c>
      <c r="L53" s="157">
        <v>0</v>
      </c>
      <c r="M53" s="157">
        <v>0</v>
      </c>
      <c r="N53" s="157">
        <v>0</v>
      </c>
      <c r="O53" s="157">
        <f>500000-[10]Hoja2!$M$10</f>
        <v>375000</v>
      </c>
      <c r="P53" s="157">
        <v>0</v>
      </c>
      <c r="Q53" s="157">
        <v>0</v>
      </c>
      <c r="R53" s="157">
        <v>0</v>
      </c>
      <c r="S53" s="157">
        <v>0</v>
      </c>
      <c r="T53" s="157">
        <v>0</v>
      </c>
      <c r="U53" s="157">
        <v>0</v>
      </c>
      <c r="V53" s="157">
        <v>0</v>
      </c>
      <c r="W53" s="157">
        <v>0</v>
      </c>
      <c r="X53" s="157">
        <v>0</v>
      </c>
      <c r="Y53" s="157">
        <f>SUM(Z53:AD53)</f>
        <v>0</v>
      </c>
      <c r="Z53" s="157">
        <v>0</v>
      </c>
      <c r="AA53" s="157">
        <v>0</v>
      </c>
      <c r="AB53" s="157">
        <v>0</v>
      </c>
      <c r="AC53" s="157">
        <v>0</v>
      </c>
      <c r="AD53" s="157">
        <v>0</v>
      </c>
      <c r="AE53" s="157">
        <f>SUM(AF53:AI53)</f>
        <v>0</v>
      </c>
      <c r="AF53" s="157">
        <v>0</v>
      </c>
      <c r="AG53" s="157">
        <v>0</v>
      </c>
      <c r="AH53" s="157">
        <v>0</v>
      </c>
      <c r="AI53" s="157">
        <v>0</v>
      </c>
      <c r="AJ53" s="157">
        <f>SUM(AK53:AL53)</f>
        <v>125000</v>
      </c>
      <c r="AK53" s="157">
        <f>+[10]Hoja2!$M$10</f>
        <v>125000</v>
      </c>
      <c r="AL53" s="158">
        <f>SUM(AM53:AO53)</f>
        <v>0</v>
      </c>
      <c r="AM53" s="159">
        <v>0</v>
      </c>
      <c r="AN53" s="157">
        <v>0</v>
      </c>
      <c r="AO53" s="158">
        <v>0</v>
      </c>
    </row>
    <row r="54" spans="1:41" ht="13.8" thickBot="1" x14ac:dyDescent="0.3">
      <c r="A54" s="172" t="s">
        <v>79</v>
      </c>
      <c r="B54" s="173" t="s">
        <v>80</v>
      </c>
      <c r="C54" s="174">
        <f>SUM(D54+Y54+AE54+AJ54)</f>
        <v>125000</v>
      </c>
      <c r="D54" s="174">
        <f>SUM(E54:X54)</f>
        <v>62500</v>
      </c>
      <c r="E54" s="174">
        <v>0</v>
      </c>
      <c r="F54" s="174">
        <v>0</v>
      </c>
      <c r="G54" s="174">
        <v>0</v>
      </c>
      <c r="H54" s="174">
        <v>0</v>
      </c>
      <c r="I54" s="174">
        <v>0</v>
      </c>
      <c r="J54" s="174">
        <v>0</v>
      </c>
      <c r="K54" s="174">
        <v>0</v>
      </c>
      <c r="L54" s="174">
        <v>0</v>
      </c>
      <c r="M54" s="174">
        <v>0</v>
      </c>
      <c r="N54" s="174">
        <v>0</v>
      </c>
      <c r="O54" s="174">
        <f>250000-[10]Hoja2!$I$11</f>
        <v>62500</v>
      </c>
      <c r="P54" s="174">
        <v>0</v>
      </c>
      <c r="Q54" s="174">
        <v>0</v>
      </c>
      <c r="R54" s="174">
        <v>0</v>
      </c>
      <c r="S54" s="174">
        <v>0</v>
      </c>
      <c r="T54" s="174">
        <v>0</v>
      </c>
      <c r="U54" s="174">
        <v>0</v>
      </c>
      <c r="V54" s="174">
        <v>0</v>
      </c>
      <c r="W54" s="174">
        <v>0</v>
      </c>
      <c r="X54" s="174">
        <v>0</v>
      </c>
      <c r="Y54" s="174">
        <f>SUM(Z54:AD54)</f>
        <v>0</v>
      </c>
      <c r="Z54" s="174">
        <v>0</v>
      </c>
      <c r="AA54" s="174">
        <v>0</v>
      </c>
      <c r="AB54" s="174">
        <v>0</v>
      </c>
      <c r="AC54" s="174">
        <v>0</v>
      </c>
      <c r="AD54" s="174">
        <v>0</v>
      </c>
      <c r="AE54" s="174">
        <f>SUM(AF54:AI54)</f>
        <v>0</v>
      </c>
      <c r="AF54" s="174">
        <v>0</v>
      </c>
      <c r="AG54" s="174">
        <v>0</v>
      </c>
      <c r="AH54" s="174">
        <v>0</v>
      </c>
      <c r="AI54" s="174">
        <v>0</v>
      </c>
      <c r="AJ54" s="174">
        <f>SUM(AK54:AL54)</f>
        <v>62500</v>
      </c>
      <c r="AK54" s="174">
        <f>+[10]Hoja2!$M$11</f>
        <v>62500</v>
      </c>
      <c r="AL54" s="175">
        <f>SUM(AM54:AO54)</f>
        <v>0</v>
      </c>
      <c r="AM54" s="159">
        <v>0</v>
      </c>
      <c r="AN54" s="157">
        <v>0</v>
      </c>
      <c r="AO54" s="158">
        <v>0</v>
      </c>
    </row>
    <row r="55" spans="1:41" x14ac:dyDescent="0.25">
      <c r="A55" s="160"/>
      <c r="B55" s="161"/>
      <c r="C55" s="157"/>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8"/>
    </row>
    <row r="56" spans="1:41" x14ac:dyDescent="0.25">
      <c r="A56" s="176" t="s">
        <v>81</v>
      </c>
      <c r="B56" s="162" t="s">
        <v>82</v>
      </c>
      <c r="C56" s="148">
        <f>SUM(C57:C61)</f>
        <v>157888642</v>
      </c>
      <c r="D56" s="148">
        <f t="shared" ref="D56:AO56" si="12">SUM(D57:D61)</f>
        <v>104345594</v>
      </c>
      <c r="E56" s="148">
        <f t="shared" si="12"/>
        <v>0</v>
      </c>
      <c r="F56" s="148">
        <f t="shared" si="12"/>
        <v>0</v>
      </c>
      <c r="G56" s="148">
        <f t="shared" si="12"/>
        <v>0</v>
      </c>
      <c r="H56" s="148">
        <f t="shared" si="12"/>
        <v>0</v>
      </c>
      <c r="I56" s="148">
        <f t="shared" si="12"/>
        <v>14183469</v>
      </c>
      <c r="J56" s="148">
        <f t="shared" si="12"/>
        <v>0</v>
      </c>
      <c r="K56" s="148">
        <f t="shared" si="12"/>
        <v>0</v>
      </c>
      <c r="L56" s="148">
        <f t="shared" si="12"/>
        <v>0</v>
      </c>
      <c r="M56" s="148">
        <f t="shared" si="12"/>
        <v>0</v>
      </c>
      <c r="N56" s="148">
        <f t="shared" si="12"/>
        <v>0</v>
      </c>
      <c r="O56" s="148">
        <f t="shared" si="12"/>
        <v>90162125</v>
      </c>
      <c r="P56" s="148">
        <f t="shared" si="12"/>
        <v>0</v>
      </c>
      <c r="Q56" s="148">
        <f t="shared" si="12"/>
        <v>0</v>
      </c>
      <c r="R56" s="148">
        <f t="shared" si="12"/>
        <v>0</v>
      </c>
      <c r="S56" s="148">
        <f t="shared" si="12"/>
        <v>0</v>
      </c>
      <c r="T56" s="148">
        <f t="shared" si="12"/>
        <v>0</v>
      </c>
      <c r="U56" s="148">
        <f t="shared" si="12"/>
        <v>0</v>
      </c>
      <c r="V56" s="148">
        <f t="shared" si="12"/>
        <v>0</v>
      </c>
      <c r="W56" s="148">
        <f t="shared" si="12"/>
        <v>0</v>
      </c>
      <c r="X56" s="148">
        <f t="shared" si="12"/>
        <v>0</v>
      </c>
      <c r="Y56" s="148">
        <f t="shared" si="12"/>
        <v>0</v>
      </c>
      <c r="Z56" s="148">
        <f t="shared" si="12"/>
        <v>0</v>
      </c>
      <c r="AA56" s="148">
        <f t="shared" si="12"/>
        <v>0</v>
      </c>
      <c r="AB56" s="148">
        <f t="shared" si="12"/>
        <v>0</v>
      </c>
      <c r="AC56" s="148">
        <f t="shared" si="12"/>
        <v>0</v>
      </c>
      <c r="AD56" s="148">
        <f t="shared" si="12"/>
        <v>0</v>
      </c>
      <c r="AE56" s="148">
        <f t="shared" si="12"/>
        <v>0</v>
      </c>
      <c r="AF56" s="148">
        <f t="shared" si="12"/>
        <v>0</v>
      </c>
      <c r="AG56" s="148">
        <f t="shared" si="12"/>
        <v>0</v>
      </c>
      <c r="AH56" s="148">
        <f t="shared" si="12"/>
        <v>0</v>
      </c>
      <c r="AI56" s="148">
        <f t="shared" si="12"/>
        <v>0</v>
      </c>
      <c r="AJ56" s="148">
        <f t="shared" si="12"/>
        <v>53543048</v>
      </c>
      <c r="AK56" s="148">
        <f t="shared" si="12"/>
        <v>53543048</v>
      </c>
      <c r="AL56" s="148">
        <f t="shared" si="12"/>
        <v>0</v>
      </c>
      <c r="AM56" s="148">
        <f t="shared" si="12"/>
        <v>0</v>
      </c>
      <c r="AN56" s="148">
        <f t="shared" si="12"/>
        <v>0</v>
      </c>
      <c r="AO56" s="149">
        <f t="shared" si="12"/>
        <v>0</v>
      </c>
    </row>
    <row r="57" spans="1:41" x14ac:dyDescent="0.25">
      <c r="A57" s="167" t="s">
        <v>83</v>
      </c>
      <c r="B57" s="156" t="s">
        <v>84</v>
      </c>
      <c r="C57" s="157">
        <f>SUM(D57+Y57+AE57+AJ57)</f>
        <v>12980000</v>
      </c>
      <c r="D57" s="157">
        <f>SUM(E57:X57)</f>
        <v>9735000</v>
      </c>
      <c r="E57" s="157">
        <v>0</v>
      </c>
      <c r="F57" s="157">
        <v>0</v>
      </c>
      <c r="G57" s="157">
        <v>0</v>
      </c>
      <c r="H57" s="157">
        <v>0</v>
      </c>
      <c r="I57" s="157">
        <v>0</v>
      </c>
      <c r="J57" s="157">
        <v>0</v>
      </c>
      <c r="K57" s="157">
        <v>0</v>
      </c>
      <c r="L57" s="157">
        <v>0</v>
      </c>
      <c r="M57" s="157">
        <v>0</v>
      </c>
      <c r="N57" s="157">
        <v>0</v>
      </c>
      <c r="O57" s="157">
        <f>12980000-[10]Hoja2!$M$12</f>
        <v>9735000</v>
      </c>
      <c r="P57" s="157">
        <v>0</v>
      </c>
      <c r="Q57" s="157">
        <v>0</v>
      </c>
      <c r="R57" s="157">
        <v>0</v>
      </c>
      <c r="S57" s="157">
        <v>0</v>
      </c>
      <c r="T57" s="157">
        <v>0</v>
      </c>
      <c r="U57" s="157">
        <v>0</v>
      </c>
      <c r="V57" s="157">
        <v>0</v>
      </c>
      <c r="W57" s="157">
        <v>0</v>
      </c>
      <c r="X57" s="157">
        <v>0</v>
      </c>
      <c r="Y57" s="157">
        <f>SUM(Z57:AD57)</f>
        <v>0</v>
      </c>
      <c r="Z57" s="157">
        <v>0</v>
      </c>
      <c r="AA57" s="157">
        <v>0</v>
      </c>
      <c r="AB57" s="157">
        <v>0</v>
      </c>
      <c r="AC57" s="157">
        <v>0</v>
      </c>
      <c r="AD57" s="157">
        <v>0</v>
      </c>
      <c r="AE57" s="157">
        <f>SUM(AF57:AI57)</f>
        <v>0</v>
      </c>
      <c r="AF57" s="157">
        <v>0</v>
      </c>
      <c r="AG57" s="157">
        <v>0</v>
      </c>
      <c r="AH57" s="157">
        <v>0</v>
      </c>
      <c r="AI57" s="157">
        <v>0</v>
      </c>
      <c r="AJ57" s="157">
        <f>SUM(AK57:AL57)</f>
        <v>3245000</v>
      </c>
      <c r="AK57" s="157">
        <f>+[10]Hoja2!$M$12</f>
        <v>3245000</v>
      </c>
      <c r="AL57" s="157">
        <f>SUM(AM57:AO57)</f>
        <v>0</v>
      </c>
      <c r="AM57" s="157">
        <v>0</v>
      </c>
      <c r="AN57" s="157">
        <v>0</v>
      </c>
      <c r="AO57" s="158">
        <v>0</v>
      </c>
    </row>
    <row r="58" spans="1:41" x14ac:dyDescent="0.25">
      <c r="A58" s="167" t="s">
        <v>85</v>
      </c>
      <c r="B58" s="156" t="s">
        <v>86</v>
      </c>
      <c r="C58" s="157">
        <f>SUM(D58+Y58+AE58+AJ58)</f>
        <v>36000000</v>
      </c>
      <c r="D58" s="157">
        <f>SUM(E58:X58)</f>
        <v>27000000</v>
      </c>
      <c r="E58" s="157">
        <v>0</v>
      </c>
      <c r="F58" s="157">
        <v>0</v>
      </c>
      <c r="G58" s="157">
        <v>0</v>
      </c>
      <c r="H58" s="157">
        <v>0</v>
      </c>
      <c r="I58" s="157">
        <v>0</v>
      </c>
      <c r="J58" s="157">
        <v>0</v>
      </c>
      <c r="K58" s="157">
        <v>0</v>
      </c>
      <c r="L58" s="157">
        <v>0</v>
      </c>
      <c r="M58" s="157">
        <v>0</v>
      </c>
      <c r="N58" s="157">
        <v>0</v>
      </c>
      <c r="O58" s="157">
        <f>36000000-[10]Hoja2!$M$13</f>
        <v>27000000</v>
      </c>
      <c r="P58" s="157">
        <v>0</v>
      </c>
      <c r="Q58" s="157">
        <v>0</v>
      </c>
      <c r="R58" s="157">
        <v>0</v>
      </c>
      <c r="S58" s="157">
        <v>0</v>
      </c>
      <c r="T58" s="157">
        <v>0</v>
      </c>
      <c r="U58" s="157">
        <v>0</v>
      </c>
      <c r="V58" s="157">
        <v>0</v>
      </c>
      <c r="W58" s="157">
        <v>0</v>
      </c>
      <c r="X58" s="157">
        <v>0</v>
      </c>
      <c r="Y58" s="157">
        <f>SUM(Z58:AD58)</f>
        <v>0</v>
      </c>
      <c r="Z58" s="157">
        <v>0</v>
      </c>
      <c r="AA58" s="157">
        <v>0</v>
      </c>
      <c r="AB58" s="157">
        <v>0</v>
      </c>
      <c r="AC58" s="157">
        <v>0</v>
      </c>
      <c r="AD58" s="157">
        <v>0</v>
      </c>
      <c r="AE58" s="157">
        <f>SUM(AF58:AI58)</f>
        <v>0</v>
      </c>
      <c r="AF58" s="157">
        <v>0</v>
      </c>
      <c r="AG58" s="157">
        <v>0</v>
      </c>
      <c r="AH58" s="157">
        <v>0</v>
      </c>
      <c r="AI58" s="157">
        <v>0</v>
      </c>
      <c r="AJ58" s="157">
        <f>SUM(AK58:AL58)</f>
        <v>9000000</v>
      </c>
      <c r="AK58" s="157">
        <f>+[10]Hoja2!$M$13</f>
        <v>9000000</v>
      </c>
      <c r="AL58" s="157">
        <f>SUM(AM58:AO58)</f>
        <v>0</v>
      </c>
      <c r="AM58" s="157">
        <v>0</v>
      </c>
      <c r="AN58" s="157">
        <v>0</v>
      </c>
      <c r="AO58" s="158">
        <v>0</v>
      </c>
    </row>
    <row r="59" spans="1:41" x14ac:dyDescent="0.25">
      <c r="A59" s="167" t="s">
        <v>87</v>
      </c>
      <c r="B59" s="156" t="s">
        <v>88</v>
      </c>
      <c r="C59" s="157">
        <f>SUM(D59+Y59+AE59+AJ59)</f>
        <v>421350</v>
      </c>
      <c r="D59" s="157">
        <f>SUM(E59:X59)</f>
        <v>351125</v>
      </c>
      <c r="E59" s="157">
        <v>0</v>
      </c>
      <c r="F59" s="157">
        <v>0</v>
      </c>
      <c r="G59" s="157">
        <v>0</v>
      </c>
      <c r="H59" s="157">
        <v>0</v>
      </c>
      <c r="I59" s="157">
        <v>0</v>
      </c>
      <c r="J59" s="157">
        <v>0</v>
      </c>
      <c r="K59" s="157">
        <v>0</v>
      </c>
      <c r="L59" s="157">
        <v>0</v>
      </c>
      <c r="M59" s="157">
        <v>0</v>
      </c>
      <c r="N59" s="157">
        <v>0</v>
      </c>
      <c r="O59" s="157">
        <f>280900--[10]Hoja2!$M$14</f>
        <v>351125</v>
      </c>
      <c r="P59" s="157">
        <v>0</v>
      </c>
      <c r="Q59" s="157">
        <v>0</v>
      </c>
      <c r="R59" s="157">
        <v>0</v>
      </c>
      <c r="S59" s="157">
        <v>0</v>
      </c>
      <c r="T59" s="157">
        <v>0</v>
      </c>
      <c r="U59" s="157">
        <v>0</v>
      </c>
      <c r="V59" s="157">
        <v>0</v>
      </c>
      <c r="W59" s="157">
        <v>0</v>
      </c>
      <c r="X59" s="157">
        <v>0</v>
      </c>
      <c r="Y59" s="157">
        <f>SUM(Z59:AD59)</f>
        <v>0</v>
      </c>
      <c r="Z59" s="157">
        <v>0</v>
      </c>
      <c r="AA59" s="157">
        <v>0</v>
      </c>
      <c r="AB59" s="157">
        <v>0</v>
      </c>
      <c r="AC59" s="157">
        <v>0</v>
      </c>
      <c r="AD59" s="157">
        <v>0</v>
      </c>
      <c r="AE59" s="157">
        <f>SUM(AF59:AI59)</f>
        <v>0</v>
      </c>
      <c r="AF59" s="157">
        <v>0</v>
      </c>
      <c r="AG59" s="157">
        <v>0</v>
      </c>
      <c r="AH59" s="157">
        <v>0</v>
      </c>
      <c r="AI59" s="157">
        <v>0</v>
      </c>
      <c r="AJ59" s="157">
        <f>SUM(AK59:AL59)</f>
        <v>70225</v>
      </c>
      <c r="AK59" s="157">
        <f>+[10]Hoja2!$M$14</f>
        <v>70225</v>
      </c>
      <c r="AL59" s="157">
        <f>SUM(AM59:AO59)</f>
        <v>0</v>
      </c>
      <c r="AM59" s="157">
        <v>0</v>
      </c>
      <c r="AN59" s="157">
        <v>0</v>
      </c>
      <c r="AO59" s="158">
        <v>0</v>
      </c>
    </row>
    <row r="60" spans="1:41" x14ac:dyDescent="0.25">
      <c r="A60" s="167" t="s">
        <v>89</v>
      </c>
      <c r="B60" s="156" t="s">
        <v>90</v>
      </c>
      <c r="C60" s="157">
        <f>SUM(D60+Y60+AE60+AJ60)</f>
        <v>58487292</v>
      </c>
      <c r="D60" s="157">
        <f>SUM(E60:X60)</f>
        <v>29759469</v>
      </c>
      <c r="E60" s="157">
        <v>0</v>
      </c>
      <c r="F60" s="157">
        <v>0</v>
      </c>
      <c r="G60" s="157">
        <v>0</v>
      </c>
      <c r="H60" s="157">
        <v>0</v>
      </c>
      <c r="I60" s="157">
        <f>18911292-[10]Hoja2!$M$16</f>
        <v>14183469</v>
      </c>
      <c r="J60" s="157">
        <v>0</v>
      </c>
      <c r="K60" s="157">
        <v>0</v>
      </c>
      <c r="L60" s="157">
        <v>0</v>
      </c>
      <c r="M60" s="157">
        <v>0</v>
      </c>
      <c r="N60" s="157">
        <v>0</v>
      </c>
      <c r="O60" s="157">
        <f>39576000-[10]Hoja2!$M$15</f>
        <v>15576000</v>
      </c>
      <c r="P60" s="157">
        <v>0</v>
      </c>
      <c r="Q60" s="157">
        <v>0</v>
      </c>
      <c r="R60" s="157">
        <v>0</v>
      </c>
      <c r="S60" s="157">
        <v>0</v>
      </c>
      <c r="T60" s="157">
        <v>0</v>
      </c>
      <c r="U60" s="157">
        <v>0</v>
      </c>
      <c r="V60" s="157">
        <v>0</v>
      </c>
      <c r="W60" s="157">
        <v>0</v>
      </c>
      <c r="X60" s="157">
        <v>0</v>
      </c>
      <c r="Y60" s="157">
        <f>SUM(Z60:AD60)</f>
        <v>0</v>
      </c>
      <c r="Z60" s="157">
        <v>0</v>
      </c>
      <c r="AA60" s="157">
        <v>0</v>
      </c>
      <c r="AB60" s="157">
        <v>0</v>
      </c>
      <c r="AC60" s="157">
        <v>0</v>
      </c>
      <c r="AD60" s="157">
        <v>0</v>
      </c>
      <c r="AE60" s="157">
        <f>SUM(AF60:AI60)</f>
        <v>0</v>
      </c>
      <c r="AF60" s="157">
        <v>0</v>
      </c>
      <c r="AG60" s="157">
        <v>0</v>
      </c>
      <c r="AH60" s="157">
        <v>0</v>
      </c>
      <c r="AI60" s="157">
        <v>0</v>
      </c>
      <c r="AJ60" s="157">
        <f>SUM(AK60:AL60)</f>
        <v>28727823</v>
      </c>
      <c r="AK60" s="157">
        <f>+[10]Hoja2!$M$15+[10]Hoja2!$M$16</f>
        <v>28727823</v>
      </c>
      <c r="AL60" s="157">
        <f>SUM(AM60:AO60)</f>
        <v>0</v>
      </c>
      <c r="AM60" s="157">
        <v>0</v>
      </c>
      <c r="AN60" s="157">
        <v>0</v>
      </c>
      <c r="AO60" s="158">
        <v>0</v>
      </c>
    </row>
    <row r="61" spans="1:41" x14ac:dyDescent="0.25">
      <c r="A61" s="167" t="s">
        <v>91</v>
      </c>
      <c r="B61" s="156" t="s">
        <v>92</v>
      </c>
      <c r="C61" s="157">
        <f>SUM(D61+Y61+AE61+AJ61)</f>
        <v>50000000</v>
      </c>
      <c r="D61" s="157">
        <f>SUM(E61:X61)</f>
        <v>37500000</v>
      </c>
      <c r="E61" s="157">
        <v>0</v>
      </c>
      <c r="F61" s="157">
        <v>0</v>
      </c>
      <c r="G61" s="157">
        <v>0</v>
      </c>
      <c r="H61" s="157">
        <v>0</v>
      </c>
      <c r="I61" s="157">
        <v>0</v>
      </c>
      <c r="J61" s="157">
        <v>0</v>
      </c>
      <c r="K61" s="157">
        <v>0</v>
      </c>
      <c r="L61" s="157">
        <v>0</v>
      </c>
      <c r="M61" s="157">
        <v>0</v>
      </c>
      <c r="N61" s="157">
        <v>0</v>
      </c>
      <c r="O61" s="157">
        <f>50000000-[10]Hoja2!$M$17</f>
        <v>37500000</v>
      </c>
      <c r="P61" s="157">
        <v>0</v>
      </c>
      <c r="Q61" s="157">
        <v>0</v>
      </c>
      <c r="R61" s="157">
        <v>0</v>
      </c>
      <c r="S61" s="157">
        <v>0</v>
      </c>
      <c r="T61" s="157">
        <v>0</v>
      </c>
      <c r="U61" s="157">
        <v>0</v>
      </c>
      <c r="V61" s="157">
        <v>0</v>
      </c>
      <c r="W61" s="157">
        <v>0</v>
      </c>
      <c r="X61" s="157">
        <v>0</v>
      </c>
      <c r="Y61" s="157">
        <f>SUM(Z61:AD61)</f>
        <v>0</v>
      </c>
      <c r="Z61" s="157">
        <v>0</v>
      </c>
      <c r="AA61" s="157">
        <v>0</v>
      </c>
      <c r="AB61" s="157">
        <v>0</v>
      </c>
      <c r="AC61" s="157">
        <v>0</v>
      </c>
      <c r="AD61" s="157">
        <v>0</v>
      </c>
      <c r="AE61" s="157">
        <f>SUM(AF61:AI61)</f>
        <v>0</v>
      </c>
      <c r="AF61" s="157">
        <v>0</v>
      </c>
      <c r="AG61" s="157">
        <v>0</v>
      </c>
      <c r="AH61" s="157">
        <v>0</v>
      </c>
      <c r="AI61" s="157">
        <v>0</v>
      </c>
      <c r="AJ61" s="157">
        <f>SUM(AK61:AL61)</f>
        <v>12500000</v>
      </c>
      <c r="AK61" s="157">
        <f>+[10]Hoja2!$M$17</f>
        <v>12500000</v>
      </c>
      <c r="AL61" s="157">
        <f>SUM(AM61:AO61)</f>
        <v>0</v>
      </c>
      <c r="AM61" s="157">
        <v>0</v>
      </c>
      <c r="AN61" s="157">
        <v>0</v>
      </c>
      <c r="AO61" s="158">
        <v>0</v>
      </c>
    </row>
    <row r="62" spans="1:41" x14ac:dyDescent="0.25">
      <c r="A62" s="160"/>
      <c r="B62" s="161"/>
      <c r="C62" s="157"/>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c r="AN62" s="157"/>
      <c r="AO62" s="158"/>
    </row>
    <row r="63" spans="1:41" x14ac:dyDescent="0.25">
      <c r="A63" s="176" t="s">
        <v>93</v>
      </c>
      <c r="B63" s="162" t="s">
        <v>94</v>
      </c>
      <c r="C63" s="148">
        <f>SUM(C64+C65+C66+C67+C68+C71)</f>
        <v>2830154072</v>
      </c>
      <c r="D63" s="148">
        <f t="shared" ref="D63:AO63" si="13">SUM(D64+D65+D66+D67+D68+D71)</f>
        <v>130863896</v>
      </c>
      <c r="E63" s="148">
        <f t="shared" si="13"/>
        <v>0</v>
      </c>
      <c r="F63" s="148">
        <f t="shared" si="13"/>
        <v>305000</v>
      </c>
      <c r="G63" s="148">
        <f t="shared" si="13"/>
        <v>0</v>
      </c>
      <c r="H63" s="148">
        <f t="shared" si="13"/>
        <v>50000</v>
      </c>
      <c r="I63" s="148">
        <f t="shared" si="13"/>
        <v>75220696</v>
      </c>
      <c r="J63" s="148">
        <f t="shared" si="13"/>
        <v>27000</v>
      </c>
      <c r="K63" s="148">
        <f t="shared" si="13"/>
        <v>50000</v>
      </c>
      <c r="L63" s="148">
        <f t="shared" si="13"/>
        <v>54000</v>
      </c>
      <c r="M63" s="148">
        <f t="shared" si="13"/>
        <v>150000</v>
      </c>
      <c r="N63" s="148">
        <f t="shared" si="13"/>
        <v>126000</v>
      </c>
      <c r="O63" s="148">
        <f t="shared" si="13"/>
        <v>2050000</v>
      </c>
      <c r="P63" s="148">
        <f t="shared" si="13"/>
        <v>0</v>
      </c>
      <c r="Q63" s="148">
        <f t="shared" si="13"/>
        <v>0</v>
      </c>
      <c r="R63" s="148">
        <f t="shared" si="13"/>
        <v>650000</v>
      </c>
      <c r="S63" s="148">
        <f t="shared" si="13"/>
        <v>400000</v>
      </c>
      <c r="T63" s="148">
        <f t="shared" si="13"/>
        <v>10600000</v>
      </c>
      <c r="U63" s="148">
        <f t="shared" si="13"/>
        <v>0</v>
      </c>
      <c r="V63" s="148">
        <f t="shared" si="13"/>
        <v>5381200</v>
      </c>
      <c r="W63" s="148">
        <f t="shared" si="13"/>
        <v>0</v>
      </c>
      <c r="X63" s="148">
        <f t="shared" si="13"/>
        <v>35800000</v>
      </c>
      <c r="Y63" s="148">
        <f t="shared" si="13"/>
        <v>21851000</v>
      </c>
      <c r="Z63" s="148">
        <f t="shared" si="13"/>
        <v>1051000</v>
      </c>
      <c r="AA63" s="148">
        <f t="shared" si="13"/>
        <v>350000</v>
      </c>
      <c r="AB63" s="148">
        <f t="shared" si="13"/>
        <v>11200000</v>
      </c>
      <c r="AC63" s="148">
        <f t="shared" si="13"/>
        <v>9250000</v>
      </c>
      <c r="AD63" s="148">
        <f t="shared" si="13"/>
        <v>0</v>
      </c>
      <c r="AE63" s="148">
        <f t="shared" si="13"/>
        <v>385000</v>
      </c>
      <c r="AF63" s="148">
        <f t="shared" si="13"/>
        <v>100000</v>
      </c>
      <c r="AG63" s="148">
        <f t="shared" si="13"/>
        <v>65000</v>
      </c>
      <c r="AH63" s="148">
        <f t="shared" si="13"/>
        <v>0</v>
      </c>
      <c r="AI63" s="148">
        <f t="shared" si="13"/>
        <v>220000</v>
      </c>
      <c r="AJ63" s="148">
        <f t="shared" si="13"/>
        <v>2677054176</v>
      </c>
      <c r="AK63" s="148">
        <f t="shared" si="13"/>
        <v>2676679176</v>
      </c>
      <c r="AL63" s="148">
        <f t="shared" si="13"/>
        <v>375000</v>
      </c>
      <c r="AM63" s="148">
        <f t="shared" si="13"/>
        <v>100000</v>
      </c>
      <c r="AN63" s="148">
        <f t="shared" si="13"/>
        <v>275000</v>
      </c>
      <c r="AO63" s="149">
        <f t="shared" si="13"/>
        <v>0</v>
      </c>
    </row>
    <row r="64" spans="1:41" x14ac:dyDescent="0.25">
      <c r="A64" s="177" t="s">
        <v>95</v>
      </c>
      <c r="B64" s="156" t="s">
        <v>96</v>
      </c>
      <c r="C64" s="157">
        <f t="shared" ref="C64:C71" si="14">SUM(D64+Y64+AE64+AJ64)</f>
        <v>17650000</v>
      </c>
      <c r="D64" s="157">
        <f t="shared" ref="D64:D71" si="15">SUM(E64:X64)</f>
        <v>3800000</v>
      </c>
      <c r="E64" s="157">
        <v>0</v>
      </c>
      <c r="F64" s="157">
        <v>250000</v>
      </c>
      <c r="G64" s="157">
        <v>0</v>
      </c>
      <c r="H64" s="157">
        <v>0</v>
      </c>
      <c r="I64" s="157">
        <v>0</v>
      </c>
      <c r="J64" s="157">
        <v>0</v>
      </c>
      <c r="K64" s="157">
        <v>0</v>
      </c>
      <c r="L64" s="157">
        <v>0</v>
      </c>
      <c r="M64" s="157">
        <v>150000</v>
      </c>
      <c r="N64" s="157">
        <v>0</v>
      </c>
      <c r="O64" s="157">
        <v>500000</v>
      </c>
      <c r="P64" s="157">
        <v>0</v>
      </c>
      <c r="Q64" s="157">
        <v>0</v>
      </c>
      <c r="R64" s="157">
        <v>300000</v>
      </c>
      <c r="S64" s="157">
        <v>0</v>
      </c>
      <c r="T64" s="157">
        <v>0</v>
      </c>
      <c r="U64" s="157">
        <v>0</v>
      </c>
      <c r="V64" s="157">
        <v>2000000</v>
      </c>
      <c r="W64" s="157">
        <v>0</v>
      </c>
      <c r="X64" s="157">
        <v>600000</v>
      </c>
      <c r="Y64" s="157">
        <f t="shared" ref="Y64:Y71" si="16">SUM(Z64:AD64)</f>
        <v>10750000</v>
      </c>
      <c r="Z64" s="157">
        <v>500000</v>
      </c>
      <c r="AA64" s="157">
        <v>100000</v>
      </c>
      <c r="AB64" s="157">
        <v>10000000</v>
      </c>
      <c r="AC64" s="157">
        <v>150000</v>
      </c>
      <c r="AD64" s="157">
        <v>0</v>
      </c>
      <c r="AE64" s="157">
        <f t="shared" ref="AE64:AE71" si="17">SUM(AF64:AI64)</f>
        <v>0</v>
      </c>
      <c r="AF64" s="157">
        <v>0</v>
      </c>
      <c r="AG64" s="157">
        <v>0</v>
      </c>
      <c r="AH64" s="157">
        <v>0</v>
      </c>
      <c r="AI64" s="157">
        <v>0</v>
      </c>
      <c r="AJ64" s="157">
        <f t="shared" ref="AJ64:AJ71" si="18">SUM(AK64:AL64)</f>
        <v>3100000</v>
      </c>
      <c r="AK64" s="157">
        <v>3000000</v>
      </c>
      <c r="AL64" s="157">
        <f t="shared" ref="AL64:AL71" si="19">SUM(AM64:AO64)</f>
        <v>100000</v>
      </c>
      <c r="AM64" s="157">
        <v>100000</v>
      </c>
      <c r="AN64" s="157">
        <v>0</v>
      </c>
      <c r="AO64" s="158">
        <v>0</v>
      </c>
    </row>
    <row r="65" spans="1:41" x14ac:dyDescent="0.25">
      <c r="A65" s="177" t="s">
        <v>97</v>
      </c>
      <c r="B65" s="156" t="s">
        <v>98</v>
      </c>
      <c r="C65" s="157">
        <f t="shared" si="14"/>
        <v>535000000</v>
      </c>
      <c r="D65" s="157">
        <f t="shared" si="15"/>
        <v>35000000</v>
      </c>
      <c r="E65" s="157"/>
      <c r="F65" s="157"/>
      <c r="G65" s="157"/>
      <c r="H65" s="157"/>
      <c r="I65" s="157"/>
      <c r="J65" s="157"/>
      <c r="K65" s="157"/>
      <c r="L65" s="157"/>
      <c r="M65" s="157"/>
      <c r="N65" s="157"/>
      <c r="O65" s="157"/>
      <c r="P65" s="157"/>
      <c r="Q65" s="157"/>
      <c r="R65" s="157"/>
      <c r="S65" s="157"/>
      <c r="T65" s="157"/>
      <c r="U65" s="157"/>
      <c r="V65" s="157"/>
      <c r="W65" s="157"/>
      <c r="X65" s="157">
        <f>20000000+15000000</f>
        <v>35000000</v>
      </c>
      <c r="Y65" s="157">
        <f t="shared" si="16"/>
        <v>0</v>
      </c>
      <c r="Z65" s="157"/>
      <c r="AA65" s="157"/>
      <c r="AB65" s="157"/>
      <c r="AC65" s="157"/>
      <c r="AD65" s="157"/>
      <c r="AE65" s="157">
        <f t="shared" si="17"/>
        <v>0</v>
      </c>
      <c r="AF65" s="157"/>
      <c r="AG65" s="157"/>
      <c r="AH65" s="157"/>
      <c r="AI65" s="157"/>
      <c r="AJ65" s="157">
        <f t="shared" si="18"/>
        <v>500000000</v>
      </c>
      <c r="AK65" s="157">
        <v>500000000</v>
      </c>
      <c r="AL65" s="157"/>
      <c r="AM65" s="157"/>
      <c r="AN65" s="157"/>
      <c r="AO65" s="158"/>
    </row>
    <row r="66" spans="1:41" x14ac:dyDescent="0.25">
      <c r="A66" s="177" t="s">
        <v>99</v>
      </c>
      <c r="B66" s="156" t="s">
        <v>100</v>
      </c>
      <c r="C66" s="157">
        <f t="shared" si="14"/>
        <v>6530000</v>
      </c>
      <c r="D66" s="157">
        <f t="shared" si="15"/>
        <v>895000</v>
      </c>
      <c r="E66" s="157">
        <v>0</v>
      </c>
      <c r="F66" s="157">
        <v>0</v>
      </c>
      <c r="G66" s="157">
        <v>0</v>
      </c>
      <c r="H66" s="157">
        <v>50000</v>
      </c>
      <c r="I66" s="157">
        <v>0</v>
      </c>
      <c r="J66" s="157">
        <v>0</v>
      </c>
      <c r="K66" s="157">
        <v>50000</v>
      </c>
      <c r="L66" s="157">
        <v>0</v>
      </c>
      <c r="M66" s="157">
        <v>0</v>
      </c>
      <c r="N66" s="157">
        <v>45000</v>
      </c>
      <c r="O66" s="157">
        <v>250000</v>
      </c>
      <c r="P66" s="157">
        <v>0</v>
      </c>
      <c r="Q66" s="157">
        <v>0</v>
      </c>
      <c r="R66" s="157">
        <v>200000</v>
      </c>
      <c r="S66" s="157">
        <v>0</v>
      </c>
      <c r="T66" s="157">
        <v>100000</v>
      </c>
      <c r="U66" s="157">
        <v>0</v>
      </c>
      <c r="V66" s="157">
        <v>0</v>
      </c>
      <c r="W66" s="157">
        <v>0</v>
      </c>
      <c r="X66" s="157">
        <v>200000</v>
      </c>
      <c r="Y66" s="157">
        <f t="shared" si="16"/>
        <v>1700000</v>
      </c>
      <c r="Z66" s="157">
        <v>500000</v>
      </c>
      <c r="AA66" s="157">
        <v>100000</v>
      </c>
      <c r="AB66" s="157">
        <v>1000000</v>
      </c>
      <c r="AC66" s="157">
        <v>100000</v>
      </c>
      <c r="AD66" s="157">
        <v>0</v>
      </c>
      <c r="AE66" s="157">
        <f t="shared" si="17"/>
        <v>235000</v>
      </c>
      <c r="AF66" s="157">
        <v>100000</v>
      </c>
      <c r="AG66" s="157">
        <v>15000</v>
      </c>
      <c r="AH66" s="157">
        <v>0</v>
      </c>
      <c r="AI66" s="157">
        <v>120000</v>
      </c>
      <c r="AJ66" s="157">
        <f t="shared" si="18"/>
        <v>3700000</v>
      </c>
      <c r="AK66" s="157">
        <v>3500000</v>
      </c>
      <c r="AL66" s="157">
        <f t="shared" si="19"/>
        <v>200000</v>
      </c>
      <c r="AM66" s="157">
        <v>0</v>
      </c>
      <c r="AN66" s="157">
        <v>200000</v>
      </c>
      <c r="AO66" s="158">
        <v>0</v>
      </c>
    </row>
    <row r="67" spans="1:41" x14ac:dyDescent="0.25">
      <c r="A67" s="177" t="s">
        <v>101</v>
      </c>
      <c r="B67" s="156" t="s">
        <v>102</v>
      </c>
      <c r="C67" s="157">
        <f t="shared" si="14"/>
        <v>500000</v>
      </c>
      <c r="D67" s="157">
        <f t="shared" si="15"/>
        <v>500000</v>
      </c>
      <c r="E67" s="157">
        <v>0</v>
      </c>
      <c r="F67" s="157">
        <v>0</v>
      </c>
      <c r="G67" s="157">
        <v>0</v>
      </c>
      <c r="H67" s="157">
        <v>0</v>
      </c>
      <c r="I67" s="157">
        <v>0</v>
      </c>
      <c r="J67" s="157">
        <v>0</v>
      </c>
      <c r="K67" s="157">
        <v>0</v>
      </c>
      <c r="L67" s="157">
        <v>0</v>
      </c>
      <c r="M67" s="157">
        <v>0</v>
      </c>
      <c r="N67" s="157">
        <v>0</v>
      </c>
      <c r="O67" s="157">
        <v>500000</v>
      </c>
      <c r="P67" s="157">
        <v>0</v>
      </c>
      <c r="Q67" s="157">
        <v>0</v>
      </c>
      <c r="R67" s="157">
        <v>0</v>
      </c>
      <c r="S67" s="157">
        <v>0</v>
      </c>
      <c r="T67" s="157">
        <v>0</v>
      </c>
      <c r="U67" s="157">
        <v>0</v>
      </c>
      <c r="V67" s="157">
        <v>0</v>
      </c>
      <c r="W67" s="157">
        <v>0</v>
      </c>
      <c r="X67" s="157">
        <v>0</v>
      </c>
      <c r="Y67" s="157">
        <f t="shared" si="16"/>
        <v>0</v>
      </c>
      <c r="Z67" s="157">
        <v>0</v>
      </c>
      <c r="AA67" s="157">
        <v>0</v>
      </c>
      <c r="AB67" s="157">
        <v>0</v>
      </c>
      <c r="AC67" s="157">
        <v>0</v>
      </c>
      <c r="AD67" s="157">
        <v>0</v>
      </c>
      <c r="AE67" s="157">
        <f t="shared" si="17"/>
        <v>0</v>
      </c>
      <c r="AF67" s="157">
        <v>0</v>
      </c>
      <c r="AG67" s="157">
        <v>0</v>
      </c>
      <c r="AH67" s="157">
        <v>0</v>
      </c>
      <c r="AI67" s="157">
        <v>0</v>
      </c>
      <c r="AJ67" s="157">
        <f t="shared" si="18"/>
        <v>0</v>
      </c>
      <c r="AK67" s="157">
        <v>0</v>
      </c>
      <c r="AL67" s="157">
        <f t="shared" si="19"/>
        <v>0</v>
      </c>
      <c r="AM67" s="157">
        <v>0</v>
      </c>
      <c r="AN67" s="157">
        <v>0</v>
      </c>
      <c r="AO67" s="158">
        <v>0</v>
      </c>
    </row>
    <row r="68" spans="1:41" ht="26.4" x14ac:dyDescent="0.25">
      <c r="A68" s="170" t="s">
        <v>103</v>
      </c>
      <c r="B68" s="162" t="s">
        <v>104</v>
      </c>
      <c r="C68" s="148">
        <f>SUM(C69:C70)</f>
        <v>2158886811</v>
      </c>
      <c r="D68" s="148">
        <f t="shared" ref="D68:AO68" si="20">SUM(D69:D70)</f>
        <v>13781200</v>
      </c>
      <c r="E68" s="148">
        <f t="shared" si="20"/>
        <v>0</v>
      </c>
      <c r="F68" s="148">
        <f t="shared" si="20"/>
        <v>0</v>
      </c>
      <c r="G68" s="148">
        <f t="shared" si="20"/>
        <v>0</v>
      </c>
      <c r="H68" s="148">
        <f t="shared" si="20"/>
        <v>0</v>
      </c>
      <c r="I68" s="148">
        <f t="shared" si="20"/>
        <v>0</v>
      </c>
      <c r="J68" s="148">
        <f t="shared" si="20"/>
        <v>0</v>
      </c>
      <c r="K68" s="148">
        <f t="shared" si="20"/>
        <v>0</v>
      </c>
      <c r="L68" s="148">
        <f t="shared" si="20"/>
        <v>0</v>
      </c>
      <c r="M68" s="148">
        <f t="shared" si="20"/>
        <v>0</v>
      </c>
      <c r="N68" s="148">
        <f t="shared" si="20"/>
        <v>0</v>
      </c>
      <c r="O68" s="148">
        <f t="shared" si="20"/>
        <v>500000</v>
      </c>
      <c r="P68" s="148">
        <f t="shared" si="20"/>
        <v>0</v>
      </c>
      <c r="Q68" s="148">
        <f t="shared" si="20"/>
        <v>0</v>
      </c>
      <c r="R68" s="148">
        <f t="shared" si="20"/>
        <v>0</v>
      </c>
      <c r="S68" s="148">
        <f t="shared" si="20"/>
        <v>400000</v>
      </c>
      <c r="T68" s="148">
        <f t="shared" si="20"/>
        <v>10000000</v>
      </c>
      <c r="U68" s="148">
        <f t="shared" si="20"/>
        <v>0</v>
      </c>
      <c r="V68" s="148">
        <f t="shared" si="20"/>
        <v>2881200</v>
      </c>
      <c r="W68" s="148">
        <f t="shared" si="20"/>
        <v>0</v>
      </c>
      <c r="X68" s="148">
        <f t="shared" si="20"/>
        <v>0</v>
      </c>
      <c r="Y68" s="148">
        <f t="shared" si="20"/>
        <v>0</v>
      </c>
      <c r="Z68" s="148">
        <f t="shared" si="20"/>
        <v>0</v>
      </c>
      <c r="AA68" s="148">
        <f t="shared" si="20"/>
        <v>0</v>
      </c>
      <c r="AB68" s="148">
        <f t="shared" si="20"/>
        <v>0</v>
      </c>
      <c r="AC68" s="148">
        <f t="shared" si="20"/>
        <v>0</v>
      </c>
      <c r="AD68" s="148">
        <f t="shared" si="20"/>
        <v>0</v>
      </c>
      <c r="AE68" s="148">
        <f t="shared" si="20"/>
        <v>0</v>
      </c>
      <c r="AF68" s="148">
        <f t="shared" si="20"/>
        <v>0</v>
      </c>
      <c r="AG68" s="148">
        <f t="shared" si="20"/>
        <v>0</v>
      </c>
      <c r="AH68" s="148">
        <f t="shared" si="20"/>
        <v>0</v>
      </c>
      <c r="AI68" s="148">
        <f t="shared" si="20"/>
        <v>0</v>
      </c>
      <c r="AJ68" s="148">
        <f t="shared" si="20"/>
        <v>2145105611</v>
      </c>
      <c r="AK68" s="148">
        <f t="shared" si="20"/>
        <v>2145105611</v>
      </c>
      <c r="AL68" s="148">
        <f t="shared" si="20"/>
        <v>0</v>
      </c>
      <c r="AM68" s="148">
        <f t="shared" si="20"/>
        <v>0</v>
      </c>
      <c r="AN68" s="148">
        <f t="shared" si="20"/>
        <v>0</v>
      </c>
      <c r="AO68" s="149">
        <f t="shared" si="20"/>
        <v>0</v>
      </c>
    </row>
    <row r="69" spans="1:41" x14ac:dyDescent="0.25">
      <c r="A69" s="177" t="s">
        <v>105</v>
      </c>
      <c r="B69" s="156" t="s">
        <v>104</v>
      </c>
      <c r="C69" s="157">
        <f t="shared" si="14"/>
        <v>431848616</v>
      </c>
      <c r="D69" s="157">
        <f t="shared" si="15"/>
        <v>13781200</v>
      </c>
      <c r="E69" s="157">
        <v>0</v>
      </c>
      <c r="F69" s="157">
        <v>0</v>
      </c>
      <c r="G69" s="157">
        <v>0</v>
      </c>
      <c r="H69" s="157">
        <v>0</v>
      </c>
      <c r="I69" s="157">
        <v>0</v>
      </c>
      <c r="J69" s="157">
        <v>0</v>
      </c>
      <c r="K69" s="157">
        <v>0</v>
      </c>
      <c r="L69" s="157">
        <v>0</v>
      </c>
      <c r="M69" s="157">
        <v>0</v>
      </c>
      <c r="N69" s="157">
        <v>0</v>
      </c>
      <c r="O69" s="157">
        <v>500000</v>
      </c>
      <c r="P69" s="157">
        <v>0</v>
      </c>
      <c r="Q69" s="157">
        <v>0</v>
      </c>
      <c r="R69" s="157">
        <v>0</v>
      </c>
      <c r="S69" s="157">
        <v>400000</v>
      </c>
      <c r="T69" s="157">
        <v>10000000</v>
      </c>
      <c r="U69" s="157">
        <v>0</v>
      </c>
      <c r="V69" s="157">
        <v>2881200</v>
      </c>
      <c r="W69" s="157">
        <v>0</v>
      </c>
      <c r="X69" s="157">
        <v>0</v>
      </c>
      <c r="Y69" s="157">
        <f t="shared" si="16"/>
        <v>0</v>
      </c>
      <c r="Z69" s="157">
        <v>0</v>
      </c>
      <c r="AA69" s="157">
        <v>0</v>
      </c>
      <c r="AB69" s="157">
        <v>0</v>
      </c>
      <c r="AC69" s="157">
        <v>0</v>
      </c>
      <c r="AD69" s="157">
        <v>0</v>
      </c>
      <c r="AE69" s="157">
        <f t="shared" si="17"/>
        <v>0</v>
      </c>
      <c r="AF69" s="157">
        <v>0</v>
      </c>
      <c r="AG69" s="157">
        <v>0</v>
      </c>
      <c r="AH69" s="157">
        <v>0</v>
      </c>
      <c r="AI69" s="157">
        <v>0</v>
      </c>
      <c r="AJ69" s="157">
        <f t="shared" si="18"/>
        <v>418067416</v>
      </c>
      <c r="AK69" s="157">
        <v>418067416</v>
      </c>
      <c r="AL69" s="157">
        <f t="shared" si="19"/>
        <v>0</v>
      </c>
      <c r="AM69" s="157">
        <v>0</v>
      </c>
      <c r="AN69" s="157">
        <v>0</v>
      </c>
      <c r="AO69" s="158">
        <v>0</v>
      </c>
    </row>
    <row r="70" spans="1:41" x14ac:dyDescent="0.25">
      <c r="A70" s="177" t="s">
        <v>106</v>
      </c>
      <c r="B70" s="161" t="s">
        <v>107</v>
      </c>
      <c r="C70" s="157">
        <f t="shared" si="14"/>
        <v>1727038195</v>
      </c>
      <c r="D70" s="157">
        <f t="shared" si="15"/>
        <v>0</v>
      </c>
      <c r="E70" s="157">
        <v>0</v>
      </c>
      <c r="F70" s="157">
        <v>0</v>
      </c>
      <c r="G70" s="157">
        <v>0</v>
      </c>
      <c r="H70" s="157">
        <v>0</v>
      </c>
      <c r="I70" s="157">
        <v>0</v>
      </c>
      <c r="J70" s="157">
        <v>0</v>
      </c>
      <c r="K70" s="157">
        <v>0</v>
      </c>
      <c r="L70" s="157">
        <v>0</v>
      </c>
      <c r="M70" s="157">
        <v>0</v>
      </c>
      <c r="N70" s="157">
        <v>0</v>
      </c>
      <c r="O70" s="157">
        <v>0</v>
      </c>
      <c r="P70" s="157">
        <v>0</v>
      </c>
      <c r="Q70" s="157">
        <v>0</v>
      </c>
      <c r="R70" s="157">
        <v>0</v>
      </c>
      <c r="S70" s="157">
        <v>0</v>
      </c>
      <c r="T70" s="157">
        <v>0</v>
      </c>
      <c r="U70" s="157">
        <v>0</v>
      </c>
      <c r="V70" s="157">
        <v>0</v>
      </c>
      <c r="W70" s="157">
        <v>0</v>
      </c>
      <c r="X70" s="157">
        <v>0</v>
      </c>
      <c r="Y70" s="157">
        <f t="shared" si="16"/>
        <v>0</v>
      </c>
      <c r="Z70" s="157">
        <v>0</v>
      </c>
      <c r="AA70" s="157">
        <v>0</v>
      </c>
      <c r="AB70" s="157">
        <v>0</v>
      </c>
      <c r="AC70" s="157">
        <v>0</v>
      </c>
      <c r="AD70" s="157">
        <v>0</v>
      </c>
      <c r="AE70" s="157">
        <f t="shared" si="17"/>
        <v>0</v>
      </c>
      <c r="AF70" s="157">
        <v>0</v>
      </c>
      <c r="AG70" s="157">
        <v>0</v>
      </c>
      <c r="AH70" s="157">
        <v>0</v>
      </c>
      <c r="AI70" s="157">
        <v>0</v>
      </c>
      <c r="AJ70" s="157">
        <f t="shared" si="18"/>
        <v>1727038195</v>
      </c>
      <c r="AK70" s="157">
        <v>1727038195</v>
      </c>
      <c r="AL70" s="157">
        <f t="shared" si="19"/>
        <v>0</v>
      </c>
      <c r="AM70" s="157">
        <v>0</v>
      </c>
      <c r="AN70" s="157">
        <v>0</v>
      </c>
      <c r="AO70" s="158">
        <v>0</v>
      </c>
    </row>
    <row r="71" spans="1:41" x14ac:dyDescent="0.25">
      <c r="A71" s="177" t="s">
        <v>108</v>
      </c>
      <c r="B71" s="156" t="s">
        <v>109</v>
      </c>
      <c r="C71" s="157">
        <f t="shared" si="14"/>
        <v>111587261</v>
      </c>
      <c r="D71" s="157">
        <f t="shared" si="15"/>
        <v>76887696</v>
      </c>
      <c r="E71" s="157">
        <v>0</v>
      </c>
      <c r="F71" s="157">
        <v>55000</v>
      </c>
      <c r="G71" s="157">
        <v>0</v>
      </c>
      <c r="H71" s="157">
        <v>0</v>
      </c>
      <c r="I71" s="157">
        <f>282294261-182000000-[10]Hoja2!$M$18</f>
        <v>75220696</v>
      </c>
      <c r="J71" s="157">
        <v>27000</v>
      </c>
      <c r="K71" s="157">
        <v>0</v>
      </c>
      <c r="L71" s="157">
        <v>54000</v>
      </c>
      <c r="M71" s="157">
        <v>0</v>
      </c>
      <c r="N71" s="157">
        <v>81000</v>
      </c>
      <c r="O71" s="157">
        <v>300000</v>
      </c>
      <c r="P71" s="157">
        <v>0</v>
      </c>
      <c r="Q71" s="157">
        <v>0</v>
      </c>
      <c r="R71" s="157">
        <v>150000</v>
      </c>
      <c r="S71" s="157">
        <v>0</v>
      </c>
      <c r="T71" s="157">
        <v>500000</v>
      </c>
      <c r="U71" s="157">
        <v>0</v>
      </c>
      <c r="V71" s="157">
        <v>500000</v>
      </c>
      <c r="W71" s="157">
        <v>0</v>
      </c>
      <c r="X71" s="157">
        <v>0</v>
      </c>
      <c r="Y71" s="157">
        <f t="shared" si="16"/>
        <v>9401000</v>
      </c>
      <c r="Z71" s="157">
        <v>51000</v>
      </c>
      <c r="AA71" s="157">
        <v>150000</v>
      </c>
      <c r="AB71" s="157">
        <v>200000</v>
      </c>
      <c r="AC71" s="157">
        <v>9000000</v>
      </c>
      <c r="AD71" s="157">
        <v>0</v>
      </c>
      <c r="AE71" s="157">
        <f t="shared" si="17"/>
        <v>150000</v>
      </c>
      <c r="AF71" s="157">
        <v>0</v>
      </c>
      <c r="AG71" s="157">
        <v>50000</v>
      </c>
      <c r="AH71" s="157">
        <v>0</v>
      </c>
      <c r="AI71" s="157">
        <v>100000</v>
      </c>
      <c r="AJ71" s="157">
        <f t="shared" si="18"/>
        <v>25148565</v>
      </c>
      <c r="AK71" s="157">
        <f>+[10]Hoja2!$M$18</f>
        <v>25073565</v>
      </c>
      <c r="AL71" s="157">
        <f t="shared" si="19"/>
        <v>75000</v>
      </c>
      <c r="AM71" s="157">
        <v>0</v>
      </c>
      <c r="AN71" s="157">
        <v>75000</v>
      </c>
      <c r="AO71" s="158">
        <v>0</v>
      </c>
    </row>
    <row r="72" spans="1:41" x14ac:dyDescent="0.25">
      <c r="A72" s="160"/>
      <c r="B72" s="161"/>
      <c r="C72" s="157"/>
      <c r="D72" s="157"/>
      <c r="E72" s="157"/>
      <c r="F72" s="157"/>
      <c r="G72" s="157"/>
      <c r="H72" s="157"/>
      <c r="I72" s="157"/>
      <c r="J72" s="157"/>
      <c r="K72" s="157"/>
      <c r="L72" s="157"/>
      <c r="M72" s="157"/>
      <c r="N72" s="157"/>
      <c r="O72" s="157"/>
      <c r="P72" s="157"/>
      <c r="Q72" s="157"/>
      <c r="R72" s="157"/>
      <c r="S72" s="157"/>
      <c r="T72" s="157"/>
      <c r="U72" s="157"/>
      <c r="V72" s="157"/>
      <c r="W72" s="157"/>
      <c r="X72" s="157"/>
      <c r="Y72" s="157"/>
      <c r="Z72" s="157"/>
      <c r="AA72" s="157"/>
      <c r="AB72" s="157"/>
      <c r="AC72" s="157"/>
      <c r="AD72" s="157"/>
      <c r="AE72" s="157"/>
      <c r="AF72" s="157"/>
      <c r="AG72" s="157"/>
      <c r="AH72" s="157"/>
      <c r="AI72" s="157"/>
      <c r="AJ72" s="157"/>
      <c r="AK72" s="157"/>
      <c r="AL72" s="157"/>
      <c r="AM72" s="157"/>
      <c r="AN72" s="157"/>
      <c r="AO72" s="158"/>
    </row>
    <row r="73" spans="1:41" x14ac:dyDescent="0.25">
      <c r="A73" s="176" t="s">
        <v>110</v>
      </c>
      <c r="B73" s="162" t="s">
        <v>111</v>
      </c>
      <c r="C73" s="148">
        <f>SUM(C74+C76+C83+C93+C99+C100+C101)</f>
        <v>2082414257</v>
      </c>
      <c r="D73" s="148">
        <f t="shared" ref="D73:AO73" si="21">SUM(D74+D76+D83+D93+D99+D100+D101)</f>
        <v>655853771</v>
      </c>
      <c r="E73" s="148">
        <f t="shared" si="21"/>
        <v>0</v>
      </c>
      <c r="F73" s="148">
        <f t="shared" si="21"/>
        <v>0</v>
      </c>
      <c r="G73" s="148">
        <f t="shared" si="21"/>
        <v>4000000</v>
      </c>
      <c r="H73" s="148">
        <f t="shared" si="21"/>
        <v>5100000</v>
      </c>
      <c r="I73" s="148">
        <f t="shared" si="21"/>
        <v>36318907</v>
      </c>
      <c r="J73" s="148">
        <f t="shared" si="21"/>
        <v>0</v>
      </c>
      <c r="K73" s="148">
        <f t="shared" si="21"/>
        <v>5000000</v>
      </c>
      <c r="L73" s="148">
        <f t="shared" si="21"/>
        <v>0</v>
      </c>
      <c r="M73" s="148">
        <f t="shared" si="21"/>
        <v>0</v>
      </c>
      <c r="N73" s="148">
        <f t="shared" si="21"/>
        <v>18511114.000000007</v>
      </c>
      <c r="O73" s="148">
        <f t="shared" si="21"/>
        <v>379307500</v>
      </c>
      <c r="P73" s="148">
        <f t="shared" si="21"/>
        <v>40000000</v>
      </c>
      <c r="Q73" s="148">
        <f t="shared" si="21"/>
        <v>0</v>
      </c>
      <c r="R73" s="148">
        <f t="shared" si="21"/>
        <v>1000000</v>
      </c>
      <c r="S73" s="148">
        <f t="shared" si="21"/>
        <v>116365000</v>
      </c>
      <c r="T73" s="148">
        <f t="shared" si="21"/>
        <v>2500000</v>
      </c>
      <c r="U73" s="148">
        <f t="shared" si="21"/>
        <v>4001250</v>
      </c>
      <c r="V73" s="148">
        <f t="shared" si="21"/>
        <v>0</v>
      </c>
      <c r="W73" s="148">
        <f t="shared" si="21"/>
        <v>1750000</v>
      </c>
      <c r="X73" s="148">
        <f t="shared" si="21"/>
        <v>42000000</v>
      </c>
      <c r="Y73" s="148">
        <f t="shared" si="21"/>
        <v>645105904</v>
      </c>
      <c r="Z73" s="148">
        <f t="shared" si="21"/>
        <v>500075000</v>
      </c>
      <c r="AA73" s="148">
        <f t="shared" si="21"/>
        <v>30500000</v>
      </c>
      <c r="AB73" s="148">
        <f t="shared" si="21"/>
        <v>114530904</v>
      </c>
      <c r="AC73" s="148">
        <f t="shared" si="21"/>
        <v>0</v>
      </c>
      <c r="AD73" s="148">
        <f t="shared" si="21"/>
        <v>0</v>
      </c>
      <c r="AE73" s="148">
        <f t="shared" si="21"/>
        <v>109410767</v>
      </c>
      <c r="AF73" s="148">
        <f t="shared" si="21"/>
        <v>0</v>
      </c>
      <c r="AG73" s="148">
        <f t="shared" si="21"/>
        <v>46024587</v>
      </c>
      <c r="AH73" s="148">
        <f t="shared" si="21"/>
        <v>23250000</v>
      </c>
      <c r="AI73" s="148">
        <f t="shared" si="21"/>
        <v>40136180</v>
      </c>
      <c r="AJ73" s="148">
        <f t="shared" si="21"/>
        <v>672043815</v>
      </c>
      <c r="AK73" s="148">
        <f t="shared" si="21"/>
        <v>672043815</v>
      </c>
      <c r="AL73" s="148">
        <f t="shared" si="21"/>
        <v>0</v>
      </c>
      <c r="AM73" s="148">
        <f t="shared" si="21"/>
        <v>0</v>
      </c>
      <c r="AN73" s="148">
        <f t="shared" si="21"/>
        <v>0</v>
      </c>
      <c r="AO73" s="149">
        <f t="shared" si="21"/>
        <v>0</v>
      </c>
    </row>
    <row r="74" spans="1:41" x14ac:dyDescent="0.25">
      <c r="A74" s="177" t="s">
        <v>112</v>
      </c>
      <c r="B74" s="161" t="s">
        <v>113</v>
      </c>
      <c r="C74" s="157">
        <f>SUM(D74+Y74+AE74+AJ74)</f>
        <v>200000</v>
      </c>
      <c r="D74" s="157">
        <f>SUM(E74:X74)</f>
        <v>200000</v>
      </c>
      <c r="E74" s="157">
        <v>0</v>
      </c>
      <c r="F74" s="157">
        <v>0</v>
      </c>
      <c r="G74" s="157">
        <v>0</v>
      </c>
      <c r="H74" s="157">
        <v>0</v>
      </c>
      <c r="I74" s="157">
        <v>0</v>
      </c>
      <c r="J74" s="157">
        <v>0</v>
      </c>
      <c r="K74" s="157">
        <v>0</v>
      </c>
      <c r="L74" s="157">
        <v>0</v>
      </c>
      <c r="M74" s="157">
        <v>0</v>
      </c>
      <c r="N74" s="157">
        <v>0</v>
      </c>
      <c r="O74" s="157">
        <v>200000</v>
      </c>
      <c r="P74" s="157">
        <v>0</v>
      </c>
      <c r="Q74" s="157">
        <v>0</v>
      </c>
      <c r="R74" s="157">
        <v>0</v>
      </c>
      <c r="S74" s="157">
        <v>0</v>
      </c>
      <c r="T74" s="157">
        <v>0</v>
      </c>
      <c r="U74" s="157">
        <v>0</v>
      </c>
      <c r="V74" s="157">
        <v>0</v>
      </c>
      <c r="W74" s="157">
        <v>0</v>
      </c>
      <c r="X74" s="157">
        <v>0</v>
      </c>
      <c r="Y74" s="157">
        <f>SUM(Z74:AD74)</f>
        <v>0</v>
      </c>
      <c r="Z74" s="157">
        <v>0</v>
      </c>
      <c r="AA74" s="157">
        <v>0</v>
      </c>
      <c r="AB74" s="157">
        <v>0</v>
      </c>
      <c r="AC74" s="157">
        <v>0</v>
      </c>
      <c r="AD74" s="157">
        <v>0</v>
      </c>
      <c r="AE74" s="157">
        <f>SUM(AF74:AI74)</f>
        <v>0</v>
      </c>
      <c r="AF74" s="157">
        <v>0</v>
      </c>
      <c r="AG74" s="157">
        <v>0</v>
      </c>
      <c r="AH74" s="157">
        <v>0</v>
      </c>
      <c r="AI74" s="157">
        <v>0</v>
      </c>
      <c r="AJ74" s="157">
        <f>SUM(AK74:AL74)</f>
        <v>0</v>
      </c>
      <c r="AK74" s="157">
        <v>0</v>
      </c>
      <c r="AL74" s="157">
        <f>SUM(AM74:AO74)</f>
        <v>0</v>
      </c>
      <c r="AM74" s="157">
        <v>0</v>
      </c>
      <c r="AN74" s="157">
        <v>0</v>
      </c>
      <c r="AO74" s="158">
        <v>0</v>
      </c>
    </row>
    <row r="75" spans="1:41" x14ac:dyDescent="0.25">
      <c r="A75" s="160"/>
      <c r="B75" s="161"/>
      <c r="C75" s="157"/>
      <c r="D75" s="157"/>
      <c r="E75" s="157"/>
      <c r="F75" s="157"/>
      <c r="G75" s="157"/>
      <c r="H75" s="157"/>
      <c r="I75" s="157"/>
      <c r="J75" s="157"/>
      <c r="K75" s="157"/>
      <c r="L75" s="157"/>
      <c r="M75" s="157"/>
      <c r="N75" s="157"/>
      <c r="O75" s="157"/>
      <c r="P75" s="157"/>
      <c r="Q75" s="157"/>
      <c r="R75" s="157"/>
      <c r="S75" s="157"/>
      <c r="T75" s="157"/>
      <c r="U75" s="157"/>
      <c r="V75" s="157"/>
      <c r="W75" s="157"/>
      <c r="X75" s="157"/>
      <c r="Y75" s="157"/>
      <c r="Z75" s="157"/>
      <c r="AA75" s="157"/>
      <c r="AB75" s="157"/>
      <c r="AC75" s="157"/>
      <c r="AD75" s="157"/>
      <c r="AE75" s="157"/>
      <c r="AF75" s="157"/>
      <c r="AG75" s="157"/>
      <c r="AH75" s="157"/>
      <c r="AI75" s="157"/>
      <c r="AJ75" s="157"/>
      <c r="AK75" s="157"/>
      <c r="AL75" s="157"/>
      <c r="AM75" s="157"/>
      <c r="AN75" s="157"/>
      <c r="AO75" s="158"/>
    </row>
    <row r="76" spans="1:41" x14ac:dyDescent="0.25">
      <c r="A76" s="176" t="s">
        <v>114</v>
      </c>
      <c r="B76" s="162" t="s">
        <v>115</v>
      </c>
      <c r="C76" s="148">
        <f>SUM(C77:C81)</f>
        <v>588105889</v>
      </c>
      <c r="D76" s="148">
        <f t="shared" ref="D76:AO76" si="22">SUM(D77:D81)</f>
        <v>130365000</v>
      </c>
      <c r="E76" s="148">
        <f t="shared" si="22"/>
        <v>0</v>
      </c>
      <c r="F76" s="148">
        <f t="shared" si="22"/>
        <v>0</v>
      </c>
      <c r="G76" s="148">
        <f t="shared" si="22"/>
        <v>4000000</v>
      </c>
      <c r="H76" s="148">
        <f t="shared" si="22"/>
        <v>5000000</v>
      </c>
      <c r="I76" s="148">
        <f t="shared" si="22"/>
        <v>0</v>
      </c>
      <c r="J76" s="148">
        <f t="shared" si="22"/>
        <v>0</v>
      </c>
      <c r="K76" s="148">
        <f t="shared" si="22"/>
        <v>5000000</v>
      </c>
      <c r="L76" s="148">
        <f t="shared" si="22"/>
        <v>0</v>
      </c>
      <c r="M76" s="148">
        <f t="shared" si="22"/>
        <v>0</v>
      </c>
      <c r="N76" s="148">
        <f t="shared" si="22"/>
        <v>0</v>
      </c>
      <c r="O76" s="148">
        <f t="shared" si="22"/>
        <v>0</v>
      </c>
      <c r="P76" s="148">
        <f t="shared" si="22"/>
        <v>0</v>
      </c>
      <c r="Q76" s="148">
        <f t="shared" si="22"/>
        <v>0</v>
      </c>
      <c r="R76" s="148">
        <f t="shared" si="22"/>
        <v>0</v>
      </c>
      <c r="S76" s="148">
        <f t="shared" si="22"/>
        <v>116365000</v>
      </c>
      <c r="T76" s="148">
        <f t="shared" si="22"/>
        <v>0</v>
      </c>
      <c r="U76" s="148">
        <f t="shared" si="22"/>
        <v>0</v>
      </c>
      <c r="V76" s="148">
        <f t="shared" si="22"/>
        <v>0</v>
      </c>
      <c r="W76" s="148">
        <f t="shared" si="22"/>
        <v>0</v>
      </c>
      <c r="X76" s="148">
        <f t="shared" si="22"/>
        <v>0</v>
      </c>
      <c r="Y76" s="148">
        <f t="shared" si="22"/>
        <v>54000000</v>
      </c>
      <c r="Z76" s="148">
        <f t="shared" si="22"/>
        <v>54000000</v>
      </c>
      <c r="AA76" s="148">
        <f t="shared" si="22"/>
        <v>0</v>
      </c>
      <c r="AB76" s="148">
        <f t="shared" si="22"/>
        <v>0</v>
      </c>
      <c r="AC76" s="148">
        <f t="shared" si="22"/>
        <v>0</v>
      </c>
      <c r="AD76" s="148">
        <f t="shared" si="22"/>
        <v>0</v>
      </c>
      <c r="AE76" s="148">
        <f t="shared" si="22"/>
        <v>22439635</v>
      </c>
      <c r="AF76" s="148">
        <f t="shared" si="22"/>
        <v>0</v>
      </c>
      <c r="AG76" s="148">
        <f t="shared" si="22"/>
        <v>13439635</v>
      </c>
      <c r="AH76" s="148">
        <f t="shared" si="22"/>
        <v>9000000</v>
      </c>
      <c r="AI76" s="148">
        <f t="shared" si="22"/>
        <v>0</v>
      </c>
      <c r="AJ76" s="148">
        <f t="shared" si="22"/>
        <v>381301254</v>
      </c>
      <c r="AK76" s="148">
        <f t="shared" si="22"/>
        <v>381301254</v>
      </c>
      <c r="AL76" s="148">
        <f t="shared" si="22"/>
        <v>0</v>
      </c>
      <c r="AM76" s="148">
        <f t="shared" si="22"/>
        <v>0</v>
      </c>
      <c r="AN76" s="148">
        <f t="shared" si="22"/>
        <v>0</v>
      </c>
      <c r="AO76" s="149">
        <f t="shared" si="22"/>
        <v>0</v>
      </c>
    </row>
    <row r="77" spans="1:41" x14ac:dyDescent="0.25">
      <c r="A77" s="160" t="s">
        <v>116</v>
      </c>
      <c r="B77" s="161" t="s">
        <v>117</v>
      </c>
      <c r="C77" s="157">
        <f>SUM(D77+Y77+AE77+AJ77)</f>
        <v>14000000</v>
      </c>
      <c r="D77" s="157">
        <f>SUM(E77:X77)</f>
        <v>14000000</v>
      </c>
      <c r="E77" s="157">
        <v>0</v>
      </c>
      <c r="F77" s="157">
        <v>0</v>
      </c>
      <c r="G77" s="157">
        <v>4000000</v>
      </c>
      <c r="H77" s="157">
        <v>5000000</v>
      </c>
      <c r="I77" s="157">
        <v>0</v>
      </c>
      <c r="J77" s="157">
        <v>0</v>
      </c>
      <c r="K77" s="157">
        <v>5000000</v>
      </c>
      <c r="L77" s="157">
        <v>0</v>
      </c>
      <c r="M77" s="157">
        <v>0</v>
      </c>
      <c r="N77" s="157">
        <v>0</v>
      </c>
      <c r="O77" s="157">
        <v>0</v>
      </c>
      <c r="P77" s="157">
        <v>0</v>
      </c>
      <c r="Q77" s="157">
        <v>0</v>
      </c>
      <c r="R77" s="157">
        <v>0</v>
      </c>
      <c r="S77" s="157">
        <v>0</v>
      </c>
      <c r="T77" s="157">
        <v>0</v>
      </c>
      <c r="U77" s="157">
        <v>0</v>
      </c>
      <c r="V77" s="157">
        <v>0</v>
      </c>
      <c r="W77" s="157">
        <v>0</v>
      </c>
      <c r="X77" s="157">
        <v>0</v>
      </c>
      <c r="Y77" s="157">
        <f>SUM(Z77:AD77)</f>
        <v>0</v>
      </c>
      <c r="Z77" s="157">
        <v>0</v>
      </c>
      <c r="AA77" s="157">
        <v>0</v>
      </c>
      <c r="AB77" s="157">
        <v>0</v>
      </c>
      <c r="AC77" s="157">
        <v>0</v>
      </c>
      <c r="AD77" s="157">
        <v>0</v>
      </c>
      <c r="AE77" s="157">
        <f>SUM(AF77:AI77)</f>
        <v>0</v>
      </c>
      <c r="AF77" s="157">
        <v>0</v>
      </c>
      <c r="AG77" s="157">
        <v>0</v>
      </c>
      <c r="AH77" s="157">
        <v>0</v>
      </c>
      <c r="AI77" s="157">
        <v>0</v>
      </c>
      <c r="AJ77" s="157">
        <f>SUM(AK77:AL77)</f>
        <v>0</v>
      </c>
      <c r="AK77" s="157">
        <v>0</v>
      </c>
      <c r="AL77" s="157">
        <f>SUM(AM77:AO77)</f>
        <v>0</v>
      </c>
      <c r="AM77" s="157">
        <v>0</v>
      </c>
      <c r="AN77" s="157">
        <v>0</v>
      </c>
      <c r="AO77" s="158">
        <v>0</v>
      </c>
    </row>
    <row r="78" spans="1:41" x14ac:dyDescent="0.25">
      <c r="A78" s="160" t="s">
        <v>118</v>
      </c>
      <c r="B78" s="161" t="s">
        <v>119</v>
      </c>
      <c r="C78" s="157">
        <f>SUM(D78+Y78+AE78+AJ78)</f>
        <v>9000000</v>
      </c>
      <c r="D78" s="157">
        <f>SUM(E78:X78)</f>
        <v>0</v>
      </c>
      <c r="E78" s="157">
        <v>0</v>
      </c>
      <c r="F78" s="157">
        <v>0</v>
      </c>
      <c r="G78" s="157">
        <v>0</v>
      </c>
      <c r="H78" s="157">
        <v>0</v>
      </c>
      <c r="I78" s="157">
        <v>0</v>
      </c>
      <c r="J78" s="157">
        <v>0</v>
      </c>
      <c r="K78" s="157">
        <v>0</v>
      </c>
      <c r="L78" s="157">
        <v>0</v>
      </c>
      <c r="M78" s="157">
        <v>0</v>
      </c>
      <c r="N78" s="157">
        <v>0</v>
      </c>
      <c r="O78" s="157">
        <v>0</v>
      </c>
      <c r="P78" s="157">
        <v>0</v>
      </c>
      <c r="Q78" s="157">
        <v>0</v>
      </c>
      <c r="R78" s="157">
        <v>0</v>
      </c>
      <c r="S78" s="157">
        <v>0</v>
      </c>
      <c r="T78" s="157">
        <v>0</v>
      </c>
      <c r="U78" s="157">
        <v>0</v>
      </c>
      <c r="V78" s="157">
        <v>0</v>
      </c>
      <c r="W78" s="157">
        <v>0</v>
      </c>
      <c r="X78" s="157">
        <v>0</v>
      </c>
      <c r="Y78" s="157">
        <f>SUM(Z78:AD78)</f>
        <v>0</v>
      </c>
      <c r="Z78" s="157">
        <v>0</v>
      </c>
      <c r="AA78" s="157">
        <v>0</v>
      </c>
      <c r="AB78" s="157">
        <v>0</v>
      </c>
      <c r="AC78" s="157">
        <v>0</v>
      </c>
      <c r="AD78" s="157">
        <v>0</v>
      </c>
      <c r="AE78" s="157">
        <f>SUM(AF78:AI78)</f>
        <v>9000000</v>
      </c>
      <c r="AF78" s="157">
        <v>0</v>
      </c>
      <c r="AG78" s="157">
        <v>0</v>
      </c>
      <c r="AH78" s="157">
        <v>9000000</v>
      </c>
      <c r="AI78" s="157">
        <v>0</v>
      </c>
      <c r="AJ78" s="157">
        <f>SUM(AK78:AL78)</f>
        <v>0</v>
      </c>
      <c r="AK78" s="157">
        <v>0</v>
      </c>
      <c r="AL78" s="157">
        <f>SUM(AM78:AO78)</f>
        <v>0</v>
      </c>
      <c r="AM78" s="157">
        <v>0</v>
      </c>
      <c r="AN78" s="157">
        <v>0</v>
      </c>
      <c r="AO78" s="158">
        <v>0</v>
      </c>
    </row>
    <row r="79" spans="1:41" x14ac:dyDescent="0.25">
      <c r="A79" s="160" t="s">
        <v>120</v>
      </c>
      <c r="B79" s="161" t="s">
        <v>121</v>
      </c>
      <c r="C79" s="157">
        <f>SUM(D79+Y79+AE79+AJ79)</f>
        <v>497666254</v>
      </c>
      <c r="D79" s="157">
        <f>SUM(E79:X79)</f>
        <v>116365000</v>
      </c>
      <c r="E79" s="157">
        <v>0</v>
      </c>
      <c r="F79" s="157">
        <v>0</v>
      </c>
      <c r="G79" s="157">
        <v>0</v>
      </c>
      <c r="H79" s="157">
        <v>0</v>
      </c>
      <c r="I79" s="157">
        <v>0</v>
      </c>
      <c r="J79" s="157">
        <v>0</v>
      </c>
      <c r="K79" s="157">
        <v>0</v>
      </c>
      <c r="L79" s="157">
        <v>0</v>
      </c>
      <c r="M79" s="157">
        <v>0</v>
      </c>
      <c r="N79" s="157">
        <v>0</v>
      </c>
      <c r="O79" s="157">
        <v>0</v>
      </c>
      <c r="P79" s="157">
        <v>0</v>
      </c>
      <c r="Q79" s="157">
        <v>0</v>
      </c>
      <c r="R79" s="157">
        <v>0</v>
      </c>
      <c r="S79" s="157">
        <v>116365000</v>
      </c>
      <c r="T79" s="157">
        <v>0</v>
      </c>
      <c r="U79" s="157">
        <v>0</v>
      </c>
      <c r="V79" s="157">
        <v>0</v>
      </c>
      <c r="W79" s="157">
        <v>0</v>
      </c>
      <c r="X79" s="157">
        <v>0</v>
      </c>
      <c r="Y79" s="157">
        <f>SUM(Z79:AD79)</f>
        <v>0</v>
      </c>
      <c r="Z79" s="157">
        <v>0</v>
      </c>
      <c r="AA79" s="157">
        <v>0</v>
      </c>
      <c r="AB79" s="157">
        <v>0</v>
      </c>
      <c r="AC79" s="157">
        <v>0</v>
      </c>
      <c r="AD79" s="157">
        <v>0</v>
      </c>
      <c r="AE79" s="157">
        <f>SUM(AF79:AI79)</f>
        <v>0</v>
      </c>
      <c r="AF79" s="157">
        <v>0</v>
      </c>
      <c r="AG79" s="157">
        <v>0</v>
      </c>
      <c r="AH79" s="157">
        <v>0</v>
      </c>
      <c r="AI79" s="157">
        <v>0</v>
      </c>
      <c r="AJ79" s="157">
        <f>SUM(AK79:AL79)</f>
        <v>381301254</v>
      </c>
      <c r="AK79" s="157">
        <v>381301254</v>
      </c>
      <c r="AL79" s="157">
        <f>SUM(AM79:AO79)</f>
        <v>0</v>
      </c>
      <c r="AM79" s="157">
        <v>0</v>
      </c>
      <c r="AN79" s="157">
        <v>0</v>
      </c>
      <c r="AO79" s="158">
        <v>0</v>
      </c>
    </row>
    <row r="80" spans="1:41" x14ac:dyDescent="0.25">
      <c r="A80" s="160" t="s">
        <v>122</v>
      </c>
      <c r="B80" s="161" t="s">
        <v>123</v>
      </c>
      <c r="C80" s="157">
        <f>SUM(D80+Y80+AE80+AJ80)</f>
        <v>54000000</v>
      </c>
      <c r="D80" s="157">
        <f>SUM(E80:X80)</f>
        <v>0</v>
      </c>
      <c r="E80" s="157">
        <v>0</v>
      </c>
      <c r="F80" s="157">
        <v>0</v>
      </c>
      <c r="G80" s="157">
        <v>0</v>
      </c>
      <c r="H80" s="157">
        <v>0</v>
      </c>
      <c r="I80" s="157">
        <v>0</v>
      </c>
      <c r="J80" s="157">
        <v>0</v>
      </c>
      <c r="K80" s="157">
        <v>0</v>
      </c>
      <c r="L80" s="157">
        <v>0</v>
      </c>
      <c r="M80" s="157">
        <v>0</v>
      </c>
      <c r="N80" s="157">
        <v>0</v>
      </c>
      <c r="O80" s="157">
        <v>0</v>
      </c>
      <c r="P80" s="157">
        <v>0</v>
      </c>
      <c r="Q80" s="157">
        <v>0</v>
      </c>
      <c r="R80" s="157">
        <v>0</v>
      </c>
      <c r="S80" s="157">
        <v>0</v>
      </c>
      <c r="T80" s="157">
        <v>0</v>
      </c>
      <c r="U80" s="157">
        <v>0</v>
      </c>
      <c r="V80" s="157">
        <v>0</v>
      </c>
      <c r="W80" s="157">
        <v>0</v>
      </c>
      <c r="X80" s="157">
        <v>0</v>
      </c>
      <c r="Y80" s="157">
        <f>SUM(Z80:AD80)</f>
        <v>54000000</v>
      </c>
      <c r="Z80" s="157">
        <v>54000000</v>
      </c>
      <c r="AA80" s="157">
        <v>0</v>
      </c>
      <c r="AB80" s="157">
        <v>0</v>
      </c>
      <c r="AC80" s="157">
        <v>0</v>
      </c>
      <c r="AD80" s="157">
        <v>0</v>
      </c>
      <c r="AE80" s="157">
        <f>SUM(AF80:AI80)</f>
        <v>0</v>
      </c>
      <c r="AF80" s="157">
        <v>0</v>
      </c>
      <c r="AG80" s="157">
        <v>0</v>
      </c>
      <c r="AH80" s="157">
        <v>0</v>
      </c>
      <c r="AI80" s="157">
        <v>0</v>
      </c>
      <c r="AJ80" s="157">
        <f>SUM(AK80:AL80)</f>
        <v>0</v>
      </c>
      <c r="AK80" s="157">
        <v>0</v>
      </c>
      <c r="AL80" s="157">
        <f>SUM(AM80:AO80)</f>
        <v>0</v>
      </c>
      <c r="AM80" s="157">
        <v>0</v>
      </c>
      <c r="AN80" s="157">
        <v>0</v>
      </c>
      <c r="AO80" s="158">
        <v>0</v>
      </c>
    </row>
    <row r="81" spans="1:41" x14ac:dyDescent="0.25">
      <c r="A81" s="160" t="s">
        <v>124</v>
      </c>
      <c r="B81" s="161" t="s">
        <v>125</v>
      </c>
      <c r="C81" s="157">
        <f>SUM(D81+Y81+AE81+AJ81)</f>
        <v>13439635</v>
      </c>
      <c r="D81" s="157">
        <f>SUM(E81:X81)</f>
        <v>0</v>
      </c>
      <c r="E81" s="157">
        <v>0</v>
      </c>
      <c r="F81" s="157">
        <v>0</v>
      </c>
      <c r="G81" s="157">
        <v>0</v>
      </c>
      <c r="H81" s="157">
        <v>0</v>
      </c>
      <c r="I81" s="157">
        <v>0</v>
      </c>
      <c r="J81" s="157">
        <v>0</v>
      </c>
      <c r="K81" s="157">
        <v>0</v>
      </c>
      <c r="L81" s="157">
        <v>0</v>
      </c>
      <c r="M81" s="157">
        <v>0</v>
      </c>
      <c r="N81" s="157">
        <v>0</v>
      </c>
      <c r="O81" s="157">
        <v>0</v>
      </c>
      <c r="P81" s="157">
        <v>0</v>
      </c>
      <c r="Q81" s="157">
        <v>0</v>
      </c>
      <c r="R81" s="157">
        <v>0</v>
      </c>
      <c r="S81" s="157">
        <v>0</v>
      </c>
      <c r="T81" s="157">
        <v>0</v>
      </c>
      <c r="U81" s="157">
        <v>0</v>
      </c>
      <c r="V81" s="157">
        <v>0</v>
      </c>
      <c r="W81" s="157">
        <v>0</v>
      </c>
      <c r="X81" s="157">
        <v>0</v>
      </c>
      <c r="Y81" s="157">
        <f>SUM(Z81:AD81)</f>
        <v>0</v>
      </c>
      <c r="Z81" s="157">
        <v>0</v>
      </c>
      <c r="AA81" s="157">
        <v>0</v>
      </c>
      <c r="AB81" s="157">
        <v>0</v>
      </c>
      <c r="AC81" s="157">
        <v>0</v>
      </c>
      <c r="AD81" s="157">
        <v>0</v>
      </c>
      <c r="AE81" s="157">
        <f>SUM(AF81:AI81)</f>
        <v>13439635</v>
      </c>
      <c r="AF81" s="157">
        <v>0</v>
      </c>
      <c r="AG81" s="157">
        <v>13439635</v>
      </c>
      <c r="AH81" s="157">
        <v>0</v>
      </c>
      <c r="AI81" s="157">
        <v>0</v>
      </c>
      <c r="AJ81" s="157">
        <f>SUM(AK81:AL81)</f>
        <v>0</v>
      </c>
      <c r="AK81" s="157">
        <v>0</v>
      </c>
      <c r="AL81" s="157">
        <f>SUM(AM81:AO81)</f>
        <v>0</v>
      </c>
      <c r="AM81" s="157">
        <v>0</v>
      </c>
      <c r="AN81" s="157">
        <v>0</v>
      </c>
      <c r="AO81" s="158">
        <v>0</v>
      </c>
    </row>
    <row r="82" spans="1:41" x14ac:dyDescent="0.25">
      <c r="A82" s="160"/>
      <c r="B82" s="161"/>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57"/>
      <c r="AM82" s="157"/>
      <c r="AN82" s="157"/>
      <c r="AO82" s="158"/>
    </row>
    <row r="83" spans="1:41" x14ac:dyDescent="0.25">
      <c r="A83" s="176" t="s">
        <v>126</v>
      </c>
      <c r="B83" s="162" t="s">
        <v>127</v>
      </c>
      <c r="C83" s="148">
        <f>SUM(C84:C91)</f>
        <v>588934606</v>
      </c>
      <c r="D83" s="148">
        <f t="shared" ref="D83:AO83" si="23">SUM(D84:D91)</f>
        <v>750000</v>
      </c>
      <c r="E83" s="148">
        <f t="shared" si="23"/>
        <v>0</v>
      </c>
      <c r="F83" s="148">
        <f t="shared" si="23"/>
        <v>0</v>
      </c>
      <c r="G83" s="148">
        <f t="shared" si="23"/>
        <v>0</v>
      </c>
      <c r="H83" s="148">
        <f t="shared" si="23"/>
        <v>0</v>
      </c>
      <c r="I83" s="148">
        <f t="shared" si="23"/>
        <v>0</v>
      </c>
      <c r="J83" s="148">
        <f t="shared" si="23"/>
        <v>0</v>
      </c>
      <c r="K83" s="148">
        <f t="shared" si="23"/>
        <v>0</v>
      </c>
      <c r="L83" s="148">
        <f t="shared" si="23"/>
        <v>0</v>
      </c>
      <c r="M83" s="148">
        <f t="shared" si="23"/>
        <v>0</v>
      </c>
      <c r="N83" s="148">
        <f t="shared" si="23"/>
        <v>0</v>
      </c>
      <c r="O83" s="148">
        <f t="shared" si="23"/>
        <v>0</v>
      </c>
      <c r="P83" s="148">
        <f t="shared" si="23"/>
        <v>0</v>
      </c>
      <c r="Q83" s="148">
        <f t="shared" si="23"/>
        <v>0</v>
      </c>
      <c r="R83" s="148">
        <f t="shared" si="23"/>
        <v>0</v>
      </c>
      <c r="S83" s="148">
        <f t="shared" si="23"/>
        <v>0</v>
      </c>
      <c r="T83" s="148">
        <f t="shared" si="23"/>
        <v>0</v>
      </c>
      <c r="U83" s="148">
        <f t="shared" si="23"/>
        <v>0</v>
      </c>
      <c r="V83" s="148">
        <f t="shared" si="23"/>
        <v>0</v>
      </c>
      <c r="W83" s="148">
        <f t="shared" si="23"/>
        <v>750000</v>
      </c>
      <c r="X83" s="148">
        <f t="shared" si="23"/>
        <v>0</v>
      </c>
      <c r="Y83" s="148">
        <f t="shared" si="23"/>
        <v>511349654</v>
      </c>
      <c r="Z83" s="148">
        <f t="shared" si="23"/>
        <v>406000000</v>
      </c>
      <c r="AA83" s="148">
        <f t="shared" si="23"/>
        <v>0</v>
      </c>
      <c r="AB83" s="148">
        <f t="shared" si="23"/>
        <v>105349654</v>
      </c>
      <c r="AC83" s="148">
        <f t="shared" si="23"/>
        <v>0</v>
      </c>
      <c r="AD83" s="148">
        <f t="shared" si="23"/>
        <v>0</v>
      </c>
      <c r="AE83" s="148">
        <f t="shared" si="23"/>
        <v>76834952</v>
      </c>
      <c r="AF83" s="148">
        <f t="shared" si="23"/>
        <v>0</v>
      </c>
      <c r="AG83" s="148">
        <f t="shared" si="23"/>
        <v>32584952</v>
      </c>
      <c r="AH83" s="148">
        <f t="shared" si="23"/>
        <v>14250000</v>
      </c>
      <c r="AI83" s="148">
        <f t="shared" si="23"/>
        <v>30000000</v>
      </c>
      <c r="AJ83" s="148">
        <f t="shared" si="23"/>
        <v>0</v>
      </c>
      <c r="AK83" s="148">
        <f t="shared" si="23"/>
        <v>0</v>
      </c>
      <c r="AL83" s="148">
        <f t="shared" si="23"/>
        <v>0</v>
      </c>
      <c r="AM83" s="148">
        <f t="shared" si="23"/>
        <v>0</v>
      </c>
      <c r="AN83" s="148">
        <f t="shared" si="23"/>
        <v>0</v>
      </c>
      <c r="AO83" s="149">
        <f t="shared" si="23"/>
        <v>0</v>
      </c>
    </row>
    <row r="84" spans="1:41" x14ac:dyDescent="0.25">
      <c r="A84" s="160" t="s">
        <v>128</v>
      </c>
      <c r="B84" s="161" t="s">
        <v>129</v>
      </c>
      <c r="C84" s="157">
        <f t="shared" ref="C84:C91" si="24">SUM(D84+Y84+AE84+AJ84)</f>
        <v>750000</v>
      </c>
      <c r="D84" s="157">
        <f t="shared" ref="D84:D91" si="25">SUM(E84:X84)</f>
        <v>750000</v>
      </c>
      <c r="E84" s="157">
        <v>0</v>
      </c>
      <c r="F84" s="157">
        <v>0</v>
      </c>
      <c r="G84" s="157">
        <v>0</v>
      </c>
      <c r="H84" s="157">
        <v>0</v>
      </c>
      <c r="I84" s="157">
        <v>0</v>
      </c>
      <c r="J84" s="157">
        <v>0</v>
      </c>
      <c r="K84" s="157">
        <v>0</v>
      </c>
      <c r="L84" s="157">
        <v>0</v>
      </c>
      <c r="M84" s="157">
        <v>0</v>
      </c>
      <c r="N84" s="157">
        <v>0</v>
      </c>
      <c r="O84" s="157">
        <v>0</v>
      </c>
      <c r="P84" s="157">
        <v>0</v>
      </c>
      <c r="Q84" s="157">
        <v>0</v>
      </c>
      <c r="R84" s="157">
        <v>0</v>
      </c>
      <c r="S84" s="157">
        <v>0</v>
      </c>
      <c r="T84" s="157">
        <v>0</v>
      </c>
      <c r="U84" s="157">
        <v>0</v>
      </c>
      <c r="V84" s="157">
        <v>0</v>
      </c>
      <c r="W84" s="157">
        <v>750000</v>
      </c>
      <c r="X84" s="157">
        <v>0</v>
      </c>
      <c r="Y84" s="157">
        <f t="shared" ref="Y84:Y91" si="26">SUM(Z84:AD84)</f>
        <v>0</v>
      </c>
      <c r="Z84" s="157">
        <v>0</v>
      </c>
      <c r="AA84" s="157">
        <v>0</v>
      </c>
      <c r="AB84" s="157">
        <v>0</v>
      </c>
      <c r="AC84" s="157">
        <v>0</v>
      </c>
      <c r="AD84" s="157">
        <v>0</v>
      </c>
      <c r="AE84" s="157">
        <f t="shared" ref="AE84:AE91" si="27">SUM(AF84:AI84)</f>
        <v>0</v>
      </c>
      <c r="AF84" s="157">
        <v>0</v>
      </c>
      <c r="AG84" s="157">
        <v>0</v>
      </c>
      <c r="AH84" s="157">
        <v>0</v>
      </c>
      <c r="AI84" s="157">
        <v>0</v>
      </c>
      <c r="AJ84" s="157">
        <f t="shared" ref="AJ84:AJ91" si="28">SUM(AK84:AL84)</f>
        <v>0</v>
      </c>
      <c r="AK84" s="157">
        <v>0</v>
      </c>
      <c r="AL84" s="157">
        <f t="shared" ref="AL84:AL91" si="29">SUM(AM84:AO84)</f>
        <v>0</v>
      </c>
      <c r="AM84" s="157">
        <v>0</v>
      </c>
      <c r="AN84" s="157">
        <v>0</v>
      </c>
      <c r="AO84" s="158">
        <v>0</v>
      </c>
    </row>
    <row r="85" spans="1:41" x14ac:dyDescent="0.25">
      <c r="A85" s="160" t="s">
        <v>130</v>
      </c>
      <c r="B85" s="161" t="s">
        <v>131</v>
      </c>
      <c r="C85" s="157">
        <f t="shared" si="24"/>
        <v>14250000</v>
      </c>
      <c r="D85" s="157">
        <f t="shared" si="25"/>
        <v>0</v>
      </c>
      <c r="E85" s="157">
        <v>0</v>
      </c>
      <c r="F85" s="157">
        <v>0</v>
      </c>
      <c r="G85" s="157">
        <v>0</v>
      </c>
      <c r="H85" s="157">
        <v>0</v>
      </c>
      <c r="I85" s="157">
        <v>0</v>
      </c>
      <c r="J85" s="157">
        <v>0</v>
      </c>
      <c r="K85" s="157">
        <v>0</v>
      </c>
      <c r="L85" s="157">
        <v>0</v>
      </c>
      <c r="M85" s="157">
        <v>0</v>
      </c>
      <c r="N85" s="157">
        <v>0</v>
      </c>
      <c r="O85" s="157">
        <v>0</v>
      </c>
      <c r="P85" s="157">
        <v>0</v>
      </c>
      <c r="Q85" s="157">
        <v>0</v>
      </c>
      <c r="R85" s="157">
        <v>0</v>
      </c>
      <c r="S85" s="157">
        <v>0</v>
      </c>
      <c r="T85" s="157">
        <v>0</v>
      </c>
      <c r="U85" s="157">
        <v>0</v>
      </c>
      <c r="V85" s="157">
        <v>0</v>
      </c>
      <c r="W85" s="157">
        <v>0</v>
      </c>
      <c r="X85" s="157">
        <v>0</v>
      </c>
      <c r="Y85" s="157">
        <f t="shared" si="26"/>
        <v>0</v>
      </c>
      <c r="Z85" s="157">
        <v>0</v>
      </c>
      <c r="AA85" s="157">
        <v>0</v>
      </c>
      <c r="AB85" s="157">
        <v>0</v>
      </c>
      <c r="AC85" s="157">
        <v>0</v>
      </c>
      <c r="AD85" s="157">
        <v>0</v>
      </c>
      <c r="AE85" s="157">
        <f t="shared" si="27"/>
        <v>14250000</v>
      </c>
      <c r="AF85" s="157">
        <v>0</v>
      </c>
      <c r="AG85" s="157">
        <v>0</v>
      </c>
      <c r="AH85" s="157">
        <v>14250000</v>
      </c>
      <c r="AI85" s="157">
        <v>0</v>
      </c>
      <c r="AJ85" s="157">
        <f t="shared" si="28"/>
        <v>0</v>
      </c>
      <c r="AK85" s="157">
        <v>0</v>
      </c>
      <c r="AL85" s="157">
        <f t="shared" si="29"/>
        <v>0</v>
      </c>
      <c r="AM85" s="157">
        <v>0</v>
      </c>
      <c r="AN85" s="157">
        <v>0</v>
      </c>
      <c r="AO85" s="158">
        <v>0</v>
      </c>
    </row>
    <row r="86" spans="1:41" x14ac:dyDescent="0.25">
      <c r="A86" s="160" t="s">
        <v>132</v>
      </c>
      <c r="B86" s="161" t="s">
        <v>133</v>
      </c>
      <c r="C86" s="157">
        <f t="shared" si="24"/>
        <v>26928561</v>
      </c>
      <c r="D86" s="157">
        <f t="shared" si="25"/>
        <v>0</v>
      </c>
      <c r="E86" s="157">
        <v>0</v>
      </c>
      <c r="F86" s="157">
        <v>0</v>
      </c>
      <c r="G86" s="157">
        <v>0</v>
      </c>
      <c r="H86" s="157">
        <v>0</v>
      </c>
      <c r="I86" s="157">
        <v>0</v>
      </c>
      <c r="J86" s="157">
        <v>0</v>
      </c>
      <c r="K86" s="157">
        <v>0</v>
      </c>
      <c r="L86" s="157">
        <v>0</v>
      </c>
      <c r="M86" s="157">
        <v>0</v>
      </c>
      <c r="N86" s="157">
        <v>0</v>
      </c>
      <c r="O86" s="157">
        <v>0</v>
      </c>
      <c r="P86" s="157">
        <v>0</v>
      </c>
      <c r="Q86" s="157">
        <v>0</v>
      </c>
      <c r="R86" s="157">
        <v>0</v>
      </c>
      <c r="S86" s="157">
        <v>0</v>
      </c>
      <c r="T86" s="157">
        <v>0</v>
      </c>
      <c r="U86" s="157">
        <v>0</v>
      </c>
      <c r="V86" s="157">
        <v>0</v>
      </c>
      <c r="W86" s="157">
        <v>0</v>
      </c>
      <c r="X86" s="157">
        <v>0</v>
      </c>
      <c r="Y86" s="157">
        <f t="shared" si="26"/>
        <v>26928561</v>
      </c>
      <c r="Z86" s="157">
        <v>0</v>
      </c>
      <c r="AA86" s="157">
        <v>0</v>
      </c>
      <c r="AB86" s="157">
        <v>26928561</v>
      </c>
      <c r="AC86" s="157">
        <v>0</v>
      </c>
      <c r="AD86" s="157">
        <v>0</v>
      </c>
      <c r="AE86" s="157">
        <f t="shared" si="27"/>
        <v>0</v>
      </c>
      <c r="AF86" s="157">
        <v>0</v>
      </c>
      <c r="AG86" s="157">
        <v>0</v>
      </c>
      <c r="AH86" s="157">
        <v>0</v>
      </c>
      <c r="AI86" s="157">
        <v>0</v>
      </c>
      <c r="AJ86" s="157">
        <f t="shared" si="28"/>
        <v>0</v>
      </c>
      <c r="AK86" s="157">
        <v>0</v>
      </c>
      <c r="AL86" s="157">
        <f t="shared" si="29"/>
        <v>0</v>
      </c>
      <c r="AM86" s="157">
        <v>0</v>
      </c>
      <c r="AN86" s="157">
        <v>0</v>
      </c>
      <c r="AO86" s="158">
        <v>0</v>
      </c>
    </row>
    <row r="87" spans="1:41" x14ac:dyDescent="0.25">
      <c r="A87" s="160" t="s">
        <v>134</v>
      </c>
      <c r="B87" s="161" t="s">
        <v>135</v>
      </c>
      <c r="C87" s="157">
        <f t="shared" si="24"/>
        <v>32584952</v>
      </c>
      <c r="D87" s="157">
        <f t="shared" si="25"/>
        <v>0</v>
      </c>
      <c r="E87" s="157">
        <v>0</v>
      </c>
      <c r="F87" s="157">
        <v>0</v>
      </c>
      <c r="G87" s="157">
        <v>0</v>
      </c>
      <c r="H87" s="157">
        <v>0</v>
      </c>
      <c r="I87" s="157">
        <v>0</v>
      </c>
      <c r="J87" s="157">
        <v>0</v>
      </c>
      <c r="K87" s="157">
        <v>0</v>
      </c>
      <c r="L87" s="157">
        <v>0</v>
      </c>
      <c r="M87" s="157">
        <v>0</v>
      </c>
      <c r="N87" s="157">
        <v>0</v>
      </c>
      <c r="O87" s="157">
        <v>0</v>
      </c>
      <c r="P87" s="157">
        <v>0</v>
      </c>
      <c r="Q87" s="157">
        <v>0</v>
      </c>
      <c r="R87" s="157">
        <v>0</v>
      </c>
      <c r="S87" s="157">
        <v>0</v>
      </c>
      <c r="T87" s="157">
        <v>0</v>
      </c>
      <c r="U87" s="157">
        <v>0</v>
      </c>
      <c r="V87" s="157">
        <v>0</v>
      </c>
      <c r="W87" s="157">
        <v>0</v>
      </c>
      <c r="X87" s="157">
        <v>0</v>
      </c>
      <c r="Y87" s="157">
        <f t="shared" si="26"/>
        <v>0</v>
      </c>
      <c r="Z87" s="157">
        <v>0</v>
      </c>
      <c r="AA87" s="157">
        <v>0</v>
      </c>
      <c r="AB87" s="157">
        <v>0</v>
      </c>
      <c r="AC87" s="157">
        <v>0</v>
      </c>
      <c r="AD87" s="157">
        <v>0</v>
      </c>
      <c r="AE87" s="157">
        <f t="shared" si="27"/>
        <v>32584952</v>
      </c>
      <c r="AF87" s="157">
        <v>0</v>
      </c>
      <c r="AG87" s="157">
        <f>32854952-270000</f>
        <v>32584952</v>
      </c>
      <c r="AH87" s="157">
        <v>0</v>
      </c>
      <c r="AI87" s="157">
        <v>0</v>
      </c>
      <c r="AJ87" s="157">
        <f t="shared" si="28"/>
        <v>0</v>
      </c>
      <c r="AK87" s="157">
        <v>0</v>
      </c>
      <c r="AL87" s="157">
        <f t="shared" si="29"/>
        <v>0</v>
      </c>
      <c r="AM87" s="157">
        <v>0</v>
      </c>
      <c r="AN87" s="157">
        <v>0</v>
      </c>
      <c r="AO87" s="158">
        <v>0</v>
      </c>
    </row>
    <row r="88" spans="1:41" x14ac:dyDescent="0.25">
      <c r="A88" s="160" t="s">
        <v>136</v>
      </c>
      <c r="B88" s="161" t="s">
        <v>137</v>
      </c>
      <c r="C88" s="157">
        <f t="shared" si="24"/>
        <v>56246139</v>
      </c>
      <c r="D88" s="157">
        <f t="shared" si="25"/>
        <v>0</v>
      </c>
      <c r="E88" s="157">
        <v>0</v>
      </c>
      <c r="F88" s="157">
        <v>0</v>
      </c>
      <c r="G88" s="157">
        <v>0</v>
      </c>
      <c r="H88" s="157">
        <v>0</v>
      </c>
      <c r="I88" s="157">
        <v>0</v>
      </c>
      <c r="J88" s="157">
        <v>0</v>
      </c>
      <c r="K88" s="157">
        <v>0</v>
      </c>
      <c r="L88" s="157">
        <v>0</v>
      </c>
      <c r="M88" s="157">
        <v>0</v>
      </c>
      <c r="N88" s="157">
        <v>0</v>
      </c>
      <c r="O88" s="157">
        <v>0</v>
      </c>
      <c r="P88" s="157">
        <v>0</v>
      </c>
      <c r="Q88" s="157">
        <v>0</v>
      </c>
      <c r="R88" s="157">
        <v>0</v>
      </c>
      <c r="S88" s="157">
        <v>0</v>
      </c>
      <c r="T88" s="157">
        <v>0</v>
      </c>
      <c r="U88" s="157">
        <v>0</v>
      </c>
      <c r="V88" s="157">
        <v>0</v>
      </c>
      <c r="W88" s="157">
        <v>0</v>
      </c>
      <c r="X88" s="157">
        <v>0</v>
      </c>
      <c r="Y88" s="157">
        <f t="shared" si="26"/>
        <v>56246139</v>
      </c>
      <c r="Z88" s="157">
        <v>0</v>
      </c>
      <c r="AA88" s="157">
        <v>0</v>
      </c>
      <c r="AB88" s="157">
        <v>56246139</v>
      </c>
      <c r="AC88" s="157">
        <v>0</v>
      </c>
      <c r="AD88" s="157">
        <v>0</v>
      </c>
      <c r="AE88" s="157">
        <f t="shared" si="27"/>
        <v>0</v>
      </c>
      <c r="AF88" s="157">
        <v>0</v>
      </c>
      <c r="AG88" s="157">
        <v>0</v>
      </c>
      <c r="AH88" s="157">
        <v>0</v>
      </c>
      <c r="AI88" s="157">
        <v>0</v>
      </c>
      <c r="AJ88" s="157">
        <f t="shared" si="28"/>
        <v>0</v>
      </c>
      <c r="AK88" s="157">
        <v>0</v>
      </c>
      <c r="AL88" s="157">
        <f t="shared" si="29"/>
        <v>0</v>
      </c>
      <c r="AM88" s="157">
        <v>0</v>
      </c>
      <c r="AN88" s="157">
        <v>0</v>
      </c>
      <c r="AO88" s="158">
        <v>0</v>
      </c>
    </row>
    <row r="89" spans="1:41" x14ac:dyDescent="0.25">
      <c r="A89" s="160" t="s">
        <v>138</v>
      </c>
      <c r="B89" s="161" t="s">
        <v>139</v>
      </c>
      <c r="C89" s="157">
        <f t="shared" si="24"/>
        <v>30000000</v>
      </c>
      <c r="D89" s="157">
        <f t="shared" si="25"/>
        <v>0</v>
      </c>
      <c r="E89" s="157">
        <v>0</v>
      </c>
      <c r="F89" s="157">
        <v>0</v>
      </c>
      <c r="G89" s="157">
        <v>0</v>
      </c>
      <c r="H89" s="157">
        <v>0</v>
      </c>
      <c r="I89" s="157">
        <v>0</v>
      </c>
      <c r="J89" s="157">
        <v>0</v>
      </c>
      <c r="K89" s="157">
        <v>0</v>
      </c>
      <c r="L89" s="157">
        <v>0</v>
      </c>
      <c r="M89" s="157">
        <v>0</v>
      </c>
      <c r="N89" s="157">
        <v>0</v>
      </c>
      <c r="O89" s="157">
        <v>0</v>
      </c>
      <c r="P89" s="157">
        <v>0</v>
      </c>
      <c r="Q89" s="157">
        <v>0</v>
      </c>
      <c r="R89" s="157">
        <v>0</v>
      </c>
      <c r="S89" s="157">
        <v>0</v>
      </c>
      <c r="T89" s="157">
        <v>0</v>
      </c>
      <c r="U89" s="157">
        <v>0</v>
      </c>
      <c r="V89" s="157">
        <v>0</v>
      </c>
      <c r="W89" s="157">
        <v>0</v>
      </c>
      <c r="X89" s="157">
        <v>0</v>
      </c>
      <c r="Y89" s="157">
        <f t="shared" si="26"/>
        <v>0</v>
      </c>
      <c r="Z89" s="157">
        <v>0</v>
      </c>
      <c r="AA89" s="157">
        <v>0</v>
      </c>
      <c r="AB89" s="157">
        <v>0</v>
      </c>
      <c r="AC89" s="157">
        <v>0</v>
      </c>
      <c r="AD89" s="157">
        <v>0</v>
      </c>
      <c r="AE89" s="157">
        <f t="shared" si="27"/>
        <v>30000000</v>
      </c>
      <c r="AF89" s="157">
        <v>0</v>
      </c>
      <c r="AG89" s="157">
        <v>0</v>
      </c>
      <c r="AH89" s="157">
        <v>0</v>
      </c>
      <c r="AI89" s="157">
        <v>30000000</v>
      </c>
      <c r="AJ89" s="157">
        <f t="shared" si="28"/>
        <v>0</v>
      </c>
      <c r="AK89" s="157">
        <v>0</v>
      </c>
      <c r="AL89" s="157">
        <f t="shared" si="29"/>
        <v>0</v>
      </c>
      <c r="AM89" s="157">
        <v>0</v>
      </c>
      <c r="AN89" s="157">
        <v>0</v>
      </c>
      <c r="AO89" s="158">
        <v>0</v>
      </c>
    </row>
    <row r="90" spans="1:41" x14ac:dyDescent="0.25">
      <c r="A90" s="160" t="s">
        <v>140</v>
      </c>
      <c r="B90" s="161" t="s">
        <v>141</v>
      </c>
      <c r="C90" s="157">
        <f t="shared" si="24"/>
        <v>22174954</v>
      </c>
      <c r="D90" s="157">
        <f t="shared" si="25"/>
        <v>0</v>
      </c>
      <c r="E90" s="157">
        <v>0</v>
      </c>
      <c r="F90" s="157">
        <v>0</v>
      </c>
      <c r="G90" s="157">
        <v>0</v>
      </c>
      <c r="H90" s="157">
        <v>0</v>
      </c>
      <c r="I90" s="157">
        <v>0</v>
      </c>
      <c r="J90" s="157">
        <v>0</v>
      </c>
      <c r="K90" s="157">
        <v>0</v>
      </c>
      <c r="L90" s="157">
        <v>0</v>
      </c>
      <c r="M90" s="157">
        <v>0</v>
      </c>
      <c r="N90" s="157">
        <v>0</v>
      </c>
      <c r="O90" s="157">
        <v>0</v>
      </c>
      <c r="P90" s="157">
        <v>0</v>
      </c>
      <c r="Q90" s="157">
        <v>0</v>
      </c>
      <c r="R90" s="157">
        <v>0</v>
      </c>
      <c r="S90" s="157">
        <v>0</v>
      </c>
      <c r="T90" s="157">
        <v>0</v>
      </c>
      <c r="U90" s="157">
        <v>0</v>
      </c>
      <c r="V90" s="157">
        <v>0</v>
      </c>
      <c r="W90" s="157">
        <v>0</v>
      </c>
      <c r="X90" s="157">
        <v>0</v>
      </c>
      <c r="Y90" s="157">
        <f t="shared" si="26"/>
        <v>22174954</v>
      </c>
      <c r="Z90" s="157">
        <v>0</v>
      </c>
      <c r="AA90" s="157">
        <v>0</v>
      </c>
      <c r="AB90" s="157">
        <v>22174954</v>
      </c>
      <c r="AC90" s="157">
        <v>0</v>
      </c>
      <c r="AD90" s="157">
        <v>0</v>
      </c>
      <c r="AE90" s="157">
        <f t="shared" si="27"/>
        <v>0</v>
      </c>
      <c r="AF90" s="157">
        <v>0</v>
      </c>
      <c r="AG90" s="157">
        <v>0</v>
      </c>
      <c r="AH90" s="157">
        <v>0</v>
      </c>
      <c r="AI90" s="157">
        <v>0</v>
      </c>
      <c r="AJ90" s="157">
        <f t="shared" si="28"/>
        <v>0</v>
      </c>
      <c r="AK90" s="157">
        <v>0</v>
      </c>
      <c r="AL90" s="157">
        <f t="shared" si="29"/>
        <v>0</v>
      </c>
      <c r="AM90" s="157">
        <v>0</v>
      </c>
      <c r="AN90" s="157">
        <v>0</v>
      </c>
      <c r="AO90" s="158">
        <v>0</v>
      </c>
    </row>
    <row r="91" spans="1:41" x14ac:dyDescent="0.25">
      <c r="A91" s="160" t="s">
        <v>142</v>
      </c>
      <c r="B91" s="161" t="s">
        <v>143</v>
      </c>
      <c r="C91" s="157">
        <f t="shared" si="24"/>
        <v>406000000</v>
      </c>
      <c r="D91" s="157">
        <f t="shared" si="25"/>
        <v>0</v>
      </c>
      <c r="E91" s="157">
        <v>0</v>
      </c>
      <c r="F91" s="157">
        <v>0</v>
      </c>
      <c r="G91" s="157">
        <v>0</v>
      </c>
      <c r="H91" s="157">
        <v>0</v>
      </c>
      <c r="I91" s="157">
        <v>0</v>
      </c>
      <c r="J91" s="157">
        <v>0</v>
      </c>
      <c r="K91" s="157">
        <v>0</v>
      </c>
      <c r="L91" s="157">
        <v>0</v>
      </c>
      <c r="M91" s="157">
        <v>0</v>
      </c>
      <c r="N91" s="157">
        <v>0</v>
      </c>
      <c r="O91" s="157">
        <v>0</v>
      </c>
      <c r="P91" s="157">
        <v>0</v>
      </c>
      <c r="Q91" s="157">
        <v>0</v>
      </c>
      <c r="R91" s="157">
        <v>0</v>
      </c>
      <c r="S91" s="157">
        <v>0</v>
      </c>
      <c r="T91" s="157">
        <v>0</v>
      </c>
      <c r="U91" s="157">
        <v>0</v>
      </c>
      <c r="V91" s="157">
        <v>0</v>
      </c>
      <c r="W91" s="157">
        <v>0</v>
      </c>
      <c r="X91" s="157">
        <v>0</v>
      </c>
      <c r="Y91" s="157">
        <f t="shared" si="26"/>
        <v>406000000</v>
      </c>
      <c r="Z91" s="157">
        <v>406000000</v>
      </c>
      <c r="AA91" s="157">
        <v>0</v>
      </c>
      <c r="AB91" s="157">
        <v>0</v>
      </c>
      <c r="AC91" s="157">
        <v>0</v>
      </c>
      <c r="AD91" s="157">
        <v>0</v>
      </c>
      <c r="AE91" s="157">
        <f t="shared" si="27"/>
        <v>0</v>
      </c>
      <c r="AF91" s="157">
        <v>0</v>
      </c>
      <c r="AG91" s="157">
        <v>0</v>
      </c>
      <c r="AH91" s="157">
        <v>0</v>
      </c>
      <c r="AI91" s="157">
        <v>0</v>
      </c>
      <c r="AJ91" s="157">
        <f t="shared" si="28"/>
        <v>0</v>
      </c>
      <c r="AK91" s="157">
        <v>0</v>
      </c>
      <c r="AL91" s="157">
        <f t="shared" si="29"/>
        <v>0</v>
      </c>
      <c r="AM91" s="157">
        <v>0</v>
      </c>
      <c r="AN91" s="157">
        <v>0</v>
      </c>
      <c r="AO91" s="158">
        <v>0</v>
      </c>
    </row>
    <row r="92" spans="1:41" x14ac:dyDescent="0.25">
      <c r="A92" s="160"/>
      <c r="B92" s="161"/>
      <c r="C92" s="157"/>
      <c r="D92" s="157"/>
      <c r="E92" s="157"/>
      <c r="F92" s="157"/>
      <c r="G92" s="157"/>
      <c r="H92" s="157"/>
      <c r="I92" s="157"/>
      <c r="J92" s="157"/>
      <c r="K92" s="157"/>
      <c r="L92" s="157"/>
      <c r="M92" s="157"/>
      <c r="N92" s="157"/>
      <c r="O92" s="157"/>
      <c r="P92" s="157"/>
      <c r="Q92" s="157"/>
      <c r="R92" s="157"/>
      <c r="S92" s="157"/>
      <c r="T92" s="157"/>
      <c r="U92" s="157"/>
      <c r="V92" s="157"/>
      <c r="W92" s="157"/>
      <c r="X92" s="157"/>
      <c r="Y92" s="157"/>
      <c r="Z92" s="157"/>
      <c r="AA92" s="157"/>
      <c r="AB92" s="157"/>
      <c r="AC92" s="157"/>
      <c r="AD92" s="157"/>
      <c r="AE92" s="157"/>
      <c r="AF92" s="157"/>
      <c r="AG92" s="157"/>
      <c r="AH92" s="157"/>
      <c r="AI92" s="157"/>
      <c r="AJ92" s="157"/>
      <c r="AK92" s="157"/>
      <c r="AL92" s="157"/>
      <c r="AM92" s="157"/>
      <c r="AN92" s="157"/>
      <c r="AO92" s="158"/>
    </row>
    <row r="93" spans="1:41" x14ac:dyDescent="0.25">
      <c r="A93" s="176" t="s">
        <v>144</v>
      </c>
      <c r="B93" s="147" t="s">
        <v>145</v>
      </c>
      <c r="C93" s="148">
        <f>SUM(C94:C97)</f>
        <v>244428552</v>
      </c>
      <c r="D93" s="148">
        <f t="shared" ref="D93:AO93" si="30">SUM(D94:D97)</f>
        <v>67511114</v>
      </c>
      <c r="E93" s="148">
        <f t="shared" si="30"/>
        <v>0</v>
      </c>
      <c r="F93" s="148">
        <f t="shared" si="30"/>
        <v>0</v>
      </c>
      <c r="G93" s="148">
        <f t="shared" si="30"/>
        <v>0</v>
      </c>
      <c r="H93" s="148">
        <f t="shared" si="30"/>
        <v>0</v>
      </c>
      <c r="I93" s="148">
        <f t="shared" si="30"/>
        <v>0</v>
      </c>
      <c r="J93" s="148">
        <f t="shared" si="30"/>
        <v>0</v>
      </c>
      <c r="K93" s="148">
        <f t="shared" si="30"/>
        <v>0</v>
      </c>
      <c r="L93" s="148">
        <f t="shared" si="30"/>
        <v>0</v>
      </c>
      <c r="M93" s="148">
        <f t="shared" si="30"/>
        <v>0</v>
      </c>
      <c r="N93" s="148">
        <f t="shared" si="30"/>
        <v>18511114.000000007</v>
      </c>
      <c r="O93" s="148">
        <f t="shared" si="30"/>
        <v>0</v>
      </c>
      <c r="P93" s="148">
        <f t="shared" si="30"/>
        <v>40000000</v>
      </c>
      <c r="Q93" s="148">
        <f t="shared" si="30"/>
        <v>0</v>
      </c>
      <c r="R93" s="148">
        <f t="shared" si="30"/>
        <v>0</v>
      </c>
      <c r="S93" s="148">
        <f t="shared" si="30"/>
        <v>0</v>
      </c>
      <c r="T93" s="148">
        <f t="shared" si="30"/>
        <v>0</v>
      </c>
      <c r="U93" s="148">
        <f t="shared" si="30"/>
        <v>0</v>
      </c>
      <c r="V93" s="148">
        <f t="shared" si="30"/>
        <v>0</v>
      </c>
      <c r="W93" s="148">
        <f t="shared" si="30"/>
        <v>0</v>
      </c>
      <c r="X93" s="148">
        <f t="shared" si="30"/>
        <v>9000000</v>
      </c>
      <c r="Y93" s="148">
        <f t="shared" si="30"/>
        <v>49181250</v>
      </c>
      <c r="Z93" s="148">
        <f t="shared" si="30"/>
        <v>40000000</v>
      </c>
      <c r="AA93" s="148">
        <f t="shared" si="30"/>
        <v>0</v>
      </c>
      <c r="AB93" s="148">
        <f t="shared" si="30"/>
        <v>9181250</v>
      </c>
      <c r="AC93" s="148">
        <f t="shared" si="30"/>
        <v>0</v>
      </c>
      <c r="AD93" s="148">
        <f t="shared" si="30"/>
        <v>0</v>
      </c>
      <c r="AE93" s="148">
        <f t="shared" si="30"/>
        <v>136180</v>
      </c>
      <c r="AF93" s="148">
        <f t="shared" si="30"/>
        <v>0</v>
      </c>
      <c r="AG93" s="148">
        <f t="shared" si="30"/>
        <v>0</v>
      </c>
      <c r="AH93" s="148">
        <f t="shared" si="30"/>
        <v>0</v>
      </c>
      <c r="AI93" s="148">
        <f t="shared" si="30"/>
        <v>136180</v>
      </c>
      <c r="AJ93" s="148">
        <f t="shared" si="30"/>
        <v>127600008</v>
      </c>
      <c r="AK93" s="148">
        <f t="shared" si="30"/>
        <v>127600008</v>
      </c>
      <c r="AL93" s="148">
        <f t="shared" si="30"/>
        <v>0</v>
      </c>
      <c r="AM93" s="148">
        <f t="shared" si="30"/>
        <v>0</v>
      </c>
      <c r="AN93" s="148">
        <f t="shared" si="30"/>
        <v>0</v>
      </c>
      <c r="AO93" s="149">
        <f t="shared" si="30"/>
        <v>0</v>
      </c>
    </row>
    <row r="94" spans="1:41" x14ac:dyDescent="0.25">
      <c r="A94" s="160" t="s">
        <v>146</v>
      </c>
      <c r="B94" s="161" t="s">
        <v>147</v>
      </c>
      <c r="C94" s="157">
        <f t="shared" ref="C94:C101" si="31">SUM(D94+Y94+AE94+AJ94)</f>
        <v>195111122</v>
      </c>
      <c r="D94" s="157">
        <f t="shared" ref="D94:D101" si="32">SUM(E94:X94)</f>
        <v>67511114</v>
      </c>
      <c r="E94" s="157">
        <v>0</v>
      </c>
      <c r="F94" s="157">
        <v>0</v>
      </c>
      <c r="G94" s="157">
        <v>0</v>
      </c>
      <c r="H94" s="157">
        <v>0</v>
      </c>
      <c r="I94" s="157">
        <v>0</v>
      </c>
      <c r="J94" s="157">
        <v>0</v>
      </c>
      <c r="K94" s="157">
        <v>0</v>
      </c>
      <c r="L94" s="157">
        <v>0</v>
      </c>
      <c r="M94" s="157">
        <v>0</v>
      </c>
      <c r="N94" s="157">
        <f>66111122-[10]Hoja2!$M$19</f>
        <v>18511114.000000007</v>
      </c>
      <c r="O94" s="157">
        <v>0</v>
      </c>
      <c r="P94" s="157">
        <v>40000000</v>
      </c>
      <c r="Q94" s="157">
        <v>0</v>
      </c>
      <c r="R94" s="157">
        <v>0</v>
      </c>
      <c r="S94" s="157">
        <v>0</v>
      </c>
      <c r="T94" s="157">
        <v>0</v>
      </c>
      <c r="U94" s="157">
        <v>0</v>
      </c>
      <c r="V94" s="157">
        <v>0</v>
      </c>
      <c r="W94" s="157">
        <v>0</v>
      </c>
      <c r="X94" s="157">
        <v>9000000</v>
      </c>
      <c r="Y94" s="157">
        <f t="shared" ref="Y94:Y101" si="33">SUM(Z94:AD94)</f>
        <v>0</v>
      </c>
      <c r="Z94" s="157">
        <v>0</v>
      </c>
      <c r="AA94" s="157">
        <v>0</v>
      </c>
      <c r="AB94" s="157">
        <v>0</v>
      </c>
      <c r="AC94" s="157">
        <v>0</v>
      </c>
      <c r="AD94" s="157">
        <v>0</v>
      </c>
      <c r="AE94" s="157">
        <f t="shared" ref="AE94:AE101" si="34">SUM(AF94:AI94)</f>
        <v>0</v>
      </c>
      <c r="AF94" s="157">
        <v>0</v>
      </c>
      <c r="AG94" s="157">
        <v>0</v>
      </c>
      <c r="AH94" s="157">
        <v>0</v>
      </c>
      <c r="AI94" s="157">
        <v>0</v>
      </c>
      <c r="AJ94" s="157">
        <f t="shared" ref="AJ94:AJ101" si="35">SUM(AK94:AL94)</f>
        <v>127600008</v>
      </c>
      <c r="AK94" s="157">
        <f>80000000+[10]Hoja2!$M$19</f>
        <v>127600008</v>
      </c>
      <c r="AL94" s="157">
        <f t="shared" ref="AL94:AL101" si="36">SUM(AM94:AO94)</f>
        <v>0</v>
      </c>
      <c r="AM94" s="157">
        <v>0</v>
      </c>
      <c r="AN94" s="157">
        <v>0</v>
      </c>
      <c r="AO94" s="158">
        <v>0</v>
      </c>
    </row>
    <row r="95" spans="1:41" x14ac:dyDescent="0.25">
      <c r="A95" s="160" t="s">
        <v>148</v>
      </c>
      <c r="B95" s="161" t="s">
        <v>149</v>
      </c>
      <c r="C95" s="157">
        <f t="shared" si="31"/>
        <v>40000000</v>
      </c>
      <c r="D95" s="157">
        <f t="shared" si="32"/>
        <v>0</v>
      </c>
      <c r="E95" s="157">
        <v>0</v>
      </c>
      <c r="F95" s="157">
        <v>0</v>
      </c>
      <c r="G95" s="157">
        <v>0</v>
      </c>
      <c r="H95" s="157">
        <v>0</v>
      </c>
      <c r="I95" s="157">
        <v>0</v>
      </c>
      <c r="J95" s="157">
        <v>0</v>
      </c>
      <c r="K95" s="157">
        <v>0</v>
      </c>
      <c r="L95" s="157">
        <v>0</v>
      </c>
      <c r="M95" s="157">
        <v>0</v>
      </c>
      <c r="N95" s="157">
        <v>0</v>
      </c>
      <c r="O95" s="157">
        <v>0</v>
      </c>
      <c r="P95" s="157">
        <v>0</v>
      </c>
      <c r="Q95" s="157">
        <v>0</v>
      </c>
      <c r="R95" s="157">
        <v>0</v>
      </c>
      <c r="S95" s="157">
        <v>0</v>
      </c>
      <c r="T95" s="157">
        <v>0</v>
      </c>
      <c r="U95" s="157">
        <v>0</v>
      </c>
      <c r="V95" s="157">
        <v>0</v>
      </c>
      <c r="W95" s="157">
        <v>0</v>
      </c>
      <c r="X95" s="157">
        <v>0</v>
      </c>
      <c r="Y95" s="157">
        <f t="shared" si="33"/>
        <v>40000000</v>
      </c>
      <c r="Z95" s="157">
        <v>40000000</v>
      </c>
      <c r="AA95" s="157">
        <v>0</v>
      </c>
      <c r="AB95" s="157">
        <v>0</v>
      </c>
      <c r="AC95" s="157">
        <v>0</v>
      </c>
      <c r="AD95" s="157">
        <v>0</v>
      </c>
      <c r="AE95" s="157">
        <f t="shared" si="34"/>
        <v>0</v>
      </c>
      <c r="AF95" s="157">
        <v>0</v>
      </c>
      <c r="AG95" s="157">
        <v>0</v>
      </c>
      <c r="AH95" s="157">
        <v>0</v>
      </c>
      <c r="AI95" s="157">
        <v>0</v>
      </c>
      <c r="AJ95" s="157">
        <f t="shared" si="35"/>
        <v>0</v>
      </c>
      <c r="AK95" s="157">
        <v>0</v>
      </c>
      <c r="AL95" s="157">
        <f t="shared" si="36"/>
        <v>0</v>
      </c>
      <c r="AM95" s="157">
        <v>0</v>
      </c>
      <c r="AN95" s="157">
        <v>0</v>
      </c>
      <c r="AO95" s="158">
        <v>0</v>
      </c>
    </row>
    <row r="96" spans="1:41" x14ac:dyDescent="0.25">
      <c r="A96" s="160" t="s">
        <v>150</v>
      </c>
      <c r="B96" s="161" t="s">
        <v>151</v>
      </c>
      <c r="C96" s="157">
        <f t="shared" si="31"/>
        <v>136180</v>
      </c>
      <c r="D96" s="157">
        <f t="shared" si="32"/>
        <v>0</v>
      </c>
      <c r="E96" s="157">
        <v>0</v>
      </c>
      <c r="F96" s="157">
        <v>0</v>
      </c>
      <c r="G96" s="157">
        <v>0</v>
      </c>
      <c r="H96" s="157">
        <v>0</v>
      </c>
      <c r="I96" s="157">
        <v>0</v>
      </c>
      <c r="J96" s="157">
        <v>0</v>
      </c>
      <c r="K96" s="157">
        <v>0</v>
      </c>
      <c r="L96" s="157">
        <v>0</v>
      </c>
      <c r="M96" s="157">
        <v>0</v>
      </c>
      <c r="N96" s="157">
        <v>0</v>
      </c>
      <c r="O96" s="157">
        <v>0</v>
      </c>
      <c r="P96" s="157">
        <v>0</v>
      </c>
      <c r="Q96" s="157">
        <v>0</v>
      </c>
      <c r="R96" s="157">
        <v>0</v>
      </c>
      <c r="S96" s="157">
        <v>0</v>
      </c>
      <c r="T96" s="157">
        <v>0</v>
      </c>
      <c r="U96" s="157">
        <v>0</v>
      </c>
      <c r="V96" s="157">
        <v>0</v>
      </c>
      <c r="W96" s="157">
        <v>0</v>
      </c>
      <c r="X96" s="157">
        <v>0</v>
      </c>
      <c r="Y96" s="157">
        <f t="shared" si="33"/>
        <v>0</v>
      </c>
      <c r="Z96" s="157">
        <v>0</v>
      </c>
      <c r="AA96" s="157">
        <v>0</v>
      </c>
      <c r="AB96" s="157">
        <v>0</v>
      </c>
      <c r="AC96" s="157">
        <v>0</v>
      </c>
      <c r="AD96" s="157">
        <v>0</v>
      </c>
      <c r="AE96" s="157">
        <f t="shared" si="34"/>
        <v>136180</v>
      </c>
      <c r="AF96" s="157">
        <v>0</v>
      </c>
      <c r="AG96" s="157">
        <v>0</v>
      </c>
      <c r="AH96" s="157">
        <v>0</v>
      </c>
      <c r="AI96" s="157">
        <v>136180</v>
      </c>
      <c r="AJ96" s="157">
        <f t="shared" si="35"/>
        <v>0</v>
      </c>
      <c r="AK96" s="157">
        <v>0</v>
      </c>
      <c r="AL96" s="157">
        <f t="shared" si="36"/>
        <v>0</v>
      </c>
      <c r="AM96" s="157">
        <v>0</v>
      </c>
      <c r="AN96" s="157">
        <v>0</v>
      </c>
      <c r="AO96" s="158">
        <v>0</v>
      </c>
    </row>
    <row r="97" spans="1:41" x14ac:dyDescent="0.25">
      <c r="A97" s="160" t="s">
        <v>152</v>
      </c>
      <c r="B97" s="161" t="s">
        <v>153</v>
      </c>
      <c r="C97" s="157">
        <f t="shared" si="31"/>
        <v>9181250</v>
      </c>
      <c r="D97" s="157">
        <f t="shared" si="32"/>
        <v>0</v>
      </c>
      <c r="E97" s="157">
        <v>0</v>
      </c>
      <c r="F97" s="157">
        <v>0</v>
      </c>
      <c r="G97" s="157">
        <v>0</v>
      </c>
      <c r="H97" s="157">
        <v>0</v>
      </c>
      <c r="I97" s="157">
        <v>0</v>
      </c>
      <c r="J97" s="157">
        <v>0</v>
      </c>
      <c r="K97" s="157">
        <v>0</v>
      </c>
      <c r="L97" s="157">
        <v>0</v>
      </c>
      <c r="M97" s="157">
        <v>0</v>
      </c>
      <c r="N97" s="157">
        <v>0</v>
      </c>
      <c r="O97" s="157">
        <v>0</v>
      </c>
      <c r="P97" s="157">
        <v>0</v>
      </c>
      <c r="Q97" s="157">
        <v>0</v>
      </c>
      <c r="R97" s="157">
        <v>0</v>
      </c>
      <c r="S97" s="157">
        <v>0</v>
      </c>
      <c r="T97" s="157">
        <v>0</v>
      </c>
      <c r="U97" s="157">
        <v>0</v>
      </c>
      <c r="V97" s="157">
        <v>0</v>
      </c>
      <c r="W97" s="157">
        <v>0</v>
      </c>
      <c r="X97" s="157">
        <v>0</v>
      </c>
      <c r="Y97" s="157">
        <f t="shared" si="33"/>
        <v>9181250</v>
      </c>
      <c r="Z97" s="157">
        <v>0</v>
      </c>
      <c r="AA97" s="157">
        <v>0</v>
      </c>
      <c r="AB97" s="157">
        <v>9181250</v>
      </c>
      <c r="AC97" s="157">
        <v>0</v>
      </c>
      <c r="AD97" s="157">
        <v>0</v>
      </c>
      <c r="AE97" s="157">
        <f t="shared" si="34"/>
        <v>0</v>
      </c>
      <c r="AF97" s="157">
        <v>0</v>
      </c>
      <c r="AG97" s="157">
        <v>0</v>
      </c>
      <c r="AH97" s="157">
        <v>0</v>
      </c>
      <c r="AI97" s="157">
        <v>0</v>
      </c>
      <c r="AJ97" s="157">
        <f t="shared" si="35"/>
        <v>0</v>
      </c>
      <c r="AK97" s="157">
        <v>0</v>
      </c>
      <c r="AL97" s="157">
        <f t="shared" si="36"/>
        <v>0</v>
      </c>
      <c r="AM97" s="157">
        <v>0</v>
      </c>
      <c r="AN97" s="157">
        <v>0</v>
      </c>
      <c r="AO97" s="158">
        <v>0</v>
      </c>
    </row>
    <row r="98" spans="1:41" x14ac:dyDescent="0.25">
      <c r="A98" s="160"/>
      <c r="B98" s="161"/>
      <c r="C98" s="157"/>
      <c r="D98" s="157"/>
      <c r="E98" s="157"/>
      <c r="F98" s="157"/>
      <c r="G98" s="157"/>
      <c r="H98" s="157"/>
      <c r="I98" s="157"/>
      <c r="J98" s="157"/>
      <c r="K98" s="157"/>
      <c r="L98" s="157"/>
      <c r="M98" s="157"/>
      <c r="N98" s="157"/>
      <c r="O98" s="157"/>
      <c r="P98" s="157"/>
      <c r="Q98" s="157"/>
      <c r="R98" s="157"/>
      <c r="S98" s="157"/>
      <c r="T98" s="157"/>
      <c r="U98" s="157"/>
      <c r="V98" s="157"/>
      <c r="W98" s="157"/>
      <c r="X98" s="157"/>
      <c r="Y98" s="157"/>
      <c r="Z98" s="157"/>
      <c r="AA98" s="157"/>
      <c r="AB98" s="157"/>
      <c r="AC98" s="157"/>
      <c r="AD98" s="157"/>
      <c r="AE98" s="157"/>
      <c r="AF98" s="157"/>
      <c r="AG98" s="157"/>
      <c r="AH98" s="157"/>
      <c r="AI98" s="157"/>
      <c r="AJ98" s="157"/>
      <c r="AK98" s="157"/>
      <c r="AL98" s="157"/>
      <c r="AM98" s="157"/>
      <c r="AN98" s="157"/>
      <c r="AO98" s="158"/>
    </row>
    <row r="99" spans="1:41" x14ac:dyDescent="0.25">
      <c r="A99" s="160" t="s">
        <v>154</v>
      </c>
      <c r="B99" s="161" t="s">
        <v>155</v>
      </c>
      <c r="C99" s="157">
        <f t="shared" si="31"/>
        <v>48425210</v>
      </c>
      <c r="D99" s="157">
        <f t="shared" si="32"/>
        <v>36318907</v>
      </c>
      <c r="E99" s="157">
        <v>0</v>
      </c>
      <c r="F99" s="157">
        <v>0</v>
      </c>
      <c r="G99" s="157">
        <v>0</v>
      </c>
      <c r="H99" s="157">
        <v>0</v>
      </c>
      <c r="I99" s="157">
        <f>48425210-[10]Hoja2!$M$20</f>
        <v>36318907</v>
      </c>
      <c r="J99" s="157">
        <v>0</v>
      </c>
      <c r="K99" s="157">
        <v>0</v>
      </c>
      <c r="L99" s="157">
        <v>0</v>
      </c>
      <c r="M99" s="157">
        <v>0</v>
      </c>
      <c r="N99" s="157">
        <v>0</v>
      </c>
      <c r="O99" s="157">
        <v>0</v>
      </c>
      <c r="P99" s="157">
        <v>0</v>
      </c>
      <c r="Q99" s="157">
        <v>0</v>
      </c>
      <c r="R99" s="157">
        <v>0</v>
      </c>
      <c r="S99" s="157">
        <v>0</v>
      </c>
      <c r="T99" s="157">
        <v>0</v>
      </c>
      <c r="U99" s="157">
        <v>0</v>
      </c>
      <c r="V99" s="157">
        <v>0</v>
      </c>
      <c r="W99" s="157">
        <v>0</v>
      </c>
      <c r="X99" s="157">
        <v>0</v>
      </c>
      <c r="Y99" s="157">
        <f t="shared" si="33"/>
        <v>0</v>
      </c>
      <c r="Z99" s="157">
        <v>0</v>
      </c>
      <c r="AA99" s="157">
        <v>0</v>
      </c>
      <c r="AB99" s="157">
        <v>0</v>
      </c>
      <c r="AC99" s="157">
        <v>0</v>
      </c>
      <c r="AD99" s="157">
        <v>0</v>
      </c>
      <c r="AE99" s="157">
        <f t="shared" si="34"/>
        <v>0</v>
      </c>
      <c r="AF99" s="157">
        <v>0</v>
      </c>
      <c r="AG99" s="157">
        <v>0</v>
      </c>
      <c r="AH99" s="157">
        <v>0</v>
      </c>
      <c r="AI99" s="157">
        <v>0</v>
      </c>
      <c r="AJ99" s="157">
        <f t="shared" si="35"/>
        <v>12106303</v>
      </c>
      <c r="AK99" s="157">
        <f>+[10]Hoja2!$M$20</f>
        <v>12106303</v>
      </c>
      <c r="AL99" s="157">
        <f t="shared" si="36"/>
        <v>0</v>
      </c>
      <c r="AM99" s="157">
        <v>0</v>
      </c>
      <c r="AN99" s="157">
        <v>0</v>
      </c>
      <c r="AO99" s="158">
        <v>0</v>
      </c>
    </row>
    <row r="100" spans="1:41" x14ac:dyDescent="0.25">
      <c r="A100" s="160" t="s">
        <v>156</v>
      </c>
      <c r="B100" s="161" t="s">
        <v>157</v>
      </c>
      <c r="C100" s="157">
        <f t="shared" si="31"/>
        <v>464010000</v>
      </c>
      <c r="D100" s="157">
        <f t="shared" si="32"/>
        <v>383951250</v>
      </c>
      <c r="E100" s="157">
        <v>0</v>
      </c>
      <c r="F100" s="157">
        <v>0</v>
      </c>
      <c r="G100" s="157">
        <v>0</v>
      </c>
      <c r="H100" s="157">
        <v>0</v>
      </c>
      <c r="I100" s="157">
        <v>0</v>
      </c>
      <c r="J100" s="157">
        <v>0</v>
      </c>
      <c r="K100" s="157">
        <v>0</v>
      </c>
      <c r="L100" s="157">
        <v>0</v>
      </c>
      <c r="M100" s="157">
        <v>0</v>
      </c>
      <c r="N100" s="157">
        <v>0</v>
      </c>
      <c r="O100" s="157">
        <f>1032600000-400000000-[10]Hoja2!$M$21-200000000</f>
        <v>374450000</v>
      </c>
      <c r="P100" s="157">
        <v>0</v>
      </c>
      <c r="Q100" s="157">
        <v>0</v>
      </c>
      <c r="R100" s="157">
        <v>1000000</v>
      </c>
      <c r="S100" s="157">
        <v>0</v>
      </c>
      <c r="T100" s="157">
        <v>2500000</v>
      </c>
      <c r="U100" s="157">
        <f>5335000-[10]Hoja2!$M$22</f>
        <v>4001250</v>
      </c>
      <c r="V100" s="157">
        <v>0</v>
      </c>
      <c r="W100" s="157">
        <v>1000000</v>
      </c>
      <c r="X100" s="157">
        <v>1000000</v>
      </c>
      <c r="Y100" s="157">
        <f t="shared" si="33"/>
        <v>575000</v>
      </c>
      <c r="Z100" s="157">
        <v>75000</v>
      </c>
      <c r="AA100" s="157">
        <v>500000</v>
      </c>
      <c r="AB100" s="157">
        <v>0</v>
      </c>
      <c r="AC100" s="157">
        <v>0</v>
      </c>
      <c r="AD100" s="157">
        <v>0</v>
      </c>
      <c r="AE100" s="157">
        <f t="shared" si="34"/>
        <v>10000000</v>
      </c>
      <c r="AF100" s="157">
        <v>0</v>
      </c>
      <c r="AG100" s="157">
        <v>0</v>
      </c>
      <c r="AH100" s="157">
        <v>0</v>
      </c>
      <c r="AI100" s="157">
        <f>5000000+5000000</f>
        <v>10000000</v>
      </c>
      <c r="AJ100" s="157">
        <f t="shared" si="35"/>
        <v>69483750</v>
      </c>
      <c r="AK100" s="157">
        <f>10000000+[10]Hoja2!$M$21+[10]Hoja2!$M$22</f>
        <v>69483750</v>
      </c>
      <c r="AL100" s="157">
        <f t="shared" si="36"/>
        <v>0</v>
      </c>
      <c r="AM100" s="157">
        <v>0</v>
      </c>
      <c r="AN100" s="157">
        <v>0</v>
      </c>
      <c r="AO100" s="158">
        <v>0</v>
      </c>
    </row>
    <row r="101" spans="1:41" x14ac:dyDescent="0.25">
      <c r="A101" s="160" t="s">
        <v>158</v>
      </c>
      <c r="B101" s="161" t="s">
        <v>159</v>
      </c>
      <c r="C101" s="157">
        <f t="shared" si="31"/>
        <v>148310000</v>
      </c>
      <c r="D101" s="157">
        <f t="shared" si="32"/>
        <v>36757500</v>
      </c>
      <c r="E101" s="157">
        <v>0</v>
      </c>
      <c r="F101" s="157">
        <v>0</v>
      </c>
      <c r="G101" s="157">
        <v>0</v>
      </c>
      <c r="H101" s="157">
        <v>100000</v>
      </c>
      <c r="I101" s="157">
        <v>0</v>
      </c>
      <c r="J101" s="157">
        <v>0</v>
      </c>
      <c r="K101" s="157">
        <v>0</v>
      </c>
      <c r="L101" s="157">
        <v>0</v>
      </c>
      <c r="M101" s="157">
        <v>0</v>
      </c>
      <c r="N101" s="157">
        <v>0</v>
      </c>
      <c r="O101" s="157">
        <f>6210000-[10]Hoja2!$M$23</f>
        <v>4657500</v>
      </c>
      <c r="P101" s="157">
        <v>0</v>
      </c>
      <c r="Q101" s="157">
        <v>0</v>
      </c>
      <c r="R101" s="157">
        <v>0</v>
      </c>
      <c r="S101" s="157">
        <v>0</v>
      </c>
      <c r="T101" s="157">
        <v>0</v>
      </c>
      <c r="U101" s="157">
        <v>0</v>
      </c>
      <c r="V101" s="157">
        <v>0</v>
      </c>
      <c r="W101" s="157">
        <v>0</v>
      </c>
      <c r="X101" s="157">
        <v>32000000</v>
      </c>
      <c r="Y101" s="157">
        <f t="shared" si="33"/>
        <v>30000000</v>
      </c>
      <c r="Z101" s="157">
        <v>0</v>
      </c>
      <c r="AA101" s="157">
        <v>30000000</v>
      </c>
      <c r="AB101" s="157">
        <v>0</v>
      </c>
      <c r="AC101" s="157">
        <v>0</v>
      </c>
      <c r="AD101" s="157">
        <v>0</v>
      </c>
      <c r="AE101" s="157">
        <f t="shared" si="34"/>
        <v>0</v>
      </c>
      <c r="AF101" s="157">
        <v>0</v>
      </c>
      <c r="AG101" s="157">
        <v>0</v>
      </c>
      <c r="AH101" s="157">
        <v>0</v>
      </c>
      <c r="AI101" s="157">
        <v>0</v>
      </c>
      <c r="AJ101" s="157">
        <f t="shared" si="35"/>
        <v>81552500</v>
      </c>
      <c r="AK101" s="157">
        <f>80000000+[10]Hoja2!$M$23</f>
        <v>81552500</v>
      </c>
      <c r="AL101" s="157">
        <f t="shared" si="36"/>
        <v>0</v>
      </c>
      <c r="AM101" s="157">
        <v>0</v>
      </c>
      <c r="AN101" s="157">
        <v>0</v>
      </c>
      <c r="AO101" s="158">
        <v>0</v>
      </c>
    </row>
    <row r="102" spans="1:41" x14ac:dyDescent="0.25">
      <c r="A102" s="160"/>
      <c r="B102" s="161"/>
      <c r="C102" s="157"/>
      <c r="D102" s="157"/>
      <c r="E102" s="157"/>
      <c r="F102" s="157"/>
      <c r="G102" s="157"/>
      <c r="H102" s="157"/>
      <c r="I102" s="157"/>
      <c r="J102" s="157"/>
      <c r="K102" s="157"/>
      <c r="L102" s="157"/>
      <c r="M102" s="157"/>
      <c r="N102" s="157"/>
      <c r="O102" s="157"/>
      <c r="P102" s="157"/>
      <c r="Q102" s="157"/>
      <c r="R102" s="157"/>
      <c r="S102" s="157"/>
      <c r="T102" s="157"/>
      <c r="U102" s="157"/>
      <c r="V102" s="157"/>
      <c r="W102" s="157"/>
      <c r="X102" s="157"/>
      <c r="Y102" s="157"/>
      <c r="Z102" s="157"/>
      <c r="AA102" s="157"/>
      <c r="AB102" s="157"/>
      <c r="AC102" s="157"/>
      <c r="AD102" s="157"/>
      <c r="AE102" s="157"/>
      <c r="AF102" s="157"/>
      <c r="AG102" s="157"/>
      <c r="AH102" s="157"/>
      <c r="AI102" s="157"/>
      <c r="AJ102" s="157"/>
      <c r="AK102" s="157"/>
      <c r="AL102" s="157"/>
      <c r="AM102" s="157"/>
      <c r="AN102" s="157"/>
      <c r="AO102" s="158"/>
    </row>
    <row r="103" spans="1:41" x14ac:dyDescent="0.25">
      <c r="A103" s="176" t="s">
        <v>160</v>
      </c>
      <c r="B103" s="162" t="s">
        <v>161</v>
      </c>
      <c r="C103" s="148">
        <f>SUM(C104:C105)</f>
        <v>38420000</v>
      </c>
      <c r="D103" s="148">
        <f t="shared" ref="D103:AO103" si="37">SUM(D104:D105)</f>
        <v>18245000</v>
      </c>
      <c r="E103" s="148">
        <f t="shared" si="37"/>
        <v>0</v>
      </c>
      <c r="F103" s="148">
        <f t="shared" si="37"/>
        <v>75000</v>
      </c>
      <c r="G103" s="148">
        <f t="shared" si="37"/>
        <v>1500000</v>
      </c>
      <c r="H103" s="148">
        <f t="shared" si="37"/>
        <v>0</v>
      </c>
      <c r="I103" s="148">
        <f t="shared" si="37"/>
        <v>0</v>
      </c>
      <c r="J103" s="148">
        <f t="shared" si="37"/>
        <v>0</v>
      </c>
      <c r="K103" s="148">
        <f t="shared" si="37"/>
        <v>0</v>
      </c>
      <c r="L103" s="148">
        <f t="shared" si="37"/>
        <v>0</v>
      </c>
      <c r="M103" s="148">
        <f t="shared" si="37"/>
        <v>300000</v>
      </c>
      <c r="N103" s="148">
        <f t="shared" si="37"/>
        <v>0</v>
      </c>
      <c r="O103" s="148">
        <f t="shared" si="37"/>
        <v>15970000</v>
      </c>
      <c r="P103" s="148">
        <f t="shared" si="37"/>
        <v>0</v>
      </c>
      <c r="Q103" s="148">
        <f t="shared" si="37"/>
        <v>0</v>
      </c>
      <c r="R103" s="148">
        <f t="shared" si="37"/>
        <v>0</v>
      </c>
      <c r="S103" s="148">
        <f t="shared" si="37"/>
        <v>0</v>
      </c>
      <c r="T103" s="148">
        <f t="shared" si="37"/>
        <v>0</v>
      </c>
      <c r="U103" s="148">
        <f t="shared" si="37"/>
        <v>0</v>
      </c>
      <c r="V103" s="148">
        <f t="shared" si="37"/>
        <v>0</v>
      </c>
      <c r="W103" s="148">
        <f t="shared" si="37"/>
        <v>0</v>
      </c>
      <c r="X103" s="148">
        <f t="shared" si="37"/>
        <v>400000</v>
      </c>
      <c r="Y103" s="148">
        <f t="shared" si="37"/>
        <v>7000000</v>
      </c>
      <c r="Z103" s="148">
        <f t="shared" si="37"/>
        <v>750000</v>
      </c>
      <c r="AA103" s="148">
        <f t="shared" si="37"/>
        <v>100000</v>
      </c>
      <c r="AB103" s="148">
        <f t="shared" si="37"/>
        <v>5100000</v>
      </c>
      <c r="AC103" s="148">
        <f t="shared" si="37"/>
        <v>750000</v>
      </c>
      <c r="AD103" s="148">
        <f t="shared" si="37"/>
        <v>300000</v>
      </c>
      <c r="AE103" s="148">
        <f t="shared" si="37"/>
        <v>10475000</v>
      </c>
      <c r="AF103" s="148">
        <f t="shared" si="37"/>
        <v>400000</v>
      </c>
      <c r="AG103" s="148">
        <f t="shared" si="37"/>
        <v>3000000</v>
      </c>
      <c r="AH103" s="148">
        <f t="shared" si="37"/>
        <v>75000</v>
      </c>
      <c r="AI103" s="148">
        <f t="shared" si="37"/>
        <v>7000000</v>
      </c>
      <c r="AJ103" s="148">
        <f t="shared" si="37"/>
        <v>2700000</v>
      </c>
      <c r="AK103" s="148">
        <f t="shared" si="37"/>
        <v>2650000</v>
      </c>
      <c r="AL103" s="148">
        <f t="shared" si="37"/>
        <v>50000</v>
      </c>
      <c r="AM103" s="148">
        <f t="shared" si="37"/>
        <v>50000</v>
      </c>
      <c r="AN103" s="148">
        <f t="shared" si="37"/>
        <v>0</v>
      </c>
      <c r="AO103" s="149">
        <f t="shared" si="37"/>
        <v>0</v>
      </c>
    </row>
    <row r="104" spans="1:41" x14ac:dyDescent="0.25">
      <c r="A104" s="167" t="s">
        <v>162</v>
      </c>
      <c r="B104" s="156" t="s">
        <v>163</v>
      </c>
      <c r="C104" s="157">
        <f>SUM(D104+Y104+AE104+AJ104)</f>
        <v>1700000</v>
      </c>
      <c r="D104" s="157">
        <f>SUM(E104:X104)</f>
        <v>1450000</v>
      </c>
      <c r="E104" s="157">
        <v>0</v>
      </c>
      <c r="F104" s="157">
        <v>0</v>
      </c>
      <c r="G104" s="157">
        <v>0</v>
      </c>
      <c r="H104" s="157">
        <v>0</v>
      </c>
      <c r="I104" s="157">
        <v>0</v>
      </c>
      <c r="J104" s="157">
        <v>0</v>
      </c>
      <c r="K104" s="157">
        <v>0</v>
      </c>
      <c r="L104" s="157">
        <v>0</v>
      </c>
      <c r="M104" s="157">
        <v>0</v>
      </c>
      <c r="N104" s="157">
        <v>0</v>
      </c>
      <c r="O104" s="157">
        <v>1450000</v>
      </c>
      <c r="P104" s="157">
        <v>0</v>
      </c>
      <c r="Q104" s="157">
        <v>0</v>
      </c>
      <c r="R104" s="157">
        <v>0</v>
      </c>
      <c r="S104" s="157">
        <v>0</v>
      </c>
      <c r="T104" s="157">
        <v>0</v>
      </c>
      <c r="U104" s="157">
        <v>0</v>
      </c>
      <c r="V104" s="157">
        <v>0</v>
      </c>
      <c r="W104" s="157">
        <v>0</v>
      </c>
      <c r="X104" s="157">
        <v>0</v>
      </c>
      <c r="Y104" s="157">
        <f>SUM(Z104:AD104)</f>
        <v>100000</v>
      </c>
      <c r="Z104" s="157">
        <v>0</v>
      </c>
      <c r="AA104" s="157">
        <v>0</v>
      </c>
      <c r="AB104" s="157">
        <v>100000</v>
      </c>
      <c r="AC104" s="157">
        <v>0</v>
      </c>
      <c r="AD104" s="157">
        <v>0</v>
      </c>
      <c r="AE104" s="157">
        <f>SUM(AF104:AI104)</f>
        <v>0</v>
      </c>
      <c r="AF104" s="157">
        <v>0</v>
      </c>
      <c r="AG104" s="157">
        <v>0</v>
      </c>
      <c r="AH104" s="157">
        <v>0</v>
      </c>
      <c r="AI104" s="157">
        <v>0</v>
      </c>
      <c r="AJ104" s="157">
        <f>SUM(AK104:AL104)</f>
        <v>150000</v>
      </c>
      <c r="AK104" s="157">
        <v>150000</v>
      </c>
      <c r="AL104" s="157">
        <f>SUM(AM104:AO104)</f>
        <v>0</v>
      </c>
      <c r="AM104" s="157">
        <v>0</v>
      </c>
      <c r="AN104" s="157">
        <v>0</v>
      </c>
      <c r="AO104" s="158">
        <v>0</v>
      </c>
    </row>
    <row r="105" spans="1:41" x14ac:dyDescent="0.25">
      <c r="A105" s="167" t="s">
        <v>164</v>
      </c>
      <c r="B105" s="156" t="s">
        <v>165</v>
      </c>
      <c r="C105" s="157">
        <f>SUM(D105+Y105+AE105+AJ105)</f>
        <v>36720000</v>
      </c>
      <c r="D105" s="157">
        <f>SUM(E105:X105)</f>
        <v>16795000</v>
      </c>
      <c r="E105" s="157">
        <v>0</v>
      </c>
      <c r="F105" s="157">
        <v>75000</v>
      </c>
      <c r="G105" s="157">
        <v>1500000</v>
      </c>
      <c r="H105" s="157">
        <v>0</v>
      </c>
      <c r="I105" s="157">
        <v>0</v>
      </c>
      <c r="J105" s="157">
        <v>0</v>
      </c>
      <c r="K105" s="157">
        <v>0</v>
      </c>
      <c r="L105" s="157">
        <v>0</v>
      </c>
      <c r="M105" s="157">
        <v>300000</v>
      </c>
      <c r="N105" s="157">
        <v>0</v>
      </c>
      <c r="O105" s="157">
        <v>14520000</v>
      </c>
      <c r="P105" s="157">
        <v>0</v>
      </c>
      <c r="Q105" s="157">
        <v>0</v>
      </c>
      <c r="R105" s="157">
        <v>0</v>
      </c>
      <c r="S105" s="157">
        <v>0</v>
      </c>
      <c r="T105" s="157">
        <v>0</v>
      </c>
      <c r="U105" s="157">
        <v>0</v>
      </c>
      <c r="V105" s="157">
        <v>0</v>
      </c>
      <c r="W105" s="157">
        <v>0</v>
      </c>
      <c r="X105" s="157">
        <v>400000</v>
      </c>
      <c r="Y105" s="157">
        <f>SUM(Z105:AD105)</f>
        <v>6900000</v>
      </c>
      <c r="Z105" s="157">
        <v>750000</v>
      </c>
      <c r="AA105" s="157">
        <v>100000</v>
      </c>
      <c r="AB105" s="157">
        <v>5000000</v>
      </c>
      <c r="AC105" s="157">
        <v>750000</v>
      </c>
      <c r="AD105" s="157">
        <v>300000</v>
      </c>
      <c r="AE105" s="157">
        <f>SUM(AF105:AI105)</f>
        <v>10475000</v>
      </c>
      <c r="AF105" s="157">
        <v>400000</v>
      </c>
      <c r="AG105" s="157">
        <v>3000000</v>
      </c>
      <c r="AH105" s="157">
        <v>75000</v>
      </c>
      <c r="AI105" s="157">
        <v>7000000</v>
      </c>
      <c r="AJ105" s="157">
        <f>SUM(AK105:AL105)</f>
        <v>2550000</v>
      </c>
      <c r="AK105" s="157">
        <v>2500000</v>
      </c>
      <c r="AL105" s="157">
        <f>SUM(AM105:AO105)</f>
        <v>50000</v>
      </c>
      <c r="AM105" s="157">
        <v>50000</v>
      </c>
      <c r="AN105" s="157">
        <v>0</v>
      </c>
      <c r="AO105" s="158">
        <v>0</v>
      </c>
    </row>
    <row r="106" spans="1:41" x14ac:dyDescent="0.25">
      <c r="A106" s="160"/>
      <c r="B106" s="161"/>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8"/>
    </row>
    <row r="107" spans="1:41" x14ac:dyDescent="0.25">
      <c r="A107" s="176" t="s">
        <v>166</v>
      </c>
      <c r="B107" s="162" t="s">
        <v>167</v>
      </c>
      <c r="C107" s="148">
        <f t="shared" ref="C107:AO107" si="38">+C108+C112+C113</f>
        <v>920637353</v>
      </c>
      <c r="D107" s="148">
        <f t="shared" si="38"/>
        <v>306485612</v>
      </c>
      <c r="E107" s="148">
        <f t="shared" si="38"/>
        <v>0</v>
      </c>
      <c r="F107" s="148">
        <f t="shared" si="38"/>
        <v>0</v>
      </c>
      <c r="G107" s="148">
        <f t="shared" si="38"/>
        <v>0</v>
      </c>
      <c r="H107" s="148">
        <f t="shared" si="38"/>
        <v>0</v>
      </c>
      <c r="I107" s="148">
        <f t="shared" si="38"/>
        <v>0</v>
      </c>
      <c r="J107" s="148">
        <f t="shared" si="38"/>
        <v>0</v>
      </c>
      <c r="K107" s="148">
        <f t="shared" si="38"/>
        <v>0</v>
      </c>
      <c r="L107" s="148">
        <f t="shared" si="38"/>
        <v>0</v>
      </c>
      <c r="M107" s="148">
        <f t="shared" si="38"/>
        <v>0</v>
      </c>
      <c r="N107" s="148">
        <f t="shared" si="38"/>
        <v>0</v>
      </c>
      <c r="O107" s="148">
        <f t="shared" si="38"/>
        <v>23250000</v>
      </c>
      <c r="P107" s="148">
        <f t="shared" si="38"/>
        <v>12450000</v>
      </c>
      <c r="Q107" s="148">
        <f t="shared" si="38"/>
        <v>0</v>
      </c>
      <c r="R107" s="148">
        <f t="shared" si="38"/>
        <v>0</v>
      </c>
      <c r="S107" s="148">
        <f t="shared" si="38"/>
        <v>270785612</v>
      </c>
      <c r="T107" s="148">
        <f t="shared" si="38"/>
        <v>0</v>
      </c>
      <c r="U107" s="148">
        <f t="shared" si="38"/>
        <v>0</v>
      </c>
      <c r="V107" s="148">
        <f t="shared" si="38"/>
        <v>0</v>
      </c>
      <c r="W107" s="148">
        <f t="shared" si="38"/>
        <v>0</v>
      </c>
      <c r="X107" s="148">
        <f t="shared" si="38"/>
        <v>0</v>
      </c>
      <c r="Y107" s="148">
        <f t="shared" si="38"/>
        <v>0</v>
      </c>
      <c r="Z107" s="148">
        <f t="shared" si="38"/>
        <v>0</v>
      </c>
      <c r="AA107" s="148">
        <f t="shared" si="38"/>
        <v>0</v>
      </c>
      <c r="AB107" s="148">
        <f t="shared" si="38"/>
        <v>0</v>
      </c>
      <c r="AC107" s="148">
        <f t="shared" si="38"/>
        <v>0</v>
      </c>
      <c r="AD107" s="148">
        <f t="shared" si="38"/>
        <v>0</v>
      </c>
      <c r="AE107" s="148">
        <f t="shared" si="38"/>
        <v>1750000</v>
      </c>
      <c r="AF107" s="148">
        <f t="shared" si="38"/>
        <v>0</v>
      </c>
      <c r="AG107" s="148">
        <f t="shared" si="38"/>
        <v>0</v>
      </c>
      <c r="AH107" s="148">
        <f t="shared" si="38"/>
        <v>1750000</v>
      </c>
      <c r="AI107" s="148">
        <f t="shared" si="38"/>
        <v>0</v>
      </c>
      <c r="AJ107" s="148">
        <f t="shared" si="38"/>
        <v>612401741</v>
      </c>
      <c r="AK107" s="148">
        <f t="shared" si="38"/>
        <v>612401741</v>
      </c>
      <c r="AL107" s="148">
        <f t="shared" si="38"/>
        <v>0</v>
      </c>
      <c r="AM107" s="148">
        <f t="shared" si="38"/>
        <v>0</v>
      </c>
      <c r="AN107" s="148">
        <f t="shared" si="38"/>
        <v>0</v>
      </c>
      <c r="AO107" s="149">
        <f t="shared" si="38"/>
        <v>0</v>
      </c>
    </row>
    <row r="108" spans="1:41" x14ac:dyDescent="0.25">
      <c r="A108" s="146" t="s">
        <v>168</v>
      </c>
      <c r="B108" s="147" t="s">
        <v>169</v>
      </c>
      <c r="C108" s="148">
        <f>SUM(C109:C111)</f>
        <v>919137353</v>
      </c>
      <c r="D108" s="148">
        <f t="shared" ref="D108:AD108" si="39">SUM(D109:D110)</f>
        <v>304985612</v>
      </c>
      <c r="E108" s="148">
        <f t="shared" si="39"/>
        <v>0</v>
      </c>
      <c r="F108" s="148">
        <f t="shared" si="39"/>
        <v>0</v>
      </c>
      <c r="G108" s="148">
        <f t="shared" si="39"/>
        <v>0</v>
      </c>
      <c r="H108" s="148">
        <f t="shared" si="39"/>
        <v>0</v>
      </c>
      <c r="I108" s="148">
        <f t="shared" si="39"/>
        <v>0</v>
      </c>
      <c r="J108" s="148">
        <f t="shared" si="39"/>
        <v>0</v>
      </c>
      <c r="K108" s="148">
        <f t="shared" si="39"/>
        <v>0</v>
      </c>
      <c r="L108" s="148">
        <f t="shared" si="39"/>
        <v>0</v>
      </c>
      <c r="M108" s="148">
        <f t="shared" si="39"/>
        <v>0</v>
      </c>
      <c r="N108" s="148">
        <f t="shared" si="39"/>
        <v>0</v>
      </c>
      <c r="O108" s="148">
        <f t="shared" si="39"/>
        <v>21750000</v>
      </c>
      <c r="P108" s="148">
        <f t="shared" si="39"/>
        <v>12450000</v>
      </c>
      <c r="Q108" s="148">
        <f t="shared" si="39"/>
        <v>0</v>
      </c>
      <c r="R108" s="148">
        <f t="shared" si="39"/>
        <v>0</v>
      </c>
      <c r="S108" s="148">
        <f t="shared" si="39"/>
        <v>270785612</v>
      </c>
      <c r="T108" s="148">
        <f t="shared" si="39"/>
        <v>0</v>
      </c>
      <c r="U108" s="148">
        <f t="shared" si="39"/>
        <v>0</v>
      </c>
      <c r="V108" s="148">
        <f t="shared" si="39"/>
        <v>0</v>
      </c>
      <c r="W108" s="148">
        <f t="shared" si="39"/>
        <v>0</v>
      </c>
      <c r="X108" s="148">
        <f t="shared" si="39"/>
        <v>0</v>
      </c>
      <c r="Y108" s="148">
        <f t="shared" si="39"/>
        <v>0</v>
      </c>
      <c r="Z108" s="148">
        <f t="shared" si="39"/>
        <v>0</v>
      </c>
      <c r="AA108" s="148">
        <f t="shared" si="39"/>
        <v>0</v>
      </c>
      <c r="AB108" s="148">
        <f t="shared" si="39"/>
        <v>0</v>
      </c>
      <c r="AC108" s="148">
        <f t="shared" si="39"/>
        <v>0</v>
      </c>
      <c r="AD108" s="148">
        <f t="shared" si="39"/>
        <v>0</v>
      </c>
      <c r="AE108" s="148">
        <f>SUM(AE109:AE111)</f>
        <v>1750000</v>
      </c>
      <c r="AF108" s="148">
        <f>SUM(AF109:AF111)</f>
        <v>0</v>
      </c>
      <c r="AG108" s="148">
        <f>SUM(AG109:AG111)</f>
        <v>0</v>
      </c>
      <c r="AH108" s="148">
        <f>SUM(AH109:AH111)</f>
        <v>1750000</v>
      </c>
      <c r="AI108" s="148">
        <f t="shared" ref="AI108:AO108" si="40">SUM(AI109:AI110)</f>
        <v>0</v>
      </c>
      <c r="AJ108" s="148">
        <f t="shared" si="40"/>
        <v>612401741</v>
      </c>
      <c r="AK108" s="148">
        <f t="shared" si="40"/>
        <v>612401741</v>
      </c>
      <c r="AL108" s="148">
        <f t="shared" si="40"/>
        <v>0</v>
      </c>
      <c r="AM108" s="148">
        <f t="shared" si="40"/>
        <v>0</v>
      </c>
      <c r="AN108" s="148">
        <f t="shared" si="40"/>
        <v>0</v>
      </c>
      <c r="AO108" s="149">
        <f t="shared" si="40"/>
        <v>0</v>
      </c>
    </row>
    <row r="109" spans="1:41" x14ac:dyDescent="0.25">
      <c r="A109" s="160" t="s">
        <v>170</v>
      </c>
      <c r="B109" s="161" t="s">
        <v>171</v>
      </c>
      <c r="C109" s="157">
        <f>SUM(D109+Y109+AE109+AJ109)</f>
        <v>45600000</v>
      </c>
      <c r="D109" s="157">
        <f>SUM(E109:X109)</f>
        <v>34200000</v>
      </c>
      <c r="E109" s="157">
        <v>0</v>
      </c>
      <c r="F109" s="157">
        <v>0</v>
      </c>
      <c r="G109" s="157">
        <v>0</v>
      </c>
      <c r="H109" s="157">
        <v>0</v>
      </c>
      <c r="I109" s="157">
        <v>0</v>
      </c>
      <c r="J109" s="157">
        <v>0</v>
      </c>
      <c r="K109" s="157">
        <v>0</v>
      </c>
      <c r="L109" s="157">
        <v>0</v>
      </c>
      <c r="M109" s="157">
        <v>0</v>
      </c>
      <c r="N109" s="157">
        <v>0</v>
      </c>
      <c r="O109" s="157">
        <f>29000000-[10]Hoja2!$M$24</f>
        <v>21750000</v>
      </c>
      <c r="P109" s="157">
        <f>16600000-[10]Hoja2!$M$25</f>
        <v>12450000</v>
      </c>
      <c r="Q109" s="157">
        <v>0</v>
      </c>
      <c r="R109" s="157">
        <v>0</v>
      </c>
      <c r="S109" s="157"/>
      <c r="T109" s="157">
        <v>0</v>
      </c>
      <c r="U109" s="157">
        <v>0</v>
      </c>
      <c r="V109" s="157">
        <v>0</v>
      </c>
      <c r="W109" s="157">
        <v>0</v>
      </c>
      <c r="X109" s="157">
        <v>0</v>
      </c>
      <c r="Y109" s="157">
        <f>SUM(Z109:AD109)</f>
        <v>0</v>
      </c>
      <c r="Z109" s="157">
        <v>0</v>
      </c>
      <c r="AA109" s="157">
        <v>0</v>
      </c>
      <c r="AB109" s="157">
        <v>0</v>
      </c>
      <c r="AC109" s="157">
        <v>0</v>
      </c>
      <c r="AD109" s="157">
        <v>0</v>
      </c>
      <c r="AE109" s="157">
        <f>SUM(AF109:AI109)</f>
        <v>0</v>
      </c>
      <c r="AF109" s="157">
        <v>0</v>
      </c>
      <c r="AG109" s="157">
        <v>0</v>
      </c>
      <c r="AH109" s="157">
        <v>0</v>
      </c>
      <c r="AI109" s="157">
        <v>0</v>
      </c>
      <c r="AJ109" s="157">
        <f>SUM(AK109:AL109)</f>
        <v>11400000</v>
      </c>
      <c r="AK109" s="157">
        <f>+[10]Hoja2!$M$24+[10]Hoja2!$M$25</f>
        <v>11400000</v>
      </c>
      <c r="AL109" s="157">
        <f>SUM(AM109:AO109)</f>
        <v>0</v>
      </c>
      <c r="AM109" s="157">
        <v>0</v>
      </c>
      <c r="AN109" s="157">
        <v>0</v>
      </c>
      <c r="AO109" s="158">
        <v>0</v>
      </c>
    </row>
    <row r="110" spans="1:41" x14ac:dyDescent="0.25">
      <c r="A110" s="160" t="s">
        <v>172</v>
      </c>
      <c r="B110" s="161" t="s">
        <v>173</v>
      </c>
      <c r="C110" s="157">
        <f>SUM(D110+Y110+AE110+AJ110)</f>
        <v>871787353</v>
      </c>
      <c r="D110" s="157">
        <f>SUM(E110:X110)</f>
        <v>270785612</v>
      </c>
      <c r="E110" s="157"/>
      <c r="F110" s="157"/>
      <c r="G110" s="157"/>
      <c r="H110" s="157"/>
      <c r="I110" s="157"/>
      <c r="J110" s="157"/>
      <c r="K110" s="157"/>
      <c r="L110" s="157"/>
      <c r="M110" s="157"/>
      <c r="N110" s="157"/>
      <c r="O110" s="157"/>
      <c r="P110" s="157"/>
      <c r="Q110" s="157"/>
      <c r="R110" s="157"/>
      <c r="S110" s="157">
        <f>229400000+41385612</f>
        <v>270785612</v>
      </c>
      <c r="T110" s="157"/>
      <c r="U110" s="157"/>
      <c r="V110" s="157"/>
      <c r="W110" s="157"/>
      <c r="X110" s="157"/>
      <c r="Y110" s="157">
        <f>SUM(Z110:AD110)</f>
        <v>0</v>
      </c>
      <c r="Z110" s="157"/>
      <c r="AA110" s="157"/>
      <c r="AB110" s="157"/>
      <c r="AC110" s="157"/>
      <c r="AD110" s="157"/>
      <c r="AE110" s="157">
        <f>SUM(AF110:AI110)</f>
        <v>0</v>
      </c>
      <c r="AF110" s="157"/>
      <c r="AG110" s="157"/>
      <c r="AH110" s="157"/>
      <c r="AI110" s="157"/>
      <c r="AJ110" s="157">
        <f>SUM(AK110:AL110)</f>
        <v>601001741</v>
      </c>
      <c r="AK110" s="157">
        <f>545284931+55716810</f>
        <v>601001741</v>
      </c>
      <c r="AL110" s="157">
        <f>SUM(AM110:AO110)</f>
        <v>0</v>
      </c>
      <c r="AM110" s="157"/>
      <c r="AN110" s="157"/>
      <c r="AO110" s="158"/>
    </row>
    <row r="111" spans="1:41" x14ac:dyDescent="0.25">
      <c r="A111" s="160"/>
      <c r="B111" s="161" t="s">
        <v>174</v>
      </c>
      <c r="C111" s="157">
        <f>SUM(D111+Y111+AE111+AJ111)</f>
        <v>1750000</v>
      </c>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157"/>
      <c r="AC111" s="157"/>
      <c r="AD111" s="157"/>
      <c r="AE111" s="157">
        <f>SUM(AF111:AI111)</f>
        <v>1750000</v>
      </c>
      <c r="AF111" s="157"/>
      <c r="AG111" s="157"/>
      <c r="AH111" s="157">
        <v>1750000</v>
      </c>
      <c r="AI111" s="157"/>
      <c r="AJ111" s="157"/>
      <c r="AK111" s="157"/>
      <c r="AL111" s="157"/>
      <c r="AM111" s="157"/>
      <c r="AN111" s="157"/>
      <c r="AO111" s="158"/>
    </row>
    <row r="112" spans="1:41" x14ac:dyDescent="0.25">
      <c r="A112" s="160" t="s">
        <v>175</v>
      </c>
      <c r="B112" s="161" t="s">
        <v>176</v>
      </c>
      <c r="C112" s="157">
        <f>SUM(D112+Y112+AE112+AJ112)</f>
        <v>1000000</v>
      </c>
      <c r="D112" s="157">
        <f>SUM(E112:X112)</f>
        <v>1000000</v>
      </c>
      <c r="E112" s="157">
        <v>0</v>
      </c>
      <c r="F112" s="157">
        <v>0</v>
      </c>
      <c r="G112" s="157">
        <v>0</v>
      </c>
      <c r="H112" s="157">
        <v>0</v>
      </c>
      <c r="I112" s="157">
        <v>0</v>
      </c>
      <c r="J112" s="157">
        <v>0</v>
      </c>
      <c r="K112" s="157">
        <v>0</v>
      </c>
      <c r="L112" s="157">
        <v>0</v>
      </c>
      <c r="M112" s="157">
        <v>0</v>
      </c>
      <c r="N112" s="157">
        <v>0</v>
      </c>
      <c r="O112" s="157">
        <v>1000000</v>
      </c>
      <c r="P112" s="157">
        <v>0</v>
      </c>
      <c r="Q112" s="157">
        <v>0</v>
      </c>
      <c r="R112" s="157">
        <v>0</v>
      </c>
      <c r="S112" s="157">
        <v>0</v>
      </c>
      <c r="T112" s="157">
        <v>0</v>
      </c>
      <c r="U112" s="157">
        <v>0</v>
      </c>
      <c r="V112" s="157">
        <v>0</v>
      </c>
      <c r="W112" s="157">
        <v>0</v>
      </c>
      <c r="X112" s="157">
        <v>0</v>
      </c>
      <c r="Y112" s="157">
        <f>SUM(Z112:AD112)</f>
        <v>0</v>
      </c>
      <c r="Z112" s="157">
        <v>0</v>
      </c>
      <c r="AA112" s="157">
        <v>0</v>
      </c>
      <c r="AB112" s="157">
        <v>0</v>
      </c>
      <c r="AC112" s="157">
        <v>0</v>
      </c>
      <c r="AD112" s="157">
        <v>0</v>
      </c>
      <c r="AE112" s="157">
        <f>SUM(AF112:AI112)</f>
        <v>0</v>
      </c>
      <c r="AF112" s="157">
        <v>0</v>
      </c>
      <c r="AG112" s="157">
        <v>0</v>
      </c>
      <c r="AH112" s="157">
        <v>0</v>
      </c>
      <c r="AI112" s="157">
        <v>0</v>
      </c>
      <c r="AJ112" s="157">
        <f>SUM(AK112:AL112)</f>
        <v>0</v>
      </c>
      <c r="AK112" s="157">
        <v>0</v>
      </c>
      <c r="AL112" s="157">
        <f>SUM(AM112:AO112)</f>
        <v>0</v>
      </c>
      <c r="AM112" s="157">
        <v>0</v>
      </c>
      <c r="AN112" s="157">
        <v>0</v>
      </c>
      <c r="AO112" s="158">
        <v>0</v>
      </c>
    </row>
    <row r="113" spans="1:41" x14ac:dyDescent="0.25">
      <c r="A113" s="160" t="s">
        <v>177</v>
      </c>
      <c r="B113" s="161" t="s">
        <v>178</v>
      </c>
      <c r="C113" s="157">
        <f>SUM(D113+Y113+AE113+AJ113)</f>
        <v>500000</v>
      </c>
      <c r="D113" s="157">
        <f>SUM(E113:X113)</f>
        <v>500000</v>
      </c>
      <c r="E113" s="157">
        <v>0</v>
      </c>
      <c r="F113" s="157">
        <v>0</v>
      </c>
      <c r="G113" s="157">
        <v>0</v>
      </c>
      <c r="H113" s="157">
        <v>0</v>
      </c>
      <c r="I113" s="157">
        <v>0</v>
      </c>
      <c r="J113" s="157">
        <v>0</v>
      </c>
      <c r="K113" s="157">
        <v>0</v>
      </c>
      <c r="L113" s="157">
        <v>0</v>
      </c>
      <c r="M113" s="157">
        <v>0</v>
      </c>
      <c r="N113" s="157">
        <v>0</v>
      </c>
      <c r="O113" s="157">
        <v>500000</v>
      </c>
      <c r="P113" s="157">
        <v>0</v>
      </c>
      <c r="Q113" s="157">
        <v>0</v>
      </c>
      <c r="R113" s="157">
        <v>0</v>
      </c>
      <c r="S113" s="157">
        <v>0</v>
      </c>
      <c r="T113" s="157">
        <v>0</v>
      </c>
      <c r="U113" s="157">
        <v>0</v>
      </c>
      <c r="V113" s="157">
        <v>0</v>
      </c>
      <c r="W113" s="157">
        <v>0</v>
      </c>
      <c r="X113" s="157">
        <v>0</v>
      </c>
      <c r="Y113" s="157">
        <f>SUM(Z113:AD113)</f>
        <v>0</v>
      </c>
      <c r="Z113" s="157">
        <v>0</v>
      </c>
      <c r="AA113" s="157">
        <v>0</v>
      </c>
      <c r="AB113" s="157">
        <v>0</v>
      </c>
      <c r="AC113" s="157">
        <v>0</v>
      </c>
      <c r="AD113" s="157">
        <v>0</v>
      </c>
      <c r="AE113" s="157">
        <f>SUM(AF113:AI113)</f>
        <v>0</v>
      </c>
      <c r="AF113" s="157">
        <v>0</v>
      </c>
      <c r="AG113" s="157">
        <v>0</v>
      </c>
      <c r="AH113" s="157">
        <v>0</v>
      </c>
      <c r="AI113" s="157">
        <v>0</v>
      </c>
      <c r="AJ113" s="157">
        <f>SUM(AK113:AL113)</f>
        <v>0</v>
      </c>
      <c r="AK113" s="157">
        <v>0</v>
      </c>
      <c r="AL113" s="157">
        <f>SUM(AM113:AO113)</f>
        <v>0</v>
      </c>
      <c r="AM113" s="157">
        <v>0</v>
      </c>
      <c r="AN113" s="157">
        <v>0</v>
      </c>
      <c r="AO113" s="158">
        <v>0</v>
      </c>
    </row>
    <row r="114" spans="1:41" x14ac:dyDescent="0.25">
      <c r="A114" s="160"/>
      <c r="B114" s="161"/>
      <c r="C114" s="157"/>
      <c r="D114" s="157"/>
      <c r="E114" s="157"/>
      <c r="F114" s="157"/>
      <c r="G114" s="157"/>
      <c r="H114" s="157"/>
      <c r="I114" s="157"/>
      <c r="J114" s="157"/>
      <c r="K114" s="157"/>
      <c r="L114" s="157"/>
      <c r="M114" s="157"/>
      <c r="N114" s="157"/>
      <c r="O114" s="157"/>
      <c r="P114" s="157"/>
      <c r="Q114" s="157"/>
      <c r="R114" s="157"/>
      <c r="S114" s="157"/>
      <c r="T114" s="157"/>
      <c r="U114" s="157"/>
      <c r="V114" s="157"/>
      <c r="W114" s="157"/>
      <c r="X114" s="157"/>
      <c r="Y114" s="157"/>
      <c r="Z114" s="157"/>
      <c r="AA114" s="157"/>
      <c r="AB114" s="157"/>
      <c r="AC114" s="157"/>
      <c r="AD114" s="157"/>
      <c r="AE114" s="157"/>
      <c r="AF114" s="157"/>
      <c r="AG114" s="157"/>
      <c r="AH114" s="157"/>
      <c r="AI114" s="157"/>
      <c r="AJ114" s="157"/>
      <c r="AK114" s="157"/>
      <c r="AL114" s="157"/>
      <c r="AM114" s="157"/>
      <c r="AN114" s="157"/>
      <c r="AO114" s="158"/>
    </row>
    <row r="115" spans="1:41" x14ac:dyDescent="0.25">
      <c r="A115" s="176" t="s">
        <v>179</v>
      </c>
      <c r="B115" s="162" t="s">
        <v>180</v>
      </c>
      <c r="C115" s="148">
        <f>SUM(C116:C117)</f>
        <v>30898568</v>
      </c>
      <c r="D115" s="148">
        <f t="shared" ref="D115:AO115" si="41">SUM(D116:D117)</f>
        <v>27098568</v>
      </c>
      <c r="E115" s="148">
        <f t="shared" si="41"/>
        <v>0</v>
      </c>
      <c r="F115" s="148">
        <f t="shared" si="41"/>
        <v>1316368</v>
      </c>
      <c r="G115" s="148">
        <f t="shared" si="41"/>
        <v>2000000</v>
      </c>
      <c r="H115" s="148">
        <f t="shared" si="41"/>
        <v>0</v>
      </c>
      <c r="I115" s="148">
        <f t="shared" si="41"/>
        <v>0</v>
      </c>
      <c r="J115" s="148">
        <f t="shared" si="41"/>
        <v>0</v>
      </c>
      <c r="K115" s="148">
        <f t="shared" si="41"/>
        <v>0</v>
      </c>
      <c r="L115" s="148">
        <f t="shared" si="41"/>
        <v>0</v>
      </c>
      <c r="M115" s="148">
        <f t="shared" si="41"/>
        <v>0</v>
      </c>
      <c r="N115" s="148">
        <f t="shared" si="41"/>
        <v>0</v>
      </c>
      <c r="O115" s="148">
        <f t="shared" si="41"/>
        <v>0</v>
      </c>
      <c r="P115" s="148">
        <f t="shared" si="41"/>
        <v>23182200</v>
      </c>
      <c r="Q115" s="148">
        <f t="shared" si="41"/>
        <v>0</v>
      </c>
      <c r="R115" s="148">
        <f t="shared" si="41"/>
        <v>0</v>
      </c>
      <c r="S115" s="148">
        <f t="shared" si="41"/>
        <v>0</v>
      </c>
      <c r="T115" s="148">
        <f t="shared" si="41"/>
        <v>0</v>
      </c>
      <c r="U115" s="148">
        <f t="shared" si="41"/>
        <v>0</v>
      </c>
      <c r="V115" s="148">
        <f t="shared" si="41"/>
        <v>0</v>
      </c>
      <c r="W115" s="148">
        <f t="shared" si="41"/>
        <v>0</v>
      </c>
      <c r="X115" s="148">
        <f t="shared" si="41"/>
        <v>600000</v>
      </c>
      <c r="Y115" s="148">
        <f t="shared" si="41"/>
        <v>800000</v>
      </c>
      <c r="Z115" s="148">
        <f t="shared" si="41"/>
        <v>0</v>
      </c>
      <c r="AA115" s="148">
        <f t="shared" si="41"/>
        <v>0</v>
      </c>
      <c r="AB115" s="148">
        <f t="shared" si="41"/>
        <v>500000</v>
      </c>
      <c r="AC115" s="148">
        <f t="shared" si="41"/>
        <v>0</v>
      </c>
      <c r="AD115" s="148">
        <f t="shared" si="41"/>
        <v>300000</v>
      </c>
      <c r="AE115" s="148">
        <f t="shared" si="41"/>
        <v>0</v>
      </c>
      <c r="AF115" s="148">
        <f t="shared" si="41"/>
        <v>0</v>
      </c>
      <c r="AG115" s="148">
        <f t="shared" si="41"/>
        <v>0</v>
      </c>
      <c r="AH115" s="148">
        <f t="shared" si="41"/>
        <v>0</v>
      </c>
      <c r="AI115" s="148">
        <f t="shared" si="41"/>
        <v>0</v>
      </c>
      <c r="AJ115" s="148">
        <f t="shared" si="41"/>
        <v>3000000</v>
      </c>
      <c r="AK115" s="148">
        <f t="shared" si="41"/>
        <v>3000000</v>
      </c>
      <c r="AL115" s="148">
        <f t="shared" si="41"/>
        <v>0</v>
      </c>
      <c r="AM115" s="148">
        <f t="shared" si="41"/>
        <v>0</v>
      </c>
      <c r="AN115" s="148">
        <f t="shared" si="41"/>
        <v>0</v>
      </c>
      <c r="AO115" s="149">
        <f t="shared" si="41"/>
        <v>0</v>
      </c>
    </row>
    <row r="116" spans="1:41" x14ac:dyDescent="0.25">
      <c r="A116" s="167" t="s">
        <v>181</v>
      </c>
      <c r="B116" s="156" t="s">
        <v>182</v>
      </c>
      <c r="C116" s="157">
        <f>SUM(D116+Y116+AE116+AJ116)</f>
        <v>28298568</v>
      </c>
      <c r="D116" s="157">
        <f>SUM(E116:X116)</f>
        <v>25498568</v>
      </c>
      <c r="E116" s="157">
        <v>0</v>
      </c>
      <c r="F116" s="157">
        <v>1316368</v>
      </c>
      <c r="G116" s="157">
        <v>1000000</v>
      </c>
      <c r="H116" s="157">
        <v>0</v>
      </c>
      <c r="I116" s="157">
        <v>0</v>
      </c>
      <c r="J116" s="157">
        <v>0</v>
      </c>
      <c r="K116" s="157">
        <v>0</v>
      </c>
      <c r="L116" s="157">
        <v>0</v>
      </c>
      <c r="M116" s="157">
        <v>0</v>
      </c>
      <c r="N116" s="157">
        <v>0</v>
      </c>
      <c r="O116" s="157">
        <v>0</v>
      </c>
      <c r="P116" s="157">
        <v>23182200</v>
      </c>
      <c r="Q116" s="157">
        <v>0</v>
      </c>
      <c r="R116" s="157">
        <v>0</v>
      </c>
      <c r="S116" s="157">
        <v>0</v>
      </c>
      <c r="T116" s="157">
        <v>0</v>
      </c>
      <c r="U116" s="157">
        <v>0</v>
      </c>
      <c r="V116" s="157">
        <v>0</v>
      </c>
      <c r="W116" s="157">
        <v>0</v>
      </c>
      <c r="X116" s="157">
        <v>0</v>
      </c>
      <c r="Y116" s="157">
        <f>SUM(Z116:AD116)</f>
        <v>800000</v>
      </c>
      <c r="Z116" s="157">
        <v>0</v>
      </c>
      <c r="AA116" s="157">
        <v>0</v>
      </c>
      <c r="AB116" s="157">
        <v>500000</v>
      </c>
      <c r="AC116" s="157">
        <v>0</v>
      </c>
      <c r="AD116" s="157">
        <v>300000</v>
      </c>
      <c r="AE116" s="157">
        <f>SUM(AF116:AI116)</f>
        <v>0</v>
      </c>
      <c r="AF116" s="157">
        <v>0</v>
      </c>
      <c r="AG116" s="157">
        <v>0</v>
      </c>
      <c r="AH116" s="157">
        <v>0</v>
      </c>
      <c r="AI116" s="157">
        <v>0</v>
      </c>
      <c r="AJ116" s="157">
        <f>SUM(AK116:AL116)</f>
        <v>2000000</v>
      </c>
      <c r="AK116" s="157">
        <v>2000000</v>
      </c>
      <c r="AL116" s="157">
        <f>SUM(AM116:AO116)</f>
        <v>0</v>
      </c>
      <c r="AM116" s="157">
        <v>0</v>
      </c>
      <c r="AN116" s="157">
        <v>0</v>
      </c>
      <c r="AO116" s="158">
        <v>0</v>
      </c>
    </row>
    <row r="117" spans="1:41" x14ac:dyDescent="0.25">
      <c r="A117" s="167" t="s">
        <v>183</v>
      </c>
      <c r="B117" s="156" t="s">
        <v>184</v>
      </c>
      <c r="C117" s="157">
        <f>SUM(D117+Y117+AE117+AJ117)</f>
        <v>2600000</v>
      </c>
      <c r="D117" s="157">
        <f>SUM(E117:X117)</f>
        <v>1600000</v>
      </c>
      <c r="E117" s="157">
        <v>0</v>
      </c>
      <c r="F117" s="157">
        <v>0</v>
      </c>
      <c r="G117" s="157">
        <v>1000000</v>
      </c>
      <c r="H117" s="157">
        <v>0</v>
      </c>
      <c r="I117" s="157">
        <v>0</v>
      </c>
      <c r="J117" s="157">
        <v>0</v>
      </c>
      <c r="K117" s="157">
        <v>0</v>
      </c>
      <c r="L117" s="157">
        <v>0</v>
      </c>
      <c r="M117" s="157">
        <v>0</v>
      </c>
      <c r="N117" s="157">
        <v>0</v>
      </c>
      <c r="O117" s="157">
        <v>0</v>
      </c>
      <c r="P117" s="157">
        <v>0</v>
      </c>
      <c r="Q117" s="157">
        <v>0</v>
      </c>
      <c r="R117" s="157">
        <v>0</v>
      </c>
      <c r="S117" s="157">
        <v>0</v>
      </c>
      <c r="T117" s="157">
        <v>0</v>
      </c>
      <c r="U117" s="157">
        <v>0</v>
      </c>
      <c r="V117" s="157">
        <v>0</v>
      </c>
      <c r="W117" s="157">
        <v>0</v>
      </c>
      <c r="X117" s="157">
        <v>600000</v>
      </c>
      <c r="Y117" s="157">
        <f>SUM(Z117:AD117)</f>
        <v>0</v>
      </c>
      <c r="Z117" s="157">
        <v>0</v>
      </c>
      <c r="AA117" s="157">
        <v>0</v>
      </c>
      <c r="AB117" s="157">
        <v>0</v>
      </c>
      <c r="AC117" s="157">
        <v>0</v>
      </c>
      <c r="AD117" s="157">
        <v>0</v>
      </c>
      <c r="AE117" s="157">
        <f>SUM(AF117:AI117)</f>
        <v>0</v>
      </c>
      <c r="AF117" s="157">
        <v>0</v>
      </c>
      <c r="AG117" s="157">
        <v>0</v>
      </c>
      <c r="AH117" s="157">
        <v>0</v>
      </c>
      <c r="AI117" s="157">
        <v>0</v>
      </c>
      <c r="AJ117" s="157">
        <f>SUM(AK117:AL117)</f>
        <v>1000000</v>
      </c>
      <c r="AK117" s="157">
        <v>1000000</v>
      </c>
      <c r="AL117" s="157">
        <f>SUM(AM117:AO117)</f>
        <v>0</v>
      </c>
      <c r="AM117" s="157">
        <v>0</v>
      </c>
      <c r="AN117" s="157">
        <v>0</v>
      </c>
      <c r="AO117" s="158">
        <v>0</v>
      </c>
    </row>
    <row r="118" spans="1:41" x14ac:dyDescent="0.25">
      <c r="A118" s="160"/>
      <c r="B118" s="161"/>
      <c r="C118" s="157"/>
      <c r="D118" s="15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c r="AA118" s="157"/>
      <c r="AB118" s="157"/>
      <c r="AC118" s="157"/>
      <c r="AD118" s="157"/>
      <c r="AE118" s="157"/>
      <c r="AF118" s="157"/>
      <c r="AG118" s="157"/>
      <c r="AH118" s="157"/>
      <c r="AI118" s="157"/>
      <c r="AJ118" s="157"/>
      <c r="AK118" s="157"/>
      <c r="AL118" s="157"/>
      <c r="AM118" s="157"/>
      <c r="AN118" s="157"/>
      <c r="AO118" s="158"/>
    </row>
    <row r="119" spans="1:41" x14ac:dyDescent="0.25">
      <c r="A119" s="176" t="s">
        <v>185</v>
      </c>
      <c r="B119" s="162" t="s">
        <v>186</v>
      </c>
      <c r="C119" s="148">
        <f>SUM(C120:C126)</f>
        <v>106252280</v>
      </c>
      <c r="D119" s="148">
        <f t="shared" ref="D119:AO119" si="42">SUM(D120:D126)</f>
        <v>81493760</v>
      </c>
      <c r="E119" s="148">
        <f t="shared" si="42"/>
        <v>0</v>
      </c>
      <c r="F119" s="148">
        <f t="shared" si="42"/>
        <v>0</v>
      </c>
      <c r="G119" s="148">
        <f t="shared" si="42"/>
        <v>0</v>
      </c>
      <c r="H119" s="148">
        <f t="shared" si="42"/>
        <v>0</v>
      </c>
      <c r="I119" s="148">
        <f t="shared" si="42"/>
        <v>38318760</v>
      </c>
      <c r="J119" s="148">
        <f t="shared" si="42"/>
        <v>0</v>
      </c>
      <c r="K119" s="148">
        <f t="shared" si="42"/>
        <v>0</v>
      </c>
      <c r="L119" s="148">
        <f t="shared" si="42"/>
        <v>0</v>
      </c>
      <c r="M119" s="148">
        <f t="shared" si="42"/>
        <v>0</v>
      </c>
      <c r="N119" s="148">
        <f t="shared" si="42"/>
        <v>0</v>
      </c>
      <c r="O119" s="148">
        <f t="shared" si="42"/>
        <v>42125000</v>
      </c>
      <c r="P119" s="148">
        <f t="shared" si="42"/>
        <v>0</v>
      </c>
      <c r="Q119" s="148">
        <f t="shared" si="42"/>
        <v>0</v>
      </c>
      <c r="R119" s="148">
        <f t="shared" si="42"/>
        <v>0</v>
      </c>
      <c r="S119" s="148">
        <f t="shared" si="42"/>
        <v>300000</v>
      </c>
      <c r="T119" s="148">
        <f t="shared" si="42"/>
        <v>0</v>
      </c>
      <c r="U119" s="148">
        <f t="shared" si="42"/>
        <v>0</v>
      </c>
      <c r="V119" s="148">
        <f t="shared" si="42"/>
        <v>0</v>
      </c>
      <c r="W119" s="148">
        <f t="shared" si="42"/>
        <v>450000</v>
      </c>
      <c r="X119" s="148">
        <f t="shared" si="42"/>
        <v>300000</v>
      </c>
      <c r="Y119" s="148">
        <f t="shared" si="42"/>
        <v>6710600</v>
      </c>
      <c r="Z119" s="148">
        <f t="shared" si="42"/>
        <v>0</v>
      </c>
      <c r="AA119" s="148">
        <f t="shared" si="42"/>
        <v>4085600</v>
      </c>
      <c r="AB119" s="148">
        <f t="shared" si="42"/>
        <v>2575000</v>
      </c>
      <c r="AC119" s="148">
        <f t="shared" si="42"/>
        <v>0</v>
      </c>
      <c r="AD119" s="148">
        <f t="shared" si="42"/>
        <v>50000</v>
      </c>
      <c r="AE119" s="148">
        <f t="shared" si="42"/>
        <v>300000</v>
      </c>
      <c r="AF119" s="148">
        <f t="shared" si="42"/>
        <v>0</v>
      </c>
      <c r="AG119" s="148">
        <f t="shared" si="42"/>
        <v>0</v>
      </c>
      <c r="AH119" s="148">
        <f t="shared" si="42"/>
        <v>0</v>
      </c>
      <c r="AI119" s="148">
        <f t="shared" si="42"/>
        <v>300000</v>
      </c>
      <c r="AJ119" s="148">
        <f t="shared" si="42"/>
        <v>17747920</v>
      </c>
      <c r="AK119" s="148">
        <f t="shared" si="42"/>
        <v>17747920</v>
      </c>
      <c r="AL119" s="148">
        <f t="shared" si="42"/>
        <v>0</v>
      </c>
      <c r="AM119" s="148">
        <f t="shared" si="42"/>
        <v>0</v>
      </c>
      <c r="AN119" s="148">
        <f t="shared" si="42"/>
        <v>0</v>
      </c>
      <c r="AO119" s="149">
        <f t="shared" si="42"/>
        <v>0</v>
      </c>
    </row>
    <row r="120" spans="1:41" x14ac:dyDescent="0.25">
      <c r="A120" s="167" t="s">
        <v>187</v>
      </c>
      <c r="B120" s="156" t="s">
        <v>188</v>
      </c>
      <c r="C120" s="157">
        <f t="shared" ref="C120:C126" si="43">SUM(D120+Y120+AE120+AJ120)</f>
        <v>20225600</v>
      </c>
      <c r="D120" s="157">
        <f t="shared" ref="D120:D126" si="44">SUM(E120:X120)</f>
        <v>12375000</v>
      </c>
      <c r="E120" s="157">
        <v>0</v>
      </c>
      <c r="F120" s="157">
        <v>0</v>
      </c>
      <c r="G120" s="157">
        <v>0</v>
      </c>
      <c r="H120" s="157">
        <v>0</v>
      </c>
      <c r="I120" s="157">
        <v>0</v>
      </c>
      <c r="J120" s="157">
        <v>0</v>
      </c>
      <c r="K120" s="157">
        <v>0</v>
      </c>
      <c r="L120" s="157">
        <v>0</v>
      </c>
      <c r="M120" s="157">
        <v>0</v>
      </c>
      <c r="N120" s="157">
        <v>0</v>
      </c>
      <c r="O120" s="157">
        <f>94500000-78000000-[10]Hoja2!$M$26</f>
        <v>12375000</v>
      </c>
      <c r="P120" s="157">
        <v>0</v>
      </c>
      <c r="Q120" s="157">
        <v>0</v>
      </c>
      <c r="R120" s="157">
        <v>0</v>
      </c>
      <c r="S120" s="157">
        <v>0</v>
      </c>
      <c r="T120" s="157">
        <v>0</v>
      </c>
      <c r="U120" s="157">
        <v>0</v>
      </c>
      <c r="V120" s="157">
        <v>0</v>
      </c>
      <c r="W120" s="157">
        <v>0</v>
      </c>
      <c r="X120" s="157">
        <v>0</v>
      </c>
      <c r="Y120" s="157">
        <f t="shared" ref="Y120:Y126" si="45">SUM(Z120:AD120)</f>
        <v>3725600</v>
      </c>
      <c r="Z120" s="157">
        <v>0</v>
      </c>
      <c r="AA120" s="157">
        <v>3725600</v>
      </c>
      <c r="AB120" s="157">
        <v>0</v>
      </c>
      <c r="AC120" s="157">
        <v>0</v>
      </c>
      <c r="AD120" s="157">
        <v>0</v>
      </c>
      <c r="AE120" s="157">
        <f t="shared" ref="AE120:AE126" si="46">SUM(AF120:AI120)</f>
        <v>0</v>
      </c>
      <c r="AF120" s="157">
        <v>0</v>
      </c>
      <c r="AG120" s="157">
        <v>0</v>
      </c>
      <c r="AH120" s="157">
        <v>0</v>
      </c>
      <c r="AI120" s="157">
        <v>0</v>
      </c>
      <c r="AJ120" s="157">
        <f t="shared" ref="AJ120:AJ126" si="47">SUM(AK120:AL120)</f>
        <v>4125000</v>
      </c>
      <c r="AK120" s="157">
        <f>+[10]Hoja2!$M$26</f>
        <v>4125000</v>
      </c>
      <c r="AL120" s="157">
        <f t="shared" ref="AL120:AL126" si="48">SUM(AM120:AO120)</f>
        <v>0</v>
      </c>
      <c r="AM120" s="157">
        <v>0</v>
      </c>
      <c r="AN120" s="157">
        <v>0</v>
      </c>
      <c r="AO120" s="158">
        <v>0</v>
      </c>
    </row>
    <row r="121" spans="1:41" x14ac:dyDescent="0.25">
      <c r="A121" s="167" t="s">
        <v>189</v>
      </c>
      <c r="B121" s="156" t="s">
        <v>190</v>
      </c>
      <c r="C121" s="157">
        <f t="shared" si="43"/>
        <v>2000000</v>
      </c>
      <c r="D121" s="157">
        <f t="shared" si="44"/>
        <v>2000000</v>
      </c>
      <c r="E121" s="157">
        <v>0</v>
      </c>
      <c r="F121" s="157">
        <v>0</v>
      </c>
      <c r="G121" s="157">
        <v>0</v>
      </c>
      <c r="H121" s="157">
        <v>0</v>
      </c>
      <c r="I121" s="157">
        <v>0</v>
      </c>
      <c r="J121" s="157">
        <v>0</v>
      </c>
      <c r="K121" s="157">
        <v>0</v>
      </c>
      <c r="L121" s="157">
        <v>0</v>
      </c>
      <c r="M121" s="157">
        <v>0</v>
      </c>
      <c r="N121" s="157">
        <v>0</v>
      </c>
      <c r="O121" s="157">
        <v>2000000</v>
      </c>
      <c r="P121" s="157">
        <v>0</v>
      </c>
      <c r="Q121" s="157">
        <v>0</v>
      </c>
      <c r="R121" s="157">
        <v>0</v>
      </c>
      <c r="S121" s="157">
        <v>0</v>
      </c>
      <c r="T121" s="157">
        <v>0</v>
      </c>
      <c r="U121" s="157">
        <v>0</v>
      </c>
      <c r="V121" s="157">
        <v>0</v>
      </c>
      <c r="W121" s="157">
        <v>0</v>
      </c>
      <c r="X121" s="157">
        <v>0</v>
      </c>
      <c r="Y121" s="157">
        <f t="shared" si="45"/>
        <v>0</v>
      </c>
      <c r="Z121" s="157">
        <v>0</v>
      </c>
      <c r="AA121" s="157">
        <v>0</v>
      </c>
      <c r="AB121" s="157">
        <v>0</v>
      </c>
      <c r="AC121" s="157">
        <v>0</v>
      </c>
      <c r="AD121" s="157">
        <v>0</v>
      </c>
      <c r="AE121" s="157">
        <f t="shared" si="46"/>
        <v>0</v>
      </c>
      <c r="AF121" s="157">
        <v>0</v>
      </c>
      <c r="AG121" s="157">
        <v>0</v>
      </c>
      <c r="AH121" s="157">
        <v>0</v>
      </c>
      <c r="AI121" s="157">
        <v>0</v>
      </c>
      <c r="AJ121" s="157">
        <f t="shared" si="47"/>
        <v>0</v>
      </c>
      <c r="AK121" s="157">
        <v>0</v>
      </c>
      <c r="AL121" s="157">
        <f t="shared" si="48"/>
        <v>0</v>
      </c>
      <c r="AM121" s="157">
        <v>0</v>
      </c>
      <c r="AN121" s="157">
        <v>0</v>
      </c>
      <c r="AO121" s="158">
        <v>0</v>
      </c>
    </row>
    <row r="122" spans="1:41" x14ac:dyDescent="0.25">
      <c r="A122" s="167" t="s">
        <v>191</v>
      </c>
      <c r="B122" s="156" t="s">
        <v>192</v>
      </c>
      <c r="C122" s="157">
        <f t="shared" si="43"/>
        <v>18000000</v>
      </c>
      <c r="D122" s="157">
        <f t="shared" si="44"/>
        <v>18000000</v>
      </c>
      <c r="E122" s="157">
        <v>0</v>
      </c>
      <c r="F122" s="157">
        <v>0</v>
      </c>
      <c r="G122" s="157">
        <v>0</v>
      </c>
      <c r="H122" s="157">
        <v>0</v>
      </c>
      <c r="I122" s="157">
        <v>0</v>
      </c>
      <c r="J122" s="157">
        <v>0</v>
      </c>
      <c r="K122" s="157">
        <v>0</v>
      </c>
      <c r="L122" s="157">
        <v>0</v>
      </c>
      <c r="M122" s="157">
        <v>0</v>
      </c>
      <c r="N122" s="157">
        <v>0</v>
      </c>
      <c r="O122" s="157">
        <v>18000000</v>
      </c>
      <c r="P122" s="157">
        <v>0</v>
      </c>
      <c r="Q122" s="157">
        <v>0</v>
      </c>
      <c r="R122" s="157">
        <v>0</v>
      </c>
      <c r="S122" s="157">
        <v>0</v>
      </c>
      <c r="T122" s="157">
        <v>0</v>
      </c>
      <c r="U122" s="157">
        <v>0</v>
      </c>
      <c r="V122" s="157">
        <v>0</v>
      </c>
      <c r="W122" s="157">
        <v>0</v>
      </c>
      <c r="X122" s="157">
        <v>0</v>
      </c>
      <c r="Y122" s="157">
        <f t="shared" si="45"/>
        <v>0</v>
      </c>
      <c r="Z122" s="157">
        <v>0</v>
      </c>
      <c r="AA122" s="157">
        <v>0</v>
      </c>
      <c r="AB122" s="157">
        <v>0</v>
      </c>
      <c r="AC122" s="157">
        <v>0</v>
      </c>
      <c r="AD122" s="157">
        <v>0</v>
      </c>
      <c r="AE122" s="157">
        <f t="shared" si="46"/>
        <v>0</v>
      </c>
      <c r="AF122" s="157">
        <v>0</v>
      </c>
      <c r="AG122" s="157">
        <v>0</v>
      </c>
      <c r="AH122" s="157">
        <v>0</v>
      </c>
      <c r="AI122" s="157">
        <v>0</v>
      </c>
      <c r="AJ122" s="157">
        <f t="shared" si="47"/>
        <v>0</v>
      </c>
      <c r="AK122" s="157">
        <v>0</v>
      </c>
      <c r="AL122" s="157">
        <f t="shared" si="48"/>
        <v>0</v>
      </c>
      <c r="AM122" s="157">
        <v>0</v>
      </c>
      <c r="AN122" s="157">
        <v>0</v>
      </c>
      <c r="AO122" s="158">
        <v>0</v>
      </c>
    </row>
    <row r="123" spans="1:41" x14ac:dyDescent="0.25">
      <c r="A123" s="167" t="s">
        <v>193</v>
      </c>
      <c r="B123" s="156" t="s">
        <v>194</v>
      </c>
      <c r="C123" s="157">
        <f t="shared" si="43"/>
        <v>5175000</v>
      </c>
      <c r="D123" s="157">
        <f t="shared" si="44"/>
        <v>3750000</v>
      </c>
      <c r="E123" s="157">
        <v>0</v>
      </c>
      <c r="F123" s="157">
        <v>0</v>
      </c>
      <c r="G123" s="157">
        <v>0</v>
      </c>
      <c r="H123" s="157">
        <v>0</v>
      </c>
      <c r="I123" s="157">
        <v>0</v>
      </c>
      <c r="J123" s="157">
        <v>0</v>
      </c>
      <c r="K123" s="157">
        <v>0</v>
      </c>
      <c r="L123" s="157">
        <v>0</v>
      </c>
      <c r="M123" s="157">
        <v>0</v>
      </c>
      <c r="N123" s="157">
        <v>0</v>
      </c>
      <c r="O123" s="157">
        <f>5000000-[10]Hoja2!$M$27</f>
        <v>3750000</v>
      </c>
      <c r="P123" s="157">
        <v>0</v>
      </c>
      <c r="Q123" s="157">
        <v>0</v>
      </c>
      <c r="R123" s="157">
        <v>0</v>
      </c>
      <c r="S123" s="157">
        <v>0</v>
      </c>
      <c r="T123" s="157">
        <v>0</v>
      </c>
      <c r="U123" s="157">
        <v>0</v>
      </c>
      <c r="V123" s="157">
        <v>0</v>
      </c>
      <c r="W123" s="157">
        <v>0</v>
      </c>
      <c r="X123" s="157">
        <v>0</v>
      </c>
      <c r="Y123" s="157">
        <f t="shared" si="45"/>
        <v>75000</v>
      </c>
      <c r="Z123" s="157">
        <v>0</v>
      </c>
      <c r="AA123" s="157">
        <v>0</v>
      </c>
      <c r="AB123" s="157">
        <v>75000</v>
      </c>
      <c r="AC123" s="157">
        <v>0</v>
      </c>
      <c r="AD123" s="157">
        <v>0</v>
      </c>
      <c r="AE123" s="157">
        <f t="shared" si="46"/>
        <v>100000</v>
      </c>
      <c r="AF123" s="157">
        <v>0</v>
      </c>
      <c r="AG123" s="157">
        <v>0</v>
      </c>
      <c r="AH123" s="157">
        <v>0</v>
      </c>
      <c r="AI123" s="157">
        <v>100000</v>
      </c>
      <c r="AJ123" s="157">
        <f t="shared" si="47"/>
        <v>1250000</v>
      </c>
      <c r="AK123" s="157">
        <f>+[10]Hoja2!$M$27</f>
        <v>1250000</v>
      </c>
      <c r="AL123" s="157">
        <f t="shared" si="48"/>
        <v>0</v>
      </c>
      <c r="AM123" s="157">
        <v>0</v>
      </c>
      <c r="AN123" s="157">
        <v>0</v>
      </c>
      <c r="AO123" s="158">
        <v>0</v>
      </c>
    </row>
    <row r="124" spans="1:41" x14ac:dyDescent="0.25">
      <c r="A124" s="167" t="s">
        <v>195</v>
      </c>
      <c r="B124" s="156" t="s">
        <v>196</v>
      </c>
      <c r="C124" s="157">
        <f t="shared" si="43"/>
        <v>8960000</v>
      </c>
      <c r="D124" s="157">
        <f t="shared" si="44"/>
        <v>7300000</v>
      </c>
      <c r="E124" s="157">
        <v>0</v>
      </c>
      <c r="F124" s="157">
        <v>0</v>
      </c>
      <c r="G124" s="157">
        <v>0</v>
      </c>
      <c r="H124" s="157">
        <v>0</v>
      </c>
      <c r="I124" s="157">
        <v>4200000</v>
      </c>
      <c r="J124" s="157">
        <v>0</v>
      </c>
      <c r="K124" s="157">
        <v>0</v>
      </c>
      <c r="L124" s="157">
        <v>0</v>
      </c>
      <c r="M124" s="157">
        <v>0</v>
      </c>
      <c r="N124" s="157">
        <v>0</v>
      </c>
      <c r="O124" s="157">
        <f>4000000-[10]Hoja2!$M$28</f>
        <v>3000000</v>
      </c>
      <c r="P124" s="157">
        <v>0</v>
      </c>
      <c r="Q124" s="157">
        <v>0</v>
      </c>
      <c r="R124" s="157">
        <v>0</v>
      </c>
      <c r="S124" s="157">
        <v>100000</v>
      </c>
      <c r="T124" s="157">
        <v>0</v>
      </c>
      <c r="U124" s="157">
        <v>0</v>
      </c>
      <c r="V124" s="157">
        <v>0</v>
      </c>
      <c r="W124" s="157">
        <v>0</v>
      </c>
      <c r="X124" s="157">
        <v>0</v>
      </c>
      <c r="Y124" s="157">
        <f t="shared" si="45"/>
        <v>660000</v>
      </c>
      <c r="Z124" s="157">
        <v>0</v>
      </c>
      <c r="AA124" s="157">
        <v>160000</v>
      </c>
      <c r="AB124" s="157">
        <v>500000</v>
      </c>
      <c r="AC124" s="157">
        <v>0</v>
      </c>
      <c r="AD124" s="157">
        <v>0</v>
      </c>
      <c r="AE124" s="157">
        <f t="shared" si="46"/>
        <v>0</v>
      </c>
      <c r="AF124" s="157">
        <v>0</v>
      </c>
      <c r="AG124" s="157">
        <v>0</v>
      </c>
      <c r="AH124" s="157">
        <v>0</v>
      </c>
      <c r="AI124" s="157">
        <v>0</v>
      </c>
      <c r="AJ124" s="157">
        <f t="shared" si="47"/>
        <v>1000000</v>
      </c>
      <c r="AK124" s="157">
        <f>+[10]Hoja2!$M$28</f>
        <v>1000000</v>
      </c>
      <c r="AL124" s="157">
        <f t="shared" si="48"/>
        <v>0</v>
      </c>
      <c r="AM124" s="157">
        <v>0</v>
      </c>
      <c r="AN124" s="157">
        <v>0</v>
      </c>
      <c r="AO124" s="158">
        <v>0</v>
      </c>
    </row>
    <row r="125" spans="1:41" ht="26.4" x14ac:dyDescent="0.25">
      <c r="A125" s="167" t="s">
        <v>197</v>
      </c>
      <c r="B125" s="156" t="s">
        <v>198</v>
      </c>
      <c r="C125" s="157">
        <f t="shared" si="43"/>
        <v>47141680</v>
      </c>
      <c r="D125" s="157">
        <f t="shared" si="44"/>
        <v>34518760</v>
      </c>
      <c r="E125" s="157">
        <v>0</v>
      </c>
      <c r="F125" s="157">
        <v>0</v>
      </c>
      <c r="G125" s="157">
        <v>0</v>
      </c>
      <c r="H125" s="157">
        <v>0</v>
      </c>
      <c r="I125" s="157">
        <f>45491680-[10]Hoja2!$M$29</f>
        <v>34118760</v>
      </c>
      <c r="J125" s="157">
        <v>0</v>
      </c>
      <c r="K125" s="157">
        <v>0</v>
      </c>
      <c r="L125" s="157">
        <v>0</v>
      </c>
      <c r="M125" s="157">
        <v>0</v>
      </c>
      <c r="N125" s="157">
        <v>0</v>
      </c>
      <c r="O125" s="157">
        <v>0</v>
      </c>
      <c r="P125" s="157">
        <v>0</v>
      </c>
      <c r="Q125" s="157">
        <v>0</v>
      </c>
      <c r="R125" s="157">
        <v>0</v>
      </c>
      <c r="S125" s="157">
        <v>100000</v>
      </c>
      <c r="T125" s="157">
        <v>0</v>
      </c>
      <c r="U125" s="157">
        <v>0</v>
      </c>
      <c r="V125" s="157">
        <v>0</v>
      </c>
      <c r="W125" s="157">
        <v>0</v>
      </c>
      <c r="X125" s="157">
        <v>300000</v>
      </c>
      <c r="Y125" s="157">
        <f t="shared" si="45"/>
        <v>1250000</v>
      </c>
      <c r="Z125" s="157">
        <v>0</v>
      </c>
      <c r="AA125" s="157">
        <v>200000</v>
      </c>
      <c r="AB125" s="157">
        <v>1000000</v>
      </c>
      <c r="AC125" s="157">
        <v>0</v>
      </c>
      <c r="AD125" s="157">
        <v>50000</v>
      </c>
      <c r="AE125" s="157">
        <f t="shared" si="46"/>
        <v>0</v>
      </c>
      <c r="AF125" s="157">
        <v>0</v>
      </c>
      <c r="AG125" s="157">
        <v>0</v>
      </c>
      <c r="AH125" s="157">
        <v>0</v>
      </c>
      <c r="AI125" s="157">
        <v>0</v>
      </c>
      <c r="AJ125" s="157">
        <f t="shared" si="47"/>
        <v>11372920</v>
      </c>
      <c r="AK125" s="157">
        <f>+[10]Hoja2!$M$29</f>
        <v>11372920</v>
      </c>
      <c r="AL125" s="157">
        <f t="shared" si="48"/>
        <v>0</v>
      </c>
      <c r="AM125" s="157">
        <v>0</v>
      </c>
      <c r="AN125" s="157">
        <v>0</v>
      </c>
      <c r="AO125" s="158">
        <v>0</v>
      </c>
    </row>
    <row r="126" spans="1:41" x14ac:dyDescent="0.25">
      <c r="A126" s="167" t="s">
        <v>199</v>
      </c>
      <c r="B126" s="156" t="s">
        <v>200</v>
      </c>
      <c r="C126" s="157">
        <f t="shared" si="43"/>
        <v>4750000</v>
      </c>
      <c r="D126" s="157">
        <f t="shared" si="44"/>
        <v>3550000</v>
      </c>
      <c r="E126" s="157">
        <v>0</v>
      </c>
      <c r="F126" s="157">
        <v>0</v>
      </c>
      <c r="G126" s="157">
        <v>0</v>
      </c>
      <c r="H126" s="157">
        <v>0</v>
      </c>
      <c r="I126" s="157">
        <v>0</v>
      </c>
      <c r="J126" s="157">
        <v>0</v>
      </c>
      <c r="K126" s="157">
        <v>0</v>
      </c>
      <c r="L126" s="157">
        <v>0</v>
      </c>
      <c r="M126" s="157">
        <v>0</v>
      </c>
      <c r="N126" s="157">
        <v>0</v>
      </c>
      <c r="O126" s="157">
        <v>3000000</v>
      </c>
      <c r="P126" s="157">
        <v>0</v>
      </c>
      <c r="Q126" s="157">
        <v>0</v>
      </c>
      <c r="R126" s="157">
        <v>0</v>
      </c>
      <c r="S126" s="157">
        <v>100000</v>
      </c>
      <c r="T126" s="157">
        <v>0</v>
      </c>
      <c r="U126" s="157">
        <v>0</v>
      </c>
      <c r="V126" s="157">
        <v>0</v>
      </c>
      <c r="W126" s="157">
        <v>450000</v>
      </c>
      <c r="X126" s="157">
        <v>0</v>
      </c>
      <c r="Y126" s="157">
        <f t="shared" si="45"/>
        <v>1000000</v>
      </c>
      <c r="Z126" s="157">
        <v>0</v>
      </c>
      <c r="AA126" s="157">
        <v>0</v>
      </c>
      <c r="AB126" s="157">
        <v>1000000</v>
      </c>
      <c r="AC126" s="157">
        <v>0</v>
      </c>
      <c r="AD126" s="157">
        <v>0</v>
      </c>
      <c r="AE126" s="157">
        <f t="shared" si="46"/>
        <v>200000</v>
      </c>
      <c r="AF126" s="157">
        <v>0</v>
      </c>
      <c r="AG126" s="157">
        <v>0</v>
      </c>
      <c r="AH126" s="157">
        <v>0</v>
      </c>
      <c r="AI126" s="157">
        <v>200000</v>
      </c>
      <c r="AJ126" s="157">
        <f t="shared" si="47"/>
        <v>0</v>
      </c>
      <c r="AK126" s="157">
        <v>0</v>
      </c>
      <c r="AL126" s="157">
        <f t="shared" si="48"/>
        <v>0</v>
      </c>
      <c r="AM126" s="157">
        <v>0</v>
      </c>
      <c r="AN126" s="157">
        <v>0</v>
      </c>
      <c r="AO126" s="158">
        <v>0</v>
      </c>
    </row>
    <row r="127" spans="1:41" x14ac:dyDescent="0.25">
      <c r="A127" s="160"/>
      <c r="B127" s="161"/>
      <c r="C127" s="157"/>
      <c r="D127" s="157"/>
      <c r="E127" s="157"/>
      <c r="F127" s="157"/>
      <c r="G127" s="157"/>
      <c r="H127" s="157"/>
      <c r="I127" s="157"/>
      <c r="J127" s="157"/>
      <c r="K127" s="157"/>
      <c r="L127" s="157"/>
      <c r="M127" s="157"/>
      <c r="N127" s="157"/>
      <c r="O127" s="157"/>
      <c r="P127" s="157"/>
      <c r="Q127" s="157"/>
      <c r="R127" s="157"/>
      <c r="S127" s="157"/>
      <c r="T127" s="157"/>
      <c r="U127" s="157"/>
      <c r="V127" s="157"/>
      <c r="W127" s="157"/>
      <c r="X127" s="157"/>
      <c r="Y127" s="157"/>
      <c r="Z127" s="157"/>
      <c r="AA127" s="157"/>
      <c r="AB127" s="157"/>
      <c r="AC127" s="157"/>
      <c r="AD127" s="157"/>
      <c r="AE127" s="157"/>
      <c r="AF127" s="157"/>
      <c r="AG127" s="157"/>
      <c r="AH127" s="157"/>
      <c r="AI127" s="157"/>
      <c r="AJ127" s="157"/>
      <c r="AK127" s="157"/>
      <c r="AL127" s="157"/>
      <c r="AM127" s="157"/>
      <c r="AN127" s="157"/>
      <c r="AO127" s="158"/>
    </row>
    <row r="128" spans="1:41" x14ac:dyDescent="0.25">
      <c r="A128" s="176" t="s">
        <v>201</v>
      </c>
      <c r="B128" s="162" t="s">
        <v>202</v>
      </c>
      <c r="C128" s="148">
        <f>SUM(C129)</f>
        <v>6500000</v>
      </c>
      <c r="D128" s="148">
        <f t="shared" ref="D128:AO128" si="49">SUM(D129)</f>
        <v>6500000</v>
      </c>
      <c r="E128" s="148">
        <f t="shared" si="49"/>
        <v>0</v>
      </c>
      <c r="F128" s="148">
        <f t="shared" si="49"/>
        <v>0</v>
      </c>
      <c r="G128" s="148">
        <f t="shared" si="49"/>
        <v>0</v>
      </c>
      <c r="H128" s="148">
        <f t="shared" si="49"/>
        <v>0</v>
      </c>
      <c r="I128" s="148">
        <f t="shared" si="49"/>
        <v>0</v>
      </c>
      <c r="J128" s="148">
        <f t="shared" si="49"/>
        <v>0</v>
      </c>
      <c r="K128" s="148">
        <f t="shared" si="49"/>
        <v>0</v>
      </c>
      <c r="L128" s="148">
        <f t="shared" si="49"/>
        <v>0</v>
      </c>
      <c r="M128" s="148">
        <f t="shared" si="49"/>
        <v>0</v>
      </c>
      <c r="N128" s="148">
        <f t="shared" si="49"/>
        <v>0</v>
      </c>
      <c r="O128" s="148">
        <f t="shared" si="49"/>
        <v>6500000</v>
      </c>
      <c r="P128" s="148">
        <f t="shared" si="49"/>
        <v>0</v>
      </c>
      <c r="Q128" s="148">
        <f t="shared" si="49"/>
        <v>0</v>
      </c>
      <c r="R128" s="148">
        <f t="shared" si="49"/>
        <v>0</v>
      </c>
      <c r="S128" s="148">
        <f t="shared" si="49"/>
        <v>0</v>
      </c>
      <c r="T128" s="148">
        <f t="shared" si="49"/>
        <v>0</v>
      </c>
      <c r="U128" s="148">
        <f t="shared" si="49"/>
        <v>0</v>
      </c>
      <c r="V128" s="148">
        <f t="shared" si="49"/>
        <v>0</v>
      </c>
      <c r="W128" s="148">
        <f t="shared" si="49"/>
        <v>0</v>
      </c>
      <c r="X128" s="148">
        <f t="shared" si="49"/>
        <v>0</v>
      </c>
      <c r="Y128" s="148">
        <f t="shared" si="49"/>
        <v>0</v>
      </c>
      <c r="Z128" s="148">
        <f t="shared" si="49"/>
        <v>0</v>
      </c>
      <c r="AA128" s="148">
        <f t="shared" si="49"/>
        <v>0</v>
      </c>
      <c r="AB128" s="148">
        <f t="shared" si="49"/>
        <v>0</v>
      </c>
      <c r="AC128" s="148">
        <f t="shared" si="49"/>
        <v>0</v>
      </c>
      <c r="AD128" s="148">
        <f t="shared" si="49"/>
        <v>0</v>
      </c>
      <c r="AE128" s="148">
        <f t="shared" si="49"/>
        <v>0</v>
      </c>
      <c r="AF128" s="148">
        <f t="shared" si="49"/>
        <v>0</v>
      </c>
      <c r="AG128" s="148">
        <f t="shared" si="49"/>
        <v>0</v>
      </c>
      <c r="AH128" s="148">
        <f t="shared" si="49"/>
        <v>0</v>
      </c>
      <c r="AI128" s="148">
        <f t="shared" si="49"/>
        <v>0</v>
      </c>
      <c r="AJ128" s="148">
        <f t="shared" si="49"/>
        <v>0</v>
      </c>
      <c r="AK128" s="148">
        <f t="shared" si="49"/>
        <v>0</v>
      </c>
      <c r="AL128" s="148">
        <f t="shared" si="49"/>
        <v>0</v>
      </c>
      <c r="AM128" s="148">
        <f t="shared" si="49"/>
        <v>0</v>
      </c>
      <c r="AN128" s="148">
        <f t="shared" si="49"/>
        <v>0</v>
      </c>
      <c r="AO128" s="149">
        <f t="shared" si="49"/>
        <v>0</v>
      </c>
    </row>
    <row r="129" spans="1:41" x14ac:dyDescent="0.25">
      <c r="A129" s="167" t="s">
        <v>203</v>
      </c>
      <c r="B129" s="156" t="s">
        <v>204</v>
      </c>
      <c r="C129" s="157">
        <f>SUM(D129+Y129+AE129+AJ129)</f>
        <v>6500000</v>
      </c>
      <c r="D129" s="157">
        <f>SUM(E129:X129)</f>
        <v>6500000</v>
      </c>
      <c r="E129" s="157">
        <v>0</v>
      </c>
      <c r="F129" s="157">
        <v>0</v>
      </c>
      <c r="G129" s="157">
        <v>0</v>
      </c>
      <c r="H129" s="157">
        <v>0</v>
      </c>
      <c r="I129" s="157">
        <v>0</v>
      </c>
      <c r="J129" s="157">
        <v>0</v>
      </c>
      <c r="K129" s="157">
        <v>0</v>
      </c>
      <c r="L129" s="157">
        <v>0</v>
      </c>
      <c r="M129" s="157">
        <v>0</v>
      </c>
      <c r="N129" s="157">
        <v>0</v>
      </c>
      <c r="O129" s="157">
        <v>6500000</v>
      </c>
      <c r="P129" s="157">
        <v>0</v>
      </c>
      <c r="Q129" s="157">
        <v>0</v>
      </c>
      <c r="R129" s="157">
        <v>0</v>
      </c>
      <c r="S129" s="157">
        <v>0</v>
      </c>
      <c r="T129" s="157">
        <v>0</v>
      </c>
      <c r="U129" s="157">
        <v>0</v>
      </c>
      <c r="V129" s="157">
        <v>0</v>
      </c>
      <c r="W129" s="157">
        <v>0</v>
      </c>
      <c r="X129" s="157">
        <v>0</v>
      </c>
      <c r="Y129" s="157">
        <f>SUM(Z129:AD129)</f>
        <v>0</v>
      </c>
      <c r="Z129" s="157">
        <v>0</v>
      </c>
      <c r="AA129" s="157">
        <v>0</v>
      </c>
      <c r="AB129" s="157">
        <v>0</v>
      </c>
      <c r="AC129" s="157">
        <v>0</v>
      </c>
      <c r="AD129" s="157">
        <v>0</v>
      </c>
      <c r="AE129" s="157">
        <f>SUM(AF129:AI129)</f>
        <v>0</v>
      </c>
      <c r="AF129" s="157">
        <v>0</v>
      </c>
      <c r="AG129" s="157">
        <v>0</v>
      </c>
      <c r="AH129" s="157">
        <v>0</v>
      </c>
      <c r="AI129" s="157">
        <v>0</v>
      </c>
      <c r="AJ129" s="157">
        <f>SUM(AK129:AL129)</f>
        <v>0</v>
      </c>
      <c r="AK129" s="157">
        <v>0</v>
      </c>
      <c r="AL129" s="157">
        <f>SUM(AM129:AO129)</f>
        <v>0</v>
      </c>
      <c r="AM129" s="157">
        <v>0</v>
      </c>
      <c r="AN129" s="157">
        <v>0</v>
      </c>
      <c r="AO129" s="158">
        <v>0</v>
      </c>
    </row>
    <row r="130" spans="1:41" x14ac:dyDescent="0.25">
      <c r="A130" s="167"/>
      <c r="B130" s="156"/>
      <c r="C130" s="157"/>
      <c r="D130" s="157"/>
      <c r="E130" s="157"/>
      <c r="F130" s="157"/>
      <c r="G130" s="157"/>
      <c r="H130" s="157"/>
      <c r="I130" s="157"/>
      <c r="J130" s="157"/>
      <c r="K130" s="157"/>
      <c r="L130" s="157"/>
      <c r="M130" s="157"/>
      <c r="N130" s="157"/>
      <c r="O130" s="157"/>
      <c r="P130" s="157"/>
      <c r="Q130" s="157"/>
      <c r="R130" s="157"/>
      <c r="S130" s="157"/>
      <c r="T130" s="157"/>
      <c r="U130" s="157"/>
      <c r="V130" s="157"/>
      <c r="W130" s="157"/>
      <c r="X130" s="157"/>
      <c r="Y130" s="157"/>
      <c r="Z130" s="157"/>
      <c r="AA130" s="157"/>
      <c r="AB130" s="157"/>
      <c r="AC130" s="157"/>
      <c r="AD130" s="157"/>
      <c r="AE130" s="157"/>
      <c r="AF130" s="157"/>
      <c r="AG130" s="157"/>
      <c r="AH130" s="157"/>
      <c r="AI130" s="157"/>
      <c r="AJ130" s="157"/>
      <c r="AK130" s="157"/>
      <c r="AL130" s="157"/>
      <c r="AM130" s="157"/>
      <c r="AN130" s="157"/>
      <c r="AO130" s="158"/>
    </row>
    <row r="131" spans="1:41" x14ac:dyDescent="0.25">
      <c r="A131" s="176" t="s">
        <v>205</v>
      </c>
      <c r="B131" s="162" t="s">
        <v>206</v>
      </c>
      <c r="C131" s="148">
        <f>SUM(C132:C134)</f>
        <v>1850000</v>
      </c>
      <c r="D131" s="148">
        <f t="shared" ref="D131:AO131" si="50">SUM(D132:D134)</f>
        <v>1850000</v>
      </c>
      <c r="E131" s="148">
        <f t="shared" si="50"/>
        <v>0</v>
      </c>
      <c r="F131" s="148">
        <f t="shared" si="50"/>
        <v>0</v>
      </c>
      <c r="G131" s="148">
        <f t="shared" si="50"/>
        <v>0</v>
      </c>
      <c r="H131" s="148">
        <f t="shared" si="50"/>
        <v>0</v>
      </c>
      <c r="I131" s="148">
        <f t="shared" si="50"/>
        <v>0</v>
      </c>
      <c r="J131" s="148">
        <f t="shared" si="50"/>
        <v>0</v>
      </c>
      <c r="K131" s="148">
        <f t="shared" si="50"/>
        <v>0</v>
      </c>
      <c r="L131" s="148">
        <f t="shared" si="50"/>
        <v>0</v>
      </c>
      <c r="M131" s="148">
        <f t="shared" si="50"/>
        <v>0</v>
      </c>
      <c r="N131" s="148">
        <f t="shared" si="50"/>
        <v>0</v>
      </c>
      <c r="O131" s="148">
        <f t="shared" si="50"/>
        <v>1850000</v>
      </c>
      <c r="P131" s="148">
        <f t="shared" si="50"/>
        <v>0</v>
      </c>
      <c r="Q131" s="148">
        <f t="shared" si="50"/>
        <v>0</v>
      </c>
      <c r="R131" s="148">
        <f t="shared" si="50"/>
        <v>0</v>
      </c>
      <c r="S131" s="148">
        <f t="shared" si="50"/>
        <v>0</v>
      </c>
      <c r="T131" s="148">
        <f t="shared" si="50"/>
        <v>0</v>
      </c>
      <c r="U131" s="148">
        <f t="shared" si="50"/>
        <v>0</v>
      </c>
      <c r="V131" s="148">
        <f t="shared" si="50"/>
        <v>0</v>
      </c>
      <c r="W131" s="148">
        <f t="shared" si="50"/>
        <v>0</v>
      </c>
      <c r="X131" s="148">
        <f t="shared" si="50"/>
        <v>0</v>
      </c>
      <c r="Y131" s="148">
        <f t="shared" si="50"/>
        <v>0</v>
      </c>
      <c r="Z131" s="148">
        <f t="shared" si="50"/>
        <v>0</v>
      </c>
      <c r="AA131" s="148">
        <f t="shared" si="50"/>
        <v>0</v>
      </c>
      <c r="AB131" s="148">
        <f t="shared" si="50"/>
        <v>0</v>
      </c>
      <c r="AC131" s="148">
        <f t="shared" si="50"/>
        <v>0</v>
      </c>
      <c r="AD131" s="148">
        <f t="shared" si="50"/>
        <v>0</v>
      </c>
      <c r="AE131" s="148">
        <f t="shared" si="50"/>
        <v>0</v>
      </c>
      <c r="AF131" s="148">
        <f t="shared" si="50"/>
        <v>0</v>
      </c>
      <c r="AG131" s="148">
        <f t="shared" si="50"/>
        <v>0</v>
      </c>
      <c r="AH131" s="148">
        <f t="shared" si="50"/>
        <v>0</v>
      </c>
      <c r="AI131" s="148">
        <f t="shared" si="50"/>
        <v>0</v>
      </c>
      <c r="AJ131" s="148">
        <f t="shared" si="50"/>
        <v>0</v>
      </c>
      <c r="AK131" s="148">
        <f t="shared" si="50"/>
        <v>0</v>
      </c>
      <c r="AL131" s="148">
        <f t="shared" si="50"/>
        <v>0</v>
      </c>
      <c r="AM131" s="148">
        <f t="shared" si="50"/>
        <v>0</v>
      </c>
      <c r="AN131" s="148">
        <f t="shared" si="50"/>
        <v>0</v>
      </c>
      <c r="AO131" s="149">
        <f t="shared" si="50"/>
        <v>0</v>
      </c>
    </row>
    <row r="132" spans="1:41" x14ac:dyDescent="0.25">
      <c r="A132" s="167" t="s">
        <v>207</v>
      </c>
      <c r="B132" s="156" t="s">
        <v>208</v>
      </c>
      <c r="C132" s="157">
        <f>SUM(D132+Y132+AE132+AJ132)</f>
        <v>200000</v>
      </c>
      <c r="D132" s="157">
        <f>SUM(E132:X132)</f>
        <v>200000</v>
      </c>
      <c r="E132" s="157">
        <v>0</v>
      </c>
      <c r="F132" s="157">
        <v>0</v>
      </c>
      <c r="G132" s="157">
        <v>0</v>
      </c>
      <c r="H132" s="157">
        <v>0</v>
      </c>
      <c r="I132" s="157">
        <v>0</v>
      </c>
      <c r="J132" s="157">
        <v>0</v>
      </c>
      <c r="K132" s="157">
        <v>0</v>
      </c>
      <c r="L132" s="157">
        <v>0</v>
      </c>
      <c r="M132" s="157">
        <v>0</v>
      </c>
      <c r="N132" s="157">
        <v>0</v>
      </c>
      <c r="O132" s="157">
        <v>200000</v>
      </c>
      <c r="P132" s="157">
        <v>0</v>
      </c>
      <c r="Q132" s="157">
        <v>0</v>
      </c>
      <c r="R132" s="157">
        <v>0</v>
      </c>
      <c r="S132" s="157">
        <v>0</v>
      </c>
      <c r="T132" s="157">
        <v>0</v>
      </c>
      <c r="U132" s="157">
        <v>0</v>
      </c>
      <c r="V132" s="157">
        <v>0</v>
      </c>
      <c r="W132" s="157">
        <v>0</v>
      </c>
      <c r="X132" s="157">
        <v>0</v>
      </c>
      <c r="Y132" s="157">
        <f>SUM(Z132:AD132)</f>
        <v>0</v>
      </c>
      <c r="Z132" s="157">
        <v>0</v>
      </c>
      <c r="AA132" s="157">
        <v>0</v>
      </c>
      <c r="AB132" s="157">
        <v>0</v>
      </c>
      <c r="AC132" s="157">
        <v>0</v>
      </c>
      <c r="AD132" s="157">
        <v>0</v>
      </c>
      <c r="AE132" s="157">
        <f>SUM(AF132:AI132)</f>
        <v>0</v>
      </c>
      <c r="AF132" s="157">
        <v>0</v>
      </c>
      <c r="AG132" s="157">
        <v>0</v>
      </c>
      <c r="AH132" s="157">
        <v>0</v>
      </c>
      <c r="AI132" s="157">
        <v>0</v>
      </c>
      <c r="AJ132" s="157">
        <f>SUM(AK132:AL132)</f>
        <v>0</v>
      </c>
      <c r="AK132" s="157">
        <v>0</v>
      </c>
      <c r="AL132" s="157">
        <f>SUM(AM132:AO132)</f>
        <v>0</v>
      </c>
      <c r="AM132" s="157">
        <v>0</v>
      </c>
      <c r="AN132" s="157">
        <v>0</v>
      </c>
      <c r="AO132" s="158">
        <v>0</v>
      </c>
    </row>
    <row r="133" spans="1:41" x14ac:dyDescent="0.25">
      <c r="A133" s="167" t="s">
        <v>209</v>
      </c>
      <c r="B133" s="156" t="s">
        <v>210</v>
      </c>
      <c r="C133" s="157">
        <f>SUM(D133+Y133+AE133+AJ133)</f>
        <v>1400000</v>
      </c>
      <c r="D133" s="157">
        <f>SUM(E133:X133)</f>
        <v>1400000</v>
      </c>
      <c r="E133" s="157">
        <v>0</v>
      </c>
      <c r="F133" s="157">
        <v>0</v>
      </c>
      <c r="G133" s="157">
        <v>0</v>
      </c>
      <c r="H133" s="157">
        <v>0</v>
      </c>
      <c r="I133" s="157">
        <v>0</v>
      </c>
      <c r="J133" s="157">
        <v>0</v>
      </c>
      <c r="K133" s="157">
        <v>0</v>
      </c>
      <c r="L133" s="157">
        <v>0</v>
      </c>
      <c r="M133" s="157">
        <v>0</v>
      </c>
      <c r="N133" s="157">
        <v>0</v>
      </c>
      <c r="O133" s="157">
        <v>1400000</v>
      </c>
      <c r="P133" s="157">
        <v>0</v>
      </c>
      <c r="Q133" s="157">
        <v>0</v>
      </c>
      <c r="R133" s="157">
        <v>0</v>
      </c>
      <c r="S133" s="157">
        <v>0</v>
      </c>
      <c r="T133" s="157">
        <v>0</v>
      </c>
      <c r="U133" s="157">
        <v>0</v>
      </c>
      <c r="V133" s="157">
        <v>0</v>
      </c>
      <c r="W133" s="157">
        <v>0</v>
      </c>
      <c r="X133" s="157">
        <v>0</v>
      </c>
      <c r="Y133" s="157">
        <f>SUM(Z133:AD133)</f>
        <v>0</v>
      </c>
      <c r="Z133" s="157">
        <v>0</v>
      </c>
      <c r="AA133" s="157">
        <v>0</v>
      </c>
      <c r="AB133" s="157">
        <v>0</v>
      </c>
      <c r="AC133" s="157">
        <v>0</v>
      </c>
      <c r="AD133" s="157">
        <v>0</v>
      </c>
      <c r="AE133" s="157">
        <f>SUM(AF133:AI133)</f>
        <v>0</v>
      </c>
      <c r="AF133" s="157">
        <v>0</v>
      </c>
      <c r="AG133" s="157">
        <v>0</v>
      </c>
      <c r="AH133" s="157">
        <v>0</v>
      </c>
      <c r="AI133" s="157">
        <v>0</v>
      </c>
      <c r="AJ133" s="157">
        <f>SUM(AK133:AL133)</f>
        <v>0</v>
      </c>
      <c r="AK133" s="157">
        <v>0</v>
      </c>
      <c r="AL133" s="157">
        <f>SUM(AM133:AO133)</f>
        <v>0</v>
      </c>
      <c r="AM133" s="157">
        <v>0</v>
      </c>
      <c r="AN133" s="157">
        <v>0</v>
      </c>
      <c r="AO133" s="158">
        <v>0</v>
      </c>
    </row>
    <row r="134" spans="1:41" x14ac:dyDescent="0.25">
      <c r="A134" s="167" t="s">
        <v>211</v>
      </c>
      <c r="B134" s="156" t="s">
        <v>212</v>
      </c>
      <c r="C134" s="157">
        <f>SUM(D134+Y134+AE134+AJ134)</f>
        <v>250000</v>
      </c>
      <c r="D134" s="157">
        <f>SUM(E134:X134)</f>
        <v>250000</v>
      </c>
      <c r="E134" s="157">
        <v>0</v>
      </c>
      <c r="F134" s="157">
        <v>0</v>
      </c>
      <c r="G134" s="157">
        <v>0</v>
      </c>
      <c r="H134" s="157">
        <v>0</v>
      </c>
      <c r="I134" s="157">
        <v>0</v>
      </c>
      <c r="J134" s="157">
        <v>0</v>
      </c>
      <c r="K134" s="157">
        <v>0</v>
      </c>
      <c r="L134" s="157">
        <v>0</v>
      </c>
      <c r="M134" s="157">
        <v>0</v>
      </c>
      <c r="N134" s="157">
        <v>0</v>
      </c>
      <c r="O134" s="157">
        <v>250000</v>
      </c>
      <c r="P134" s="157">
        <v>0</v>
      </c>
      <c r="Q134" s="157">
        <v>0</v>
      </c>
      <c r="R134" s="157">
        <v>0</v>
      </c>
      <c r="S134" s="157">
        <v>0</v>
      </c>
      <c r="T134" s="157">
        <v>0</v>
      </c>
      <c r="U134" s="157">
        <v>0</v>
      </c>
      <c r="V134" s="157">
        <v>0</v>
      </c>
      <c r="W134" s="157">
        <v>0</v>
      </c>
      <c r="X134" s="157">
        <v>0</v>
      </c>
      <c r="Y134" s="157">
        <f>SUM(Z134:AD134)</f>
        <v>0</v>
      </c>
      <c r="Z134" s="157">
        <v>0</v>
      </c>
      <c r="AA134" s="157">
        <v>0</v>
      </c>
      <c r="AB134" s="157">
        <v>0</v>
      </c>
      <c r="AC134" s="157">
        <v>0</v>
      </c>
      <c r="AD134" s="157">
        <v>0</v>
      </c>
      <c r="AE134" s="157">
        <f>SUM(AF134:AI134)</f>
        <v>0</v>
      </c>
      <c r="AF134" s="157">
        <v>0</v>
      </c>
      <c r="AG134" s="157">
        <v>0</v>
      </c>
      <c r="AH134" s="157">
        <v>0</v>
      </c>
      <c r="AI134" s="157">
        <v>0</v>
      </c>
      <c r="AJ134" s="157">
        <f>SUM(AK134:AL134)</f>
        <v>0</v>
      </c>
      <c r="AK134" s="157">
        <v>0</v>
      </c>
      <c r="AL134" s="157">
        <f>SUM(AM134:AO134)</f>
        <v>0</v>
      </c>
      <c r="AM134" s="157">
        <v>0</v>
      </c>
      <c r="AN134" s="157">
        <v>0</v>
      </c>
      <c r="AO134" s="158">
        <v>0</v>
      </c>
    </row>
    <row r="135" spans="1:41" x14ac:dyDescent="0.25">
      <c r="A135" s="160"/>
      <c r="B135" s="161"/>
      <c r="C135" s="157"/>
      <c r="D135" s="157"/>
      <c r="E135" s="157"/>
      <c r="F135" s="157"/>
      <c r="G135" s="157"/>
      <c r="H135" s="157"/>
      <c r="I135" s="157"/>
      <c r="J135" s="157"/>
      <c r="K135" s="157"/>
      <c r="L135" s="157"/>
      <c r="M135" s="157"/>
      <c r="N135" s="157"/>
      <c r="O135" s="157"/>
      <c r="P135" s="157"/>
      <c r="Q135" s="157"/>
      <c r="R135" s="157"/>
      <c r="S135" s="157"/>
      <c r="T135" s="157"/>
      <c r="U135" s="157"/>
      <c r="V135" s="157"/>
      <c r="W135" s="157"/>
      <c r="X135" s="157"/>
      <c r="Y135" s="157"/>
      <c r="Z135" s="157"/>
      <c r="AA135" s="157"/>
      <c r="AB135" s="157"/>
      <c r="AC135" s="157"/>
      <c r="AD135" s="157"/>
      <c r="AE135" s="157"/>
      <c r="AF135" s="157"/>
      <c r="AG135" s="157"/>
      <c r="AH135" s="157"/>
      <c r="AI135" s="157"/>
      <c r="AJ135" s="157"/>
      <c r="AK135" s="157"/>
      <c r="AL135" s="157"/>
      <c r="AM135" s="157"/>
      <c r="AN135" s="157"/>
      <c r="AO135" s="158"/>
    </row>
    <row r="136" spans="1:41" x14ac:dyDescent="0.25">
      <c r="A136" s="178">
        <v>2</v>
      </c>
      <c r="B136" s="162" t="s">
        <v>213</v>
      </c>
      <c r="C136" s="142">
        <f>+C138+C145+C149+C158+C162</f>
        <v>94261530</v>
      </c>
      <c r="D136" s="142">
        <f t="shared" ref="D136:AO136" si="51">+D138+D145+D149+D158+D162</f>
        <v>70721530</v>
      </c>
      <c r="E136" s="142">
        <f t="shared" si="51"/>
        <v>0</v>
      </c>
      <c r="F136" s="142">
        <f t="shared" si="51"/>
        <v>0</v>
      </c>
      <c r="G136" s="142">
        <f t="shared" si="51"/>
        <v>1725806</v>
      </c>
      <c r="H136" s="142">
        <f t="shared" si="51"/>
        <v>0</v>
      </c>
      <c r="I136" s="142">
        <f t="shared" si="51"/>
        <v>14530890</v>
      </c>
      <c r="J136" s="142">
        <f t="shared" si="51"/>
        <v>3590</v>
      </c>
      <c r="K136" s="142">
        <f t="shared" si="51"/>
        <v>0</v>
      </c>
      <c r="L136" s="142">
        <f t="shared" si="51"/>
        <v>3000000</v>
      </c>
      <c r="M136" s="142">
        <f t="shared" si="51"/>
        <v>0</v>
      </c>
      <c r="N136" s="142">
        <f t="shared" si="51"/>
        <v>90000</v>
      </c>
      <c r="O136" s="142">
        <f t="shared" si="51"/>
        <v>27076000</v>
      </c>
      <c r="P136" s="142">
        <f t="shared" si="51"/>
        <v>641928</v>
      </c>
      <c r="Q136" s="142">
        <f t="shared" si="51"/>
        <v>0</v>
      </c>
      <c r="R136" s="142">
        <f t="shared" si="51"/>
        <v>200000</v>
      </c>
      <c r="S136" s="142">
        <f t="shared" si="51"/>
        <v>600000</v>
      </c>
      <c r="T136" s="142">
        <f t="shared" si="51"/>
        <v>700000</v>
      </c>
      <c r="U136" s="142">
        <f t="shared" si="51"/>
        <v>0</v>
      </c>
      <c r="V136" s="142">
        <f t="shared" si="51"/>
        <v>16491316</v>
      </c>
      <c r="W136" s="142">
        <f t="shared" si="51"/>
        <v>4562000</v>
      </c>
      <c r="X136" s="142">
        <f t="shared" si="51"/>
        <v>1100000</v>
      </c>
      <c r="Y136" s="142">
        <f t="shared" si="51"/>
        <v>4955000</v>
      </c>
      <c r="Z136" s="142">
        <f t="shared" si="51"/>
        <v>515000</v>
      </c>
      <c r="AA136" s="142">
        <f t="shared" si="51"/>
        <v>930000</v>
      </c>
      <c r="AB136" s="142">
        <f t="shared" si="51"/>
        <v>1805000</v>
      </c>
      <c r="AC136" s="142">
        <f t="shared" si="51"/>
        <v>1610000</v>
      </c>
      <c r="AD136" s="142">
        <f t="shared" si="51"/>
        <v>95000</v>
      </c>
      <c r="AE136" s="142">
        <f t="shared" si="51"/>
        <v>0</v>
      </c>
      <c r="AF136" s="142">
        <f t="shared" si="51"/>
        <v>0</v>
      </c>
      <c r="AG136" s="142">
        <f t="shared" si="51"/>
        <v>0</v>
      </c>
      <c r="AH136" s="142">
        <f t="shared" si="51"/>
        <v>0</v>
      </c>
      <c r="AI136" s="142">
        <f t="shared" si="51"/>
        <v>0</v>
      </c>
      <c r="AJ136" s="142">
        <f t="shared" si="51"/>
        <v>18585000</v>
      </c>
      <c r="AK136" s="142">
        <f t="shared" si="51"/>
        <v>15650000</v>
      </c>
      <c r="AL136" s="142">
        <f t="shared" si="51"/>
        <v>2935000</v>
      </c>
      <c r="AM136" s="142">
        <f t="shared" si="51"/>
        <v>500000</v>
      </c>
      <c r="AN136" s="142">
        <f t="shared" si="51"/>
        <v>2385000</v>
      </c>
      <c r="AO136" s="143">
        <f t="shared" si="51"/>
        <v>50000</v>
      </c>
    </row>
    <row r="137" spans="1:41" x14ac:dyDescent="0.25">
      <c r="A137" s="178"/>
      <c r="B137" s="162"/>
      <c r="C137" s="142"/>
      <c r="D137" s="142"/>
      <c r="E137" s="142"/>
      <c r="F137" s="142"/>
      <c r="G137" s="142"/>
      <c r="H137" s="142"/>
      <c r="I137" s="142"/>
      <c r="J137" s="142"/>
      <c r="K137" s="142"/>
      <c r="L137" s="142"/>
      <c r="M137" s="142"/>
      <c r="N137" s="142"/>
      <c r="O137" s="142"/>
      <c r="P137" s="142"/>
      <c r="Q137" s="142"/>
      <c r="R137" s="142"/>
      <c r="S137" s="142"/>
      <c r="T137" s="142"/>
      <c r="U137" s="142"/>
      <c r="V137" s="142"/>
      <c r="W137" s="142"/>
      <c r="X137" s="142"/>
      <c r="Y137" s="142"/>
      <c r="Z137" s="142"/>
      <c r="AA137" s="142"/>
      <c r="AB137" s="142"/>
      <c r="AC137" s="142"/>
      <c r="AD137" s="142"/>
      <c r="AE137" s="142"/>
      <c r="AF137" s="142"/>
      <c r="AG137" s="142"/>
      <c r="AH137" s="142"/>
      <c r="AI137" s="142"/>
      <c r="AJ137" s="142"/>
      <c r="AK137" s="142"/>
      <c r="AL137" s="142"/>
      <c r="AM137" s="142"/>
      <c r="AN137" s="142"/>
      <c r="AO137" s="143"/>
    </row>
    <row r="138" spans="1:41" x14ac:dyDescent="0.25">
      <c r="A138" s="176" t="s">
        <v>214</v>
      </c>
      <c r="B138" s="162" t="s">
        <v>215</v>
      </c>
      <c r="C138" s="142">
        <f>SUM(C139:C143)</f>
        <v>17240325</v>
      </c>
      <c r="D138" s="142">
        <f t="shared" ref="D138:AO138" si="52">SUM(D139:D143)</f>
        <v>12000325</v>
      </c>
      <c r="E138" s="142">
        <f t="shared" si="52"/>
        <v>0</v>
      </c>
      <c r="F138" s="142">
        <f t="shared" si="52"/>
        <v>0</v>
      </c>
      <c r="G138" s="142">
        <f t="shared" si="52"/>
        <v>0</v>
      </c>
      <c r="H138" s="142">
        <f t="shared" si="52"/>
        <v>0</v>
      </c>
      <c r="I138" s="142">
        <f t="shared" si="52"/>
        <v>1015849</v>
      </c>
      <c r="J138" s="142">
        <f t="shared" si="52"/>
        <v>0</v>
      </c>
      <c r="K138" s="142">
        <f t="shared" si="52"/>
        <v>0</v>
      </c>
      <c r="L138" s="142">
        <f t="shared" si="52"/>
        <v>0</v>
      </c>
      <c r="M138" s="142">
        <f t="shared" si="52"/>
        <v>0</v>
      </c>
      <c r="N138" s="142">
        <f t="shared" si="52"/>
        <v>0</v>
      </c>
      <c r="O138" s="142">
        <f t="shared" si="52"/>
        <v>7400000</v>
      </c>
      <c r="P138" s="142">
        <f t="shared" si="52"/>
        <v>0</v>
      </c>
      <c r="Q138" s="142">
        <f t="shared" si="52"/>
        <v>0</v>
      </c>
      <c r="R138" s="142">
        <f t="shared" si="52"/>
        <v>0</v>
      </c>
      <c r="S138" s="142">
        <f t="shared" si="52"/>
        <v>0</v>
      </c>
      <c r="T138" s="142">
        <f t="shared" si="52"/>
        <v>100000</v>
      </c>
      <c r="U138" s="142">
        <f t="shared" si="52"/>
        <v>0</v>
      </c>
      <c r="V138" s="142">
        <f t="shared" si="52"/>
        <v>2352476</v>
      </c>
      <c r="W138" s="142">
        <f t="shared" si="52"/>
        <v>1032000</v>
      </c>
      <c r="X138" s="142">
        <f t="shared" si="52"/>
        <v>100000</v>
      </c>
      <c r="Y138" s="142">
        <f t="shared" si="52"/>
        <v>715000</v>
      </c>
      <c r="Z138" s="142">
        <f t="shared" si="52"/>
        <v>215000</v>
      </c>
      <c r="AA138" s="142">
        <f t="shared" si="52"/>
        <v>0</v>
      </c>
      <c r="AB138" s="142">
        <f t="shared" si="52"/>
        <v>0</v>
      </c>
      <c r="AC138" s="142">
        <f t="shared" si="52"/>
        <v>500000</v>
      </c>
      <c r="AD138" s="142">
        <f t="shared" si="52"/>
        <v>0</v>
      </c>
      <c r="AE138" s="142">
        <f t="shared" si="52"/>
        <v>0</v>
      </c>
      <c r="AF138" s="142">
        <f t="shared" si="52"/>
        <v>0</v>
      </c>
      <c r="AG138" s="142">
        <f t="shared" si="52"/>
        <v>0</v>
      </c>
      <c r="AH138" s="142">
        <f t="shared" si="52"/>
        <v>0</v>
      </c>
      <c r="AI138" s="142">
        <f t="shared" si="52"/>
        <v>0</v>
      </c>
      <c r="AJ138" s="142">
        <f t="shared" si="52"/>
        <v>4525000</v>
      </c>
      <c r="AK138" s="142">
        <f t="shared" si="52"/>
        <v>4300000</v>
      </c>
      <c r="AL138" s="142">
        <f t="shared" si="52"/>
        <v>225000</v>
      </c>
      <c r="AM138" s="142">
        <f t="shared" si="52"/>
        <v>150000</v>
      </c>
      <c r="AN138" s="142">
        <f t="shared" si="52"/>
        <v>75000</v>
      </c>
      <c r="AO138" s="143">
        <f t="shared" si="52"/>
        <v>0</v>
      </c>
    </row>
    <row r="139" spans="1:41" x14ac:dyDescent="0.25">
      <c r="A139" s="167" t="s">
        <v>216</v>
      </c>
      <c r="B139" s="156" t="s">
        <v>217</v>
      </c>
      <c r="C139" s="157">
        <f>SUM(D139+Y139+AE139+AJ139)</f>
        <v>9000000</v>
      </c>
      <c r="D139" s="157">
        <f>SUM(E139:X139)</f>
        <v>6750000</v>
      </c>
      <c r="E139" s="157">
        <v>0</v>
      </c>
      <c r="F139" s="157">
        <v>0</v>
      </c>
      <c r="G139" s="157">
        <v>0</v>
      </c>
      <c r="H139" s="157">
        <v>0</v>
      </c>
      <c r="I139" s="157">
        <v>0</v>
      </c>
      <c r="J139" s="157">
        <v>0</v>
      </c>
      <c r="K139" s="157">
        <v>0</v>
      </c>
      <c r="L139" s="157">
        <v>0</v>
      </c>
      <c r="M139" s="157">
        <v>0</v>
      </c>
      <c r="N139" s="157">
        <v>0</v>
      </c>
      <c r="O139" s="157">
        <f>9000000-[10]Hoja2!$M$30</f>
        <v>6750000</v>
      </c>
      <c r="P139" s="157">
        <v>0</v>
      </c>
      <c r="Q139" s="157">
        <v>0</v>
      </c>
      <c r="R139" s="157">
        <v>0</v>
      </c>
      <c r="S139" s="157">
        <v>0</v>
      </c>
      <c r="T139" s="157">
        <v>0</v>
      </c>
      <c r="U139" s="157">
        <v>0</v>
      </c>
      <c r="V139" s="157">
        <v>0</v>
      </c>
      <c r="W139" s="157">
        <v>0</v>
      </c>
      <c r="X139" s="157">
        <v>0</v>
      </c>
      <c r="Y139" s="157">
        <f>SUM(Z139:AD139)</f>
        <v>0</v>
      </c>
      <c r="Z139" s="157">
        <v>0</v>
      </c>
      <c r="AA139" s="157">
        <v>0</v>
      </c>
      <c r="AB139" s="157">
        <v>0</v>
      </c>
      <c r="AC139" s="157">
        <v>0</v>
      </c>
      <c r="AD139" s="157">
        <v>0</v>
      </c>
      <c r="AE139" s="157">
        <f>SUM(AF139:AI139)</f>
        <v>0</v>
      </c>
      <c r="AF139" s="157">
        <v>0</v>
      </c>
      <c r="AG139" s="157">
        <v>0</v>
      </c>
      <c r="AH139" s="157">
        <v>0</v>
      </c>
      <c r="AI139" s="157">
        <v>0</v>
      </c>
      <c r="AJ139" s="157">
        <f>SUM(AK139:AL139)</f>
        <v>2250000</v>
      </c>
      <c r="AK139" s="157">
        <f>+[10]Hoja2!$M$30</f>
        <v>2250000</v>
      </c>
      <c r="AL139" s="157">
        <f>SUM(AM139:AO139)</f>
        <v>0</v>
      </c>
      <c r="AM139" s="157">
        <v>0</v>
      </c>
      <c r="AN139" s="157">
        <v>0</v>
      </c>
      <c r="AO139" s="158">
        <v>0</v>
      </c>
    </row>
    <row r="140" spans="1:41" x14ac:dyDescent="0.25">
      <c r="A140" s="167" t="s">
        <v>218</v>
      </c>
      <c r="B140" s="156" t="s">
        <v>219</v>
      </c>
      <c r="C140" s="157">
        <f>SUM(D140+Y140+AE140+AJ140)</f>
        <v>1332000</v>
      </c>
      <c r="D140" s="157">
        <f>SUM(E140:X140)</f>
        <v>1332000</v>
      </c>
      <c r="E140" s="157">
        <v>0</v>
      </c>
      <c r="F140" s="157">
        <v>0</v>
      </c>
      <c r="G140" s="157">
        <v>0</v>
      </c>
      <c r="H140" s="157">
        <v>0</v>
      </c>
      <c r="I140" s="157">
        <v>0</v>
      </c>
      <c r="J140" s="157">
        <v>0</v>
      </c>
      <c r="K140" s="157">
        <v>0</v>
      </c>
      <c r="L140" s="157">
        <v>0</v>
      </c>
      <c r="M140" s="157">
        <v>0</v>
      </c>
      <c r="N140" s="157">
        <v>0</v>
      </c>
      <c r="O140" s="157">
        <v>200000</v>
      </c>
      <c r="P140" s="157">
        <v>0</v>
      </c>
      <c r="Q140" s="157">
        <v>0</v>
      </c>
      <c r="R140" s="157">
        <v>0</v>
      </c>
      <c r="S140" s="157">
        <v>0</v>
      </c>
      <c r="T140" s="157">
        <v>100000</v>
      </c>
      <c r="U140" s="157">
        <v>0</v>
      </c>
      <c r="V140" s="157">
        <v>0</v>
      </c>
      <c r="W140" s="157">
        <v>1032000</v>
      </c>
      <c r="X140" s="157">
        <v>0</v>
      </c>
      <c r="Y140" s="157">
        <f>SUM(Z140:AD140)</f>
        <v>0</v>
      </c>
      <c r="Z140" s="157">
        <v>0</v>
      </c>
      <c r="AA140" s="157">
        <v>0</v>
      </c>
      <c r="AB140" s="157">
        <v>0</v>
      </c>
      <c r="AC140" s="157">
        <v>0</v>
      </c>
      <c r="AD140" s="157">
        <v>0</v>
      </c>
      <c r="AE140" s="157">
        <f>SUM(AF140:AI140)</f>
        <v>0</v>
      </c>
      <c r="AF140" s="157">
        <v>0</v>
      </c>
      <c r="AG140" s="157">
        <v>0</v>
      </c>
      <c r="AH140" s="157">
        <v>0</v>
      </c>
      <c r="AI140" s="157">
        <v>0</v>
      </c>
      <c r="AJ140" s="157">
        <f>SUM(AK140:AL140)</f>
        <v>0</v>
      </c>
      <c r="AK140" s="157">
        <v>0</v>
      </c>
      <c r="AL140" s="157">
        <f>SUM(AM140:AO140)</f>
        <v>0</v>
      </c>
      <c r="AM140" s="157">
        <v>0</v>
      </c>
      <c r="AN140" s="157">
        <v>0</v>
      </c>
      <c r="AO140" s="158">
        <v>0</v>
      </c>
    </row>
    <row r="141" spans="1:41" x14ac:dyDescent="0.25">
      <c r="A141" s="167" t="s">
        <v>220</v>
      </c>
      <c r="B141" s="161" t="s">
        <v>221</v>
      </c>
      <c r="C141" s="157">
        <f>SUM(D141+Y141+AE141+AJ141)</f>
        <v>150000</v>
      </c>
      <c r="D141" s="157">
        <f>SUM(E141:X141)</f>
        <v>150000</v>
      </c>
      <c r="E141" s="157">
        <v>0</v>
      </c>
      <c r="F141" s="157">
        <v>0</v>
      </c>
      <c r="G141" s="157">
        <v>0</v>
      </c>
      <c r="H141" s="157">
        <v>0</v>
      </c>
      <c r="I141" s="157">
        <v>0</v>
      </c>
      <c r="J141" s="157">
        <v>0</v>
      </c>
      <c r="K141" s="157">
        <v>0</v>
      </c>
      <c r="L141" s="157">
        <v>0</v>
      </c>
      <c r="M141" s="157">
        <v>0</v>
      </c>
      <c r="N141" s="157">
        <v>0</v>
      </c>
      <c r="O141" s="157">
        <v>150000</v>
      </c>
      <c r="P141" s="157">
        <v>0</v>
      </c>
      <c r="Q141" s="157">
        <v>0</v>
      </c>
      <c r="R141" s="157">
        <v>0</v>
      </c>
      <c r="S141" s="157">
        <v>0</v>
      </c>
      <c r="T141" s="157">
        <v>0</v>
      </c>
      <c r="U141" s="157">
        <v>0</v>
      </c>
      <c r="V141" s="157">
        <v>0</v>
      </c>
      <c r="W141" s="157">
        <v>0</v>
      </c>
      <c r="X141" s="157">
        <v>0</v>
      </c>
      <c r="Y141" s="157">
        <f>SUM(Z141:AD141)</f>
        <v>0</v>
      </c>
      <c r="Z141" s="157">
        <v>0</v>
      </c>
      <c r="AA141" s="157">
        <v>0</v>
      </c>
      <c r="AB141" s="157">
        <v>0</v>
      </c>
      <c r="AC141" s="157">
        <v>0</v>
      </c>
      <c r="AD141" s="157">
        <v>0</v>
      </c>
      <c r="AE141" s="157">
        <f>SUM(AF141:AI141)</f>
        <v>0</v>
      </c>
      <c r="AF141" s="157">
        <v>0</v>
      </c>
      <c r="AG141" s="157">
        <v>0</v>
      </c>
      <c r="AH141" s="157">
        <v>0</v>
      </c>
      <c r="AI141" s="157">
        <v>0</v>
      </c>
      <c r="AJ141" s="157">
        <f>SUM(AK141:AL141)</f>
        <v>0</v>
      </c>
      <c r="AK141" s="157">
        <v>0</v>
      </c>
      <c r="AL141" s="157">
        <f>SUM(AM141:AO141)</f>
        <v>0</v>
      </c>
      <c r="AM141" s="157">
        <v>0</v>
      </c>
      <c r="AN141" s="157">
        <v>0</v>
      </c>
      <c r="AO141" s="158">
        <v>0</v>
      </c>
    </row>
    <row r="142" spans="1:41" x14ac:dyDescent="0.25">
      <c r="A142" s="167" t="s">
        <v>222</v>
      </c>
      <c r="B142" s="156" t="s">
        <v>223</v>
      </c>
      <c r="C142" s="157">
        <f>SUM(D142+Y142+AE142+AJ142)</f>
        <v>6408325</v>
      </c>
      <c r="D142" s="157">
        <f>SUM(E142:X142)</f>
        <v>3468325</v>
      </c>
      <c r="E142" s="157">
        <v>0</v>
      </c>
      <c r="F142" s="157">
        <v>0</v>
      </c>
      <c r="G142" s="157">
        <v>0</v>
      </c>
      <c r="H142" s="157">
        <v>0</v>
      </c>
      <c r="I142" s="157">
        <v>1015849</v>
      </c>
      <c r="J142" s="157">
        <v>0</v>
      </c>
      <c r="K142" s="157">
        <v>0</v>
      </c>
      <c r="L142" s="157">
        <v>0</v>
      </c>
      <c r="M142" s="157">
        <v>0</v>
      </c>
      <c r="N142" s="157">
        <v>0</v>
      </c>
      <c r="O142" s="157">
        <v>0</v>
      </c>
      <c r="P142" s="157">
        <v>0</v>
      </c>
      <c r="Q142" s="157">
        <v>0</v>
      </c>
      <c r="R142" s="157">
        <v>0</v>
      </c>
      <c r="S142" s="157">
        <v>0</v>
      </c>
      <c r="T142" s="157">
        <v>0</v>
      </c>
      <c r="U142" s="157">
        <v>0</v>
      </c>
      <c r="V142" s="157">
        <v>2352476</v>
      </c>
      <c r="W142" s="157">
        <v>0</v>
      </c>
      <c r="X142" s="157">
        <v>100000</v>
      </c>
      <c r="Y142" s="157">
        <f>SUM(Z142:AD142)</f>
        <v>715000</v>
      </c>
      <c r="Z142" s="157">
        <v>215000</v>
      </c>
      <c r="AA142" s="157">
        <v>0</v>
      </c>
      <c r="AB142" s="157">
        <v>0</v>
      </c>
      <c r="AC142" s="157">
        <v>500000</v>
      </c>
      <c r="AD142" s="157">
        <v>0</v>
      </c>
      <c r="AE142" s="157">
        <f>SUM(AF142:AI142)</f>
        <v>0</v>
      </c>
      <c r="AF142" s="157">
        <v>0</v>
      </c>
      <c r="AG142" s="157">
        <f>505000-505000</f>
        <v>0</v>
      </c>
      <c r="AH142" s="157">
        <v>0</v>
      </c>
      <c r="AI142" s="157">
        <v>0</v>
      </c>
      <c r="AJ142" s="157">
        <f>SUM(AK142:AL142)</f>
        <v>2225000</v>
      </c>
      <c r="AK142" s="157">
        <v>2000000</v>
      </c>
      <c r="AL142" s="157">
        <f>SUM(AM142:AO142)</f>
        <v>225000</v>
      </c>
      <c r="AM142" s="157">
        <v>150000</v>
      </c>
      <c r="AN142" s="157">
        <v>75000</v>
      </c>
      <c r="AO142" s="158">
        <v>0</v>
      </c>
    </row>
    <row r="143" spans="1:41" x14ac:dyDescent="0.25">
      <c r="A143" s="167" t="s">
        <v>224</v>
      </c>
      <c r="B143" s="156" t="s">
        <v>225</v>
      </c>
      <c r="C143" s="157">
        <f>SUM(D143+Y143+AE143+AJ143)</f>
        <v>350000</v>
      </c>
      <c r="D143" s="157">
        <f>SUM(E143:X143)</f>
        <v>300000</v>
      </c>
      <c r="E143" s="157">
        <v>0</v>
      </c>
      <c r="F143" s="157">
        <v>0</v>
      </c>
      <c r="G143" s="157">
        <v>0</v>
      </c>
      <c r="H143" s="157">
        <v>0</v>
      </c>
      <c r="I143" s="157">
        <v>0</v>
      </c>
      <c r="J143" s="157">
        <v>0</v>
      </c>
      <c r="K143" s="157">
        <v>0</v>
      </c>
      <c r="L143" s="157">
        <v>0</v>
      </c>
      <c r="M143" s="157">
        <v>0</v>
      </c>
      <c r="N143" s="157">
        <v>0</v>
      </c>
      <c r="O143" s="157">
        <v>300000</v>
      </c>
      <c r="P143" s="157">
        <v>0</v>
      </c>
      <c r="Q143" s="157">
        <v>0</v>
      </c>
      <c r="R143" s="157">
        <v>0</v>
      </c>
      <c r="S143" s="157">
        <v>0</v>
      </c>
      <c r="T143" s="157">
        <v>0</v>
      </c>
      <c r="U143" s="157">
        <v>0</v>
      </c>
      <c r="V143" s="157">
        <v>0</v>
      </c>
      <c r="W143" s="157">
        <v>0</v>
      </c>
      <c r="X143" s="157">
        <v>0</v>
      </c>
      <c r="Y143" s="157">
        <f>SUM(Z143:AD143)</f>
        <v>0</v>
      </c>
      <c r="Z143" s="157">
        <v>0</v>
      </c>
      <c r="AA143" s="157">
        <v>0</v>
      </c>
      <c r="AB143" s="157">
        <v>0</v>
      </c>
      <c r="AC143" s="157">
        <v>0</v>
      </c>
      <c r="AD143" s="157">
        <v>0</v>
      </c>
      <c r="AE143" s="157">
        <f>SUM(AF143:AI143)</f>
        <v>0</v>
      </c>
      <c r="AF143" s="157">
        <v>0</v>
      </c>
      <c r="AG143" s="157">
        <v>0</v>
      </c>
      <c r="AH143" s="157">
        <v>0</v>
      </c>
      <c r="AI143" s="157">
        <v>0</v>
      </c>
      <c r="AJ143" s="157">
        <f>SUM(AK143:AL143)</f>
        <v>50000</v>
      </c>
      <c r="AK143" s="157">
        <v>50000</v>
      </c>
      <c r="AL143" s="157">
        <f>SUM(AM143:AO143)</f>
        <v>0</v>
      </c>
      <c r="AM143" s="157">
        <v>0</v>
      </c>
      <c r="AN143" s="157">
        <v>0</v>
      </c>
      <c r="AO143" s="158">
        <v>0</v>
      </c>
    </row>
    <row r="144" spans="1:41" x14ac:dyDescent="0.25">
      <c r="A144" s="160"/>
      <c r="B144" s="161"/>
      <c r="C144" s="157"/>
      <c r="D144" s="157"/>
      <c r="E144" s="157"/>
      <c r="F144" s="157"/>
      <c r="G144" s="157"/>
      <c r="H144" s="157"/>
      <c r="I144" s="157"/>
      <c r="J144" s="157"/>
      <c r="K144" s="157"/>
      <c r="L144" s="157"/>
      <c r="M144" s="157"/>
      <c r="N144" s="157"/>
      <c r="O144" s="157"/>
      <c r="P144" s="157"/>
      <c r="Q144" s="157"/>
      <c r="R144" s="157"/>
      <c r="S144" s="157"/>
      <c r="T144" s="157"/>
      <c r="U144" s="157"/>
      <c r="V144" s="157"/>
      <c r="W144" s="157"/>
      <c r="X144" s="157"/>
      <c r="Y144" s="157"/>
      <c r="Z144" s="157"/>
      <c r="AA144" s="157"/>
      <c r="AB144" s="157"/>
      <c r="AC144" s="157"/>
      <c r="AD144" s="157"/>
      <c r="AE144" s="157"/>
      <c r="AF144" s="157"/>
      <c r="AG144" s="157"/>
      <c r="AH144" s="157"/>
      <c r="AI144" s="157"/>
      <c r="AJ144" s="157"/>
      <c r="AK144" s="157"/>
      <c r="AL144" s="157"/>
      <c r="AM144" s="157"/>
      <c r="AN144" s="157"/>
      <c r="AO144" s="158"/>
    </row>
    <row r="145" spans="1:41" x14ac:dyDescent="0.25">
      <c r="A145" s="176" t="s">
        <v>226</v>
      </c>
      <c r="B145" s="162" t="s">
        <v>227</v>
      </c>
      <c r="C145" s="148">
        <f>SUM(C146:C147)</f>
        <v>2146000</v>
      </c>
      <c r="D145" s="148">
        <f>SUM(D146:D147)</f>
        <v>2146000</v>
      </c>
      <c r="E145" s="148">
        <f t="shared" ref="E145:AO145" si="53">SUM(E147)</f>
        <v>0</v>
      </c>
      <c r="F145" s="148">
        <f t="shared" si="53"/>
        <v>0</v>
      </c>
      <c r="G145" s="148">
        <f>SUM(G146:G147)</f>
        <v>1500000</v>
      </c>
      <c r="H145" s="148">
        <f t="shared" si="53"/>
        <v>0</v>
      </c>
      <c r="I145" s="148">
        <f t="shared" si="53"/>
        <v>0</v>
      </c>
      <c r="J145" s="148">
        <f t="shared" si="53"/>
        <v>0</v>
      </c>
      <c r="K145" s="148">
        <f t="shared" si="53"/>
        <v>0</v>
      </c>
      <c r="L145" s="148">
        <f t="shared" si="53"/>
        <v>0</v>
      </c>
      <c r="M145" s="148">
        <f t="shared" si="53"/>
        <v>0</v>
      </c>
      <c r="N145" s="148">
        <f t="shared" si="53"/>
        <v>0</v>
      </c>
      <c r="O145" s="148">
        <f t="shared" si="53"/>
        <v>396000</v>
      </c>
      <c r="P145" s="148">
        <f t="shared" si="53"/>
        <v>0</v>
      </c>
      <c r="Q145" s="148">
        <f t="shared" si="53"/>
        <v>0</v>
      </c>
      <c r="R145" s="148">
        <f t="shared" si="53"/>
        <v>0</v>
      </c>
      <c r="S145" s="148">
        <f t="shared" si="53"/>
        <v>0</v>
      </c>
      <c r="T145" s="148">
        <f t="shared" si="53"/>
        <v>0</v>
      </c>
      <c r="U145" s="148">
        <f t="shared" si="53"/>
        <v>0</v>
      </c>
      <c r="V145" s="148">
        <f t="shared" si="53"/>
        <v>0</v>
      </c>
      <c r="W145" s="148">
        <f t="shared" si="53"/>
        <v>0</v>
      </c>
      <c r="X145" s="148">
        <f>SUM(X146:X147)</f>
        <v>250000</v>
      </c>
      <c r="Y145" s="148">
        <f t="shared" si="53"/>
        <v>0</v>
      </c>
      <c r="Z145" s="148">
        <f t="shared" si="53"/>
        <v>0</v>
      </c>
      <c r="AA145" s="148">
        <f t="shared" si="53"/>
        <v>0</v>
      </c>
      <c r="AB145" s="148">
        <f t="shared" si="53"/>
        <v>0</v>
      </c>
      <c r="AC145" s="148">
        <f t="shared" si="53"/>
        <v>0</v>
      </c>
      <c r="AD145" s="148">
        <f t="shared" si="53"/>
        <v>0</v>
      </c>
      <c r="AE145" s="148">
        <f t="shared" si="53"/>
        <v>0</v>
      </c>
      <c r="AF145" s="148">
        <f t="shared" si="53"/>
        <v>0</v>
      </c>
      <c r="AG145" s="148">
        <f t="shared" si="53"/>
        <v>0</v>
      </c>
      <c r="AH145" s="148">
        <f t="shared" si="53"/>
        <v>0</v>
      </c>
      <c r="AI145" s="148">
        <f t="shared" si="53"/>
        <v>0</v>
      </c>
      <c r="AJ145" s="148">
        <f t="shared" si="53"/>
        <v>0</v>
      </c>
      <c r="AK145" s="148">
        <f t="shared" si="53"/>
        <v>0</v>
      </c>
      <c r="AL145" s="148">
        <f t="shared" si="53"/>
        <v>0</v>
      </c>
      <c r="AM145" s="148">
        <f t="shared" si="53"/>
        <v>0</v>
      </c>
      <c r="AN145" s="148">
        <f t="shared" si="53"/>
        <v>0</v>
      </c>
      <c r="AO145" s="149">
        <f t="shared" si="53"/>
        <v>0</v>
      </c>
    </row>
    <row r="146" spans="1:41" x14ac:dyDescent="0.25">
      <c r="A146" s="167" t="s">
        <v>228</v>
      </c>
      <c r="B146" s="156" t="s">
        <v>229</v>
      </c>
      <c r="C146" s="157">
        <f>SUM(D146+Y146+AE146+AJ146)</f>
        <v>1750000</v>
      </c>
      <c r="D146" s="157">
        <f>SUM(E146:X146)</f>
        <v>1750000</v>
      </c>
      <c r="E146" s="157"/>
      <c r="F146" s="157"/>
      <c r="G146" s="157">
        <v>1500000</v>
      </c>
      <c r="H146" s="157"/>
      <c r="I146" s="157"/>
      <c r="J146" s="157"/>
      <c r="K146" s="157"/>
      <c r="L146" s="157"/>
      <c r="M146" s="157"/>
      <c r="N146" s="157"/>
      <c r="O146" s="157"/>
      <c r="P146" s="157"/>
      <c r="Q146" s="157"/>
      <c r="R146" s="157"/>
      <c r="S146" s="157"/>
      <c r="T146" s="157"/>
      <c r="U146" s="157"/>
      <c r="V146" s="157"/>
      <c r="W146" s="157"/>
      <c r="X146" s="157">
        <v>250000</v>
      </c>
      <c r="Y146" s="157">
        <f>SUM(Z146:AD146)</f>
        <v>0</v>
      </c>
      <c r="Z146" s="157"/>
      <c r="AA146" s="157"/>
      <c r="AB146" s="157"/>
      <c r="AC146" s="157"/>
      <c r="AD146" s="157"/>
      <c r="AE146" s="157">
        <f>SUM(AF146:AI146)</f>
        <v>0</v>
      </c>
      <c r="AF146" s="157"/>
      <c r="AG146" s="157"/>
      <c r="AH146" s="157"/>
      <c r="AI146" s="157"/>
      <c r="AJ146" s="157">
        <f>SUM(AK146:AL146)</f>
        <v>0</v>
      </c>
      <c r="AK146" s="157"/>
      <c r="AL146" s="157">
        <f>SUM(AM146:AO146)</f>
        <v>0</v>
      </c>
      <c r="AM146" s="157"/>
      <c r="AN146" s="157"/>
      <c r="AO146" s="158"/>
    </row>
    <row r="147" spans="1:41" x14ac:dyDescent="0.25">
      <c r="A147" s="167" t="s">
        <v>230</v>
      </c>
      <c r="B147" s="161" t="s">
        <v>231</v>
      </c>
      <c r="C147" s="157">
        <f>SUM(D147+Y147+AE147+AJ147)</f>
        <v>396000</v>
      </c>
      <c r="D147" s="157">
        <f>SUM(E147:X147)</f>
        <v>396000</v>
      </c>
      <c r="E147" s="157">
        <v>0</v>
      </c>
      <c r="F147" s="157">
        <v>0</v>
      </c>
      <c r="G147" s="157">
        <v>0</v>
      </c>
      <c r="H147" s="157">
        <v>0</v>
      </c>
      <c r="I147" s="157">
        <v>0</v>
      </c>
      <c r="J147" s="157">
        <v>0</v>
      </c>
      <c r="K147" s="157">
        <v>0</v>
      </c>
      <c r="L147" s="157">
        <v>0</v>
      </c>
      <c r="M147" s="157">
        <v>0</v>
      </c>
      <c r="N147" s="157">
        <v>0</v>
      </c>
      <c r="O147" s="157">
        <v>396000</v>
      </c>
      <c r="P147" s="157">
        <v>0</v>
      </c>
      <c r="Q147" s="157">
        <v>0</v>
      </c>
      <c r="R147" s="157">
        <v>0</v>
      </c>
      <c r="S147" s="157">
        <v>0</v>
      </c>
      <c r="T147" s="157">
        <v>0</v>
      </c>
      <c r="U147" s="157">
        <v>0</v>
      </c>
      <c r="V147" s="157">
        <v>0</v>
      </c>
      <c r="W147" s="157">
        <v>0</v>
      </c>
      <c r="X147" s="157">
        <v>0</v>
      </c>
      <c r="Y147" s="157">
        <f>SUM(Z147:AD147)</f>
        <v>0</v>
      </c>
      <c r="Z147" s="157">
        <v>0</v>
      </c>
      <c r="AA147" s="157">
        <v>0</v>
      </c>
      <c r="AB147" s="157">
        <v>0</v>
      </c>
      <c r="AC147" s="157">
        <v>0</v>
      </c>
      <c r="AD147" s="157">
        <v>0</v>
      </c>
      <c r="AE147" s="157">
        <f>SUM(AF147:AI147)</f>
        <v>0</v>
      </c>
      <c r="AF147" s="157">
        <v>0</v>
      </c>
      <c r="AG147" s="157">
        <v>0</v>
      </c>
      <c r="AH147" s="157">
        <v>0</v>
      </c>
      <c r="AI147" s="157">
        <v>0</v>
      </c>
      <c r="AJ147" s="157">
        <f>SUM(AK147:AL147)</f>
        <v>0</v>
      </c>
      <c r="AK147" s="157">
        <v>0</v>
      </c>
      <c r="AL147" s="157">
        <f>SUM(AM147:AO147)</f>
        <v>0</v>
      </c>
      <c r="AM147" s="157">
        <v>0</v>
      </c>
      <c r="AN147" s="157">
        <v>0</v>
      </c>
      <c r="AO147" s="158">
        <v>0</v>
      </c>
    </row>
    <row r="148" spans="1:41" x14ac:dyDescent="0.25">
      <c r="A148" s="160"/>
      <c r="B148" s="161"/>
      <c r="C148" s="157"/>
      <c r="D148" s="157"/>
      <c r="E148" s="157"/>
      <c r="F148" s="157"/>
      <c r="G148" s="157"/>
      <c r="H148" s="157"/>
      <c r="I148" s="157"/>
      <c r="J148" s="157"/>
      <c r="K148" s="157"/>
      <c r="L148" s="157"/>
      <c r="M148" s="157"/>
      <c r="N148" s="157"/>
      <c r="O148" s="157"/>
      <c r="P148" s="157"/>
      <c r="Q148" s="157"/>
      <c r="R148" s="157"/>
      <c r="S148" s="157"/>
      <c r="T148" s="157"/>
      <c r="U148" s="157"/>
      <c r="V148" s="157"/>
      <c r="W148" s="157"/>
      <c r="X148" s="157"/>
      <c r="Y148" s="157"/>
      <c r="Z148" s="157"/>
      <c r="AA148" s="157"/>
      <c r="AB148" s="157"/>
      <c r="AC148" s="157"/>
      <c r="AD148" s="157"/>
      <c r="AE148" s="157"/>
      <c r="AF148" s="157"/>
      <c r="AG148" s="157"/>
      <c r="AH148" s="157"/>
      <c r="AI148" s="157"/>
      <c r="AJ148" s="157"/>
      <c r="AK148" s="157"/>
      <c r="AL148" s="157"/>
      <c r="AM148" s="157"/>
      <c r="AN148" s="157"/>
      <c r="AO148" s="158"/>
    </row>
    <row r="149" spans="1:41" ht="26.4" x14ac:dyDescent="0.25">
      <c r="A149" s="176" t="s">
        <v>232</v>
      </c>
      <c r="B149" s="162" t="s">
        <v>233</v>
      </c>
      <c r="C149" s="148">
        <f>SUM(C150:C156)</f>
        <v>32025000</v>
      </c>
      <c r="D149" s="148">
        <f t="shared" ref="D149:AO149" si="54">SUM(D150:D156)</f>
        <v>23200000</v>
      </c>
      <c r="E149" s="148">
        <f t="shared" si="54"/>
        <v>0</v>
      </c>
      <c r="F149" s="148">
        <f t="shared" si="54"/>
        <v>0</v>
      </c>
      <c r="G149" s="148">
        <f t="shared" si="54"/>
        <v>0</v>
      </c>
      <c r="H149" s="148">
        <f t="shared" si="54"/>
        <v>0</v>
      </c>
      <c r="I149" s="148">
        <f t="shared" si="54"/>
        <v>13050000</v>
      </c>
      <c r="J149" s="148">
        <f t="shared" si="54"/>
        <v>0</v>
      </c>
      <c r="K149" s="148">
        <f t="shared" si="54"/>
        <v>0</v>
      </c>
      <c r="L149" s="148">
        <f t="shared" si="54"/>
        <v>0</v>
      </c>
      <c r="M149" s="148">
        <f t="shared" si="54"/>
        <v>0</v>
      </c>
      <c r="N149" s="148">
        <f t="shared" si="54"/>
        <v>0</v>
      </c>
      <c r="O149" s="148">
        <f t="shared" si="54"/>
        <v>9950000</v>
      </c>
      <c r="P149" s="148">
        <f t="shared" si="54"/>
        <v>0</v>
      </c>
      <c r="Q149" s="148">
        <f t="shared" si="54"/>
        <v>0</v>
      </c>
      <c r="R149" s="148">
        <f t="shared" si="54"/>
        <v>0</v>
      </c>
      <c r="S149" s="148">
        <f t="shared" si="54"/>
        <v>0</v>
      </c>
      <c r="T149" s="148">
        <f t="shared" si="54"/>
        <v>200000</v>
      </c>
      <c r="U149" s="148">
        <f t="shared" si="54"/>
        <v>0</v>
      </c>
      <c r="V149" s="148">
        <f t="shared" si="54"/>
        <v>0</v>
      </c>
      <c r="W149" s="148">
        <f t="shared" si="54"/>
        <v>0</v>
      </c>
      <c r="X149" s="148">
        <f t="shared" si="54"/>
        <v>0</v>
      </c>
      <c r="Y149" s="148">
        <f t="shared" si="54"/>
        <v>1250000</v>
      </c>
      <c r="Z149" s="148">
        <f t="shared" si="54"/>
        <v>100000</v>
      </c>
      <c r="AA149" s="148">
        <f t="shared" si="54"/>
        <v>200000</v>
      </c>
      <c r="AB149" s="148">
        <f t="shared" si="54"/>
        <v>500000</v>
      </c>
      <c r="AC149" s="148">
        <f t="shared" si="54"/>
        <v>400000</v>
      </c>
      <c r="AD149" s="148">
        <f t="shared" si="54"/>
        <v>50000</v>
      </c>
      <c r="AE149" s="148">
        <f t="shared" si="54"/>
        <v>0</v>
      </c>
      <c r="AF149" s="148">
        <f t="shared" si="54"/>
        <v>0</v>
      </c>
      <c r="AG149" s="148">
        <f t="shared" si="54"/>
        <v>0</v>
      </c>
      <c r="AH149" s="148">
        <f t="shared" si="54"/>
        <v>0</v>
      </c>
      <c r="AI149" s="148">
        <f t="shared" si="54"/>
        <v>0</v>
      </c>
      <c r="AJ149" s="148">
        <f t="shared" si="54"/>
        <v>7575000</v>
      </c>
      <c r="AK149" s="148">
        <f t="shared" si="54"/>
        <v>7250000</v>
      </c>
      <c r="AL149" s="148">
        <f t="shared" si="54"/>
        <v>325000</v>
      </c>
      <c r="AM149" s="148">
        <f t="shared" si="54"/>
        <v>0</v>
      </c>
      <c r="AN149" s="148">
        <f t="shared" si="54"/>
        <v>275000</v>
      </c>
      <c r="AO149" s="149">
        <f t="shared" si="54"/>
        <v>50000</v>
      </c>
    </row>
    <row r="150" spans="1:41" x14ac:dyDescent="0.25">
      <c r="A150" s="167" t="s">
        <v>234</v>
      </c>
      <c r="B150" s="156" t="s">
        <v>235</v>
      </c>
      <c r="C150" s="157">
        <f t="shared" ref="C150:C156" si="55">SUM(D150+Y150+AE150+AJ150)</f>
        <v>1150000</v>
      </c>
      <c r="D150" s="157">
        <f t="shared" ref="D150:D156" si="56">SUM(E150:X150)</f>
        <v>750000</v>
      </c>
      <c r="E150" s="157">
        <v>0</v>
      </c>
      <c r="F150" s="157">
        <v>0</v>
      </c>
      <c r="G150" s="157">
        <v>0</v>
      </c>
      <c r="H150" s="157">
        <v>0</v>
      </c>
      <c r="I150" s="157">
        <v>0</v>
      </c>
      <c r="J150" s="157">
        <v>0</v>
      </c>
      <c r="K150" s="157">
        <v>0</v>
      </c>
      <c r="L150" s="157">
        <v>0</v>
      </c>
      <c r="M150" s="157">
        <v>0</v>
      </c>
      <c r="N150" s="157">
        <v>0</v>
      </c>
      <c r="O150" s="157">
        <f>1000000-[10]Hoja2!$M$31</f>
        <v>750000</v>
      </c>
      <c r="P150" s="157">
        <v>0</v>
      </c>
      <c r="Q150" s="157">
        <v>0</v>
      </c>
      <c r="R150" s="157">
        <v>0</v>
      </c>
      <c r="S150" s="157">
        <v>0</v>
      </c>
      <c r="T150" s="157">
        <v>0</v>
      </c>
      <c r="U150" s="157">
        <v>0</v>
      </c>
      <c r="V150" s="157">
        <v>0</v>
      </c>
      <c r="W150" s="157">
        <v>0</v>
      </c>
      <c r="X150" s="157">
        <v>0</v>
      </c>
      <c r="Y150" s="157">
        <f t="shared" ref="Y150:Y156" si="57">SUM(Z150:AD150)</f>
        <v>0</v>
      </c>
      <c r="Z150" s="157">
        <v>0</v>
      </c>
      <c r="AA150" s="157">
        <v>0</v>
      </c>
      <c r="AB150" s="157">
        <v>0</v>
      </c>
      <c r="AC150" s="157">
        <v>0</v>
      </c>
      <c r="AD150" s="157">
        <v>0</v>
      </c>
      <c r="AE150" s="157">
        <f t="shared" ref="AE150:AE156" si="58">SUM(AF150:AI150)</f>
        <v>0</v>
      </c>
      <c r="AF150" s="157">
        <v>0</v>
      </c>
      <c r="AG150" s="157">
        <v>0</v>
      </c>
      <c r="AH150" s="157">
        <v>0</v>
      </c>
      <c r="AI150" s="157">
        <v>0</v>
      </c>
      <c r="AJ150" s="157">
        <f t="shared" ref="AJ150:AJ156" si="59">SUM(AK150:AL150)</f>
        <v>400000</v>
      </c>
      <c r="AK150" s="157">
        <f>150000+[10]Hoja2!$M$31</f>
        <v>400000</v>
      </c>
      <c r="AL150" s="157">
        <f t="shared" ref="AL150:AL156" si="60">SUM(AM150:AO150)</f>
        <v>0</v>
      </c>
      <c r="AM150" s="157">
        <v>0</v>
      </c>
      <c r="AN150" s="157">
        <v>0</v>
      </c>
      <c r="AO150" s="158">
        <v>0</v>
      </c>
    </row>
    <row r="151" spans="1:41" x14ac:dyDescent="0.25">
      <c r="A151" s="167" t="s">
        <v>236</v>
      </c>
      <c r="B151" s="156" t="s">
        <v>237</v>
      </c>
      <c r="C151" s="157">
        <f t="shared" si="55"/>
        <v>1000000</v>
      </c>
      <c r="D151" s="157">
        <f t="shared" si="56"/>
        <v>750000</v>
      </c>
      <c r="E151" s="157">
        <v>0</v>
      </c>
      <c r="F151" s="157">
        <v>0</v>
      </c>
      <c r="G151" s="157">
        <v>0</v>
      </c>
      <c r="H151" s="157">
        <v>0</v>
      </c>
      <c r="I151" s="157">
        <v>0</v>
      </c>
      <c r="J151" s="157">
        <v>0</v>
      </c>
      <c r="K151" s="157">
        <v>0</v>
      </c>
      <c r="L151" s="157">
        <v>0</v>
      </c>
      <c r="M151" s="157">
        <v>0</v>
      </c>
      <c r="N151" s="157">
        <v>0</v>
      </c>
      <c r="O151" s="157">
        <f>1000000-[10]Hoja2!$M$32</f>
        <v>750000</v>
      </c>
      <c r="P151" s="157">
        <v>0</v>
      </c>
      <c r="Q151" s="157">
        <v>0</v>
      </c>
      <c r="R151" s="157">
        <v>0</v>
      </c>
      <c r="S151" s="157">
        <v>0</v>
      </c>
      <c r="T151" s="157">
        <v>0</v>
      </c>
      <c r="U151" s="157">
        <v>0</v>
      </c>
      <c r="V151" s="157">
        <v>0</v>
      </c>
      <c r="W151" s="157">
        <v>0</v>
      </c>
      <c r="X151" s="157">
        <v>0</v>
      </c>
      <c r="Y151" s="157">
        <f t="shared" si="57"/>
        <v>0</v>
      </c>
      <c r="Z151" s="157">
        <v>0</v>
      </c>
      <c r="AA151" s="157">
        <v>0</v>
      </c>
      <c r="AB151" s="157">
        <v>0</v>
      </c>
      <c r="AC151" s="157">
        <v>0</v>
      </c>
      <c r="AD151" s="157">
        <v>0</v>
      </c>
      <c r="AE151" s="157">
        <f t="shared" si="58"/>
        <v>0</v>
      </c>
      <c r="AF151" s="157">
        <v>0</v>
      </c>
      <c r="AG151" s="157">
        <v>0</v>
      </c>
      <c r="AH151" s="157">
        <v>0</v>
      </c>
      <c r="AI151" s="157">
        <v>0</v>
      </c>
      <c r="AJ151" s="157">
        <f t="shared" si="59"/>
        <v>250000</v>
      </c>
      <c r="AK151" s="157">
        <f>+[10]Hoja2!$M$32</f>
        <v>250000</v>
      </c>
      <c r="AL151" s="157">
        <f t="shared" si="60"/>
        <v>0</v>
      </c>
      <c r="AM151" s="157">
        <v>0</v>
      </c>
      <c r="AN151" s="157">
        <v>0</v>
      </c>
      <c r="AO151" s="158">
        <v>0</v>
      </c>
    </row>
    <row r="152" spans="1:41" x14ac:dyDescent="0.25">
      <c r="A152" s="167" t="s">
        <v>238</v>
      </c>
      <c r="B152" s="156" t="s">
        <v>239</v>
      </c>
      <c r="C152" s="157">
        <f t="shared" si="55"/>
        <v>1000000</v>
      </c>
      <c r="D152" s="157">
        <f t="shared" si="56"/>
        <v>750000</v>
      </c>
      <c r="E152" s="157">
        <v>0</v>
      </c>
      <c r="F152" s="157">
        <v>0</v>
      </c>
      <c r="G152" s="157">
        <v>0</v>
      </c>
      <c r="H152" s="157">
        <v>0</v>
      </c>
      <c r="I152" s="157">
        <v>0</v>
      </c>
      <c r="J152" s="157">
        <v>0</v>
      </c>
      <c r="K152" s="157">
        <v>0</v>
      </c>
      <c r="L152" s="157">
        <v>0</v>
      </c>
      <c r="M152" s="157">
        <v>0</v>
      </c>
      <c r="N152" s="157">
        <v>0</v>
      </c>
      <c r="O152" s="157">
        <f>1000000-[10]Hoja2!$M$33</f>
        <v>750000</v>
      </c>
      <c r="P152" s="157">
        <v>0</v>
      </c>
      <c r="Q152" s="157">
        <v>0</v>
      </c>
      <c r="R152" s="157">
        <v>0</v>
      </c>
      <c r="S152" s="157">
        <v>0</v>
      </c>
      <c r="T152" s="157">
        <v>0</v>
      </c>
      <c r="U152" s="157">
        <v>0</v>
      </c>
      <c r="V152" s="157">
        <v>0</v>
      </c>
      <c r="W152" s="157">
        <v>0</v>
      </c>
      <c r="X152" s="157">
        <v>0</v>
      </c>
      <c r="Y152" s="157">
        <f t="shared" si="57"/>
        <v>0</v>
      </c>
      <c r="Z152" s="157">
        <v>0</v>
      </c>
      <c r="AA152" s="157">
        <v>0</v>
      </c>
      <c r="AB152" s="157">
        <v>0</v>
      </c>
      <c r="AC152" s="157">
        <v>0</v>
      </c>
      <c r="AD152" s="157">
        <v>0</v>
      </c>
      <c r="AE152" s="157">
        <f t="shared" si="58"/>
        <v>0</v>
      </c>
      <c r="AF152" s="157">
        <v>0</v>
      </c>
      <c r="AG152" s="157">
        <v>0</v>
      </c>
      <c r="AH152" s="157">
        <v>0</v>
      </c>
      <c r="AI152" s="157">
        <v>0</v>
      </c>
      <c r="AJ152" s="157">
        <f t="shared" si="59"/>
        <v>250000</v>
      </c>
      <c r="AK152" s="157">
        <f>+[10]Hoja2!$M$33</f>
        <v>250000</v>
      </c>
      <c r="AL152" s="157">
        <f t="shared" si="60"/>
        <v>0</v>
      </c>
      <c r="AM152" s="157">
        <v>0</v>
      </c>
      <c r="AN152" s="157">
        <v>0</v>
      </c>
      <c r="AO152" s="158">
        <v>0</v>
      </c>
    </row>
    <row r="153" spans="1:41" x14ac:dyDescent="0.25">
      <c r="A153" s="179" t="s">
        <v>240</v>
      </c>
      <c r="B153" s="156" t="s">
        <v>241</v>
      </c>
      <c r="C153" s="157">
        <f t="shared" si="55"/>
        <v>27175000</v>
      </c>
      <c r="D153" s="157">
        <f t="shared" si="56"/>
        <v>19250000</v>
      </c>
      <c r="E153" s="157">
        <v>0</v>
      </c>
      <c r="F153" s="157">
        <v>0</v>
      </c>
      <c r="G153" s="157">
        <v>0</v>
      </c>
      <c r="H153" s="157">
        <v>0</v>
      </c>
      <c r="I153" s="157">
        <f>17400000-[10]Hoja2!$M$35</f>
        <v>13050000</v>
      </c>
      <c r="J153" s="157">
        <v>0</v>
      </c>
      <c r="K153" s="157">
        <v>0</v>
      </c>
      <c r="L153" s="157">
        <v>0</v>
      </c>
      <c r="M153" s="157">
        <v>0</v>
      </c>
      <c r="N153" s="157">
        <v>0</v>
      </c>
      <c r="O153" s="157">
        <f>8000000-[10]Hoja2!$M$34</f>
        <v>6000000</v>
      </c>
      <c r="P153" s="157">
        <v>0</v>
      </c>
      <c r="Q153" s="157">
        <v>0</v>
      </c>
      <c r="R153" s="157">
        <v>0</v>
      </c>
      <c r="S153" s="157">
        <v>0</v>
      </c>
      <c r="T153" s="157">
        <v>200000</v>
      </c>
      <c r="U153" s="157">
        <v>0</v>
      </c>
      <c r="V153" s="157">
        <v>0</v>
      </c>
      <c r="W153" s="157">
        <v>0</v>
      </c>
      <c r="X153" s="157">
        <v>0</v>
      </c>
      <c r="Y153" s="157">
        <f t="shared" si="57"/>
        <v>1250000</v>
      </c>
      <c r="Z153" s="157">
        <v>100000</v>
      </c>
      <c r="AA153" s="157">
        <v>200000</v>
      </c>
      <c r="AB153" s="157">
        <v>500000</v>
      </c>
      <c r="AC153" s="157">
        <v>400000</v>
      </c>
      <c r="AD153" s="157">
        <v>50000</v>
      </c>
      <c r="AE153" s="157">
        <f t="shared" si="58"/>
        <v>0</v>
      </c>
      <c r="AF153" s="157">
        <v>0</v>
      </c>
      <c r="AG153" s="157">
        <v>0</v>
      </c>
      <c r="AH153" s="157">
        <v>0</v>
      </c>
      <c r="AI153" s="157">
        <v>0</v>
      </c>
      <c r="AJ153" s="157">
        <f t="shared" si="59"/>
        <v>6675000</v>
      </c>
      <c r="AK153" s="157">
        <f>+[10]Hoja2!$M$34+[10]Hoja2!$M$35</f>
        <v>6350000</v>
      </c>
      <c r="AL153" s="157">
        <f t="shared" si="60"/>
        <v>325000</v>
      </c>
      <c r="AM153" s="157">
        <v>0</v>
      </c>
      <c r="AN153" s="157">
        <v>275000</v>
      </c>
      <c r="AO153" s="158">
        <v>50000</v>
      </c>
    </row>
    <row r="154" spans="1:41" x14ac:dyDescent="0.25">
      <c r="A154" s="167" t="s">
        <v>242</v>
      </c>
      <c r="B154" s="156" t="s">
        <v>243</v>
      </c>
      <c r="C154" s="157">
        <f t="shared" si="55"/>
        <v>500000</v>
      </c>
      <c r="D154" s="157">
        <f t="shared" si="56"/>
        <v>500000</v>
      </c>
      <c r="E154" s="157">
        <v>0</v>
      </c>
      <c r="F154" s="157">
        <v>0</v>
      </c>
      <c r="G154" s="157">
        <v>0</v>
      </c>
      <c r="H154" s="157">
        <v>0</v>
      </c>
      <c r="I154" s="157">
        <v>0</v>
      </c>
      <c r="J154" s="157">
        <v>0</v>
      </c>
      <c r="K154" s="157">
        <v>0</v>
      </c>
      <c r="L154" s="157">
        <v>0</v>
      </c>
      <c r="M154" s="157">
        <v>0</v>
      </c>
      <c r="N154" s="157">
        <v>0</v>
      </c>
      <c r="O154" s="157">
        <v>500000</v>
      </c>
      <c r="P154" s="157">
        <v>0</v>
      </c>
      <c r="Q154" s="157">
        <v>0</v>
      </c>
      <c r="R154" s="157">
        <v>0</v>
      </c>
      <c r="S154" s="157">
        <v>0</v>
      </c>
      <c r="T154" s="157">
        <v>0</v>
      </c>
      <c r="U154" s="157">
        <v>0</v>
      </c>
      <c r="V154" s="157">
        <v>0</v>
      </c>
      <c r="W154" s="157">
        <v>0</v>
      </c>
      <c r="X154" s="157">
        <v>0</v>
      </c>
      <c r="Y154" s="157">
        <f t="shared" si="57"/>
        <v>0</v>
      </c>
      <c r="Z154" s="157">
        <v>0</v>
      </c>
      <c r="AA154" s="157">
        <v>0</v>
      </c>
      <c r="AB154" s="157">
        <v>0</v>
      </c>
      <c r="AC154" s="157">
        <v>0</v>
      </c>
      <c r="AD154" s="157">
        <v>0</v>
      </c>
      <c r="AE154" s="157">
        <f t="shared" si="58"/>
        <v>0</v>
      </c>
      <c r="AF154" s="157">
        <v>0</v>
      </c>
      <c r="AG154" s="157">
        <v>0</v>
      </c>
      <c r="AH154" s="157">
        <v>0</v>
      </c>
      <c r="AI154" s="157">
        <v>0</v>
      </c>
      <c r="AJ154" s="157">
        <f t="shared" si="59"/>
        <v>0</v>
      </c>
      <c r="AK154" s="157">
        <v>0</v>
      </c>
      <c r="AL154" s="157">
        <f t="shared" si="60"/>
        <v>0</v>
      </c>
      <c r="AM154" s="157">
        <v>0</v>
      </c>
      <c r="AN154" s="157">
        <v>0</v>
      </c>
      <c r="AO154" s="158">
        <v>0</v>
      </c>
    </row>
    <row r="155" spans="1:41" x14ac:dyDescent="0.25">
      <c r="A155" s="167" t="s">
        <v>244</v>
      </c>
      <c r="B155" s="156" t="s">
        <v>245</v>
      </c>
      <c r="C155" s="157">
        <f t="shared" si="55"/>
        <v>700000</v>
      </c>
      <c r="D155" s="157">
        <f t="shared" si="56"/>
        <v>700000</v>
      </c>
      <c r="E155" s="157">
        <v>0</v>
      </c>
      <c r="F155" s="157">
        <v>0</v>
      </c>
      <c r="G155" s="157">
        <v>0</v>
      </c>
      <c r="H155" s="157">
        <v>0</v>
      </c>
      <c r="I155" s="157">
        <v>0</v>
      </c>
      <c r="J155" s="157">
        <v>0</v>
      </c>
      <c r="K155" s="157">
        <v>0</v>
      </c>
      <c r="L155" s="157">
        <v>0</v>
      </c>
      <c r="M155" s="157">
        <v>0</v>
      </c>
      <c r="N155" s="157">
        <v>0</v>
      </c>
      <c r="O155" s="157">
        <v>700000</v>
      </c>
      <c r="P155" s="157">
        <v>0</v>
      </c>
      <c r="Q155" s="157">
        <v>0</v>
      </c>
      <c r="R155" s="157">
        <v>0</v>
      </c>
      <c r="S155" s="157">
        <v>0</v>
      </c>
      <c r="T155" s="157">
        <v>0</v>
      </c>
      <c r="U155" s="157">
        <v>0</v>
      </c>
      <c r="V155" s="157">
        <v>0</v>
      </c>
      <c r="W155" s="157">
        <v>0</v>
      </c>
      <c r="X155" s="157">
        <v>0</v>
      </c>
      <c r="Y155" s="157">
        <f t="shared" si="57"/>
        <v>0</v>
      </c>
      <c r="Z155" s="157">
        <v>0</v>
      </c>
      <c r="AA155" s="157">
        <v>0</v>
      </c>
      <c r="AB155" s="157">
        <v>0</v>
      </c>
      <c r="AC155" s="157">
        <v>0</v>
      </c>
      <c r="AD155" s="157">
        <v>0</v>
      </c>
      <c r="AE155" s="157">
        <f t="shared" si="58"/>
        <v>0</v>
      </c>
      <c r="AF155" s="157">
        <v>0</v>
      </c>
      <c r="AG155" s="157">
        <v>0</v>
      </c>
      <c r="AH155" s="157">
        <v>0</v>
      </c>
      <c r="AI155" s="157">
        <v>0</v>
      </c>
      <c r="AJ155" s="157">
        <f t="shared" si="59"/>
        <v>0</v>
      </c>
      <c r="AK155" s="157">
        <v>0</v>
      </c>
      <c r="AL155" s="157">
        <f t="shared" si="60"/>
        <v>0</v>
      </c>
      <c r="AM155" s="157">
        <v>0</v>
      </c>
      <c r="AN155" s="157">
        <v>0</v>
      </c>
      <c r="AO155" s="158">
        <v>0</v>
      </c>
    </row>
    <row r="156" spans="1:41" x14ac:dyDescent="0.25">
      <c r="A156" s="167" t="s">
        <v>246</v>
      </c>
      <c r="B156" s="156" t="s">
        <v>247</v>
      </c>
      <c r="C156" s="157">
        <f t="shared" si="55"/>
        <v>500000</v>
      </c>
      <c r="D156" s="157">
        <f t="shared" si="56"/>
        <v>500000</v>
      </c>
      <c r="E156" s="157">
        <v>0</v>
      </c>
      <c r="F156" s="157">
        <v>0</v>
      </c>
      <c r="G156" s="157">
        <v>0</v>
      </c>
      <c r="H156" s="157">
        <v>0</v>
      </c>
      <c r="I156" s="157">
        <v>0</v>
      </c>
      <c r="J156" s="157">
        <v>0</v>
      </c>
      <c r="K156" s="157">
        <v>0</v>
      </c>
      <c r="L156" s="157">
        <v>0</v>
      </c>
      <c r="M156" s="157">
        <v>0</v>
      </c>
      <c r="N156" s="157">
        <v>0</v>
      </c>
      <c r="O156" s="157">
        <v>500000</v>
      </c>
      <c r="P156" s="157">
        <v>0</v>
      </c>
      <c r="Q156" s="157">
        <v>0</v>
      </c>
      <c r="R156" s="157">
        <v>0</v>
      </c>
      <c r="S156" s="157">
        <v>0</v>
      </c>
      <c r="T156" s="157">
        <v>0</v>
      </c>
      <c r="U156" s="157">
        <v>0</v>
      </c>
      <c r="V156" s="157">
        <v>0</v>
      </c>
      <c r="W156" s="157">
        <v>0</v>
      </c>
      <c r="X156" s="157">
        <v>0</v>
      </c>
      <c r="Y156" s="157">
        <f t="shared" si="57"/>
        <v>0</v>
      </c>
      <c r="Z156" s="157">
        <v>0</v>
      </c>
      <c r="AA156" s="157">
        <v>0</v>
      </c>
      <c r="AB156" s="157">
        <v>0</v>
      </c>
      <c r="AC156" s="157">
        <v>0</v>
      </c>
      <c r="AD156" s="157">
        <v>0</v>
      </c>
      <c r="AE156" s="157">
        <f t="shared" si="58"/>
        <v>0</v>
      </c>
      <c r="AF156" s="157">
        <v>0</v>
      </c>
      <c r="AG156" s="157">
        <v>0</v>
      </c>
      <c r="AH156" s="157">
        <v>0</v>
      </c>
      <c r="AI156" s="157">
        <v>0</v>
      </c>
      <c r="AJ156" s="157">
        <f t="shared" si="59"/>
        <v>0</v>
      </c>
      <c r="AK156" s="157">
        <v>0</v>
      </c>
      <c r="AL156" s="157">
        <f t="shared" si="60"/>
        <v>0</v>
      </c>
      <c r="AM156" s="157">
        <v>0</v>
      </c>
      <c r="AN156" s="157">
        <v>0</v>
      </c>
      <c r="AO156" s="158">
        <v>0</v>
      </c>
    </row>
    <row r="157" spans="1:41" x14ac:dyDescent="0.25">
      <c r="A157" s="160"/>
      <c r="B157" s="161"/>
      <c r="C157" s="157"/>
      <c r="D157" s="157"/>
      <c r="E157" s="157"/>
      <c r="F157" s="157"/>
      <c r="G157" s="157"/>
      <c r="H157" s="157"/>
      <c r="I157" s="157"/>
      <c r="J157" s="157"/>
      <c r="K157" s="157"/>
      <c r="L157" s="157"/>
      <c r="M157" s="157"/>
      <c r="N157" s="157"/>
      <c r="O157" s="157"/>
      <c r="P157" s="157"/>
      <c r="Q157" s="157"/>
      <c r="R157" s="157"/>
      <c r="S157" s="157"/>
      <c r="T157" s="157"/>
      <c r="U157" s="157"/>
      <c r="V157" s="157"/>
      <c r="W157" s="157"/>
      <c r="X157" s="157"/>
      <c r="Y157" s="157"/>
      <c r="Z157" s="157"/>
      <c r="AA157" s="157"/>
      <c r="AB157" s="157"/>
      <c r="AC157" s="157"/>
      <c r="AD157" s="157"/>
      <c r="AE157" s="157"/>
      <c r="AF157" s="157"/>
      <c r="AG157" s="157"/>
      <c r="AH157" s="157"/>
      <c r="AI157" s="157"/>
      <c r="AJ157" s="157"/>
      <c r="AK157" s="157"/>
      <c r="AL157" s="157"/>
      <c r="AM157" s="157"/>
      <c r="AN157" s="157"/>
      <c r="AO157" s="158"/>
    </row>
    <row r="158" spans="1:41" x14ac:dyDescent="0.25">
      <c r="A158" s="176" t="s">
        <v>248</v>
      </c>
      <c r="B158" s="162" t="s">
        <v>249</v>
      </c>
      <c r="C158" s="148">
        <f>SUM(C159:C160)</f>
        <v>4500000</v>
      </c>
      <c r="D158" s="148">
        <f t="shared" ref="D158:AO158" si="61">SUM(D159:D160)</f>
        <v>4500000</v>
      </c>
      <c r="E158" s="148">
        <f t="shared" si="61"/>
        <v>0</v>
      </c>
      <c r="F158" s="148">
        <f t="shared" si="61"/>
        <v>0</v>
      </c>
      <c r="G158" s="148">
        <f t="shared" si="61"/>
        <v>0</v>
      </c>
      <c r="H158" s="148">
        <f t="shared" si="61"/>
        <v>0</v>
      </c>
      <c r="I158" s="148">
        <f t="shared" si="61"/>
        <v>0</v>
      </c>
      <c r="J158" s="148">
        <f t="shared" si="61"/>
        <v>0</v>
      </c>
      <c r="K158" s="148">
        <f t="shared" si="61"/>
        <v>0</v>
      </c>
      <c r="L158" s="148">
        <f t="shared" si="61"/>
        <v>0</v>
      </c>
      <c r="M158" s="148">
        <f t="shared" si="61"/>
        <v>0</v>
      </c>
      <c r="N158" s="148">
        <f t="shared" si="61"/>
        <v>0</v>
      </c>
      <c r="O158" s="148">
        <f t="shared" si="61"/>
        <v>4000000</v>
      </c>
      <c r="P158" s="148">
        <f t="shared" si="61"/>
        <v>0</v>
      </c>
      <c r="Q158" s="148">
        <f t="shared" si="61"/>
        <v>0</v>
      </c>
      <c r="R158" s="148">
        <f t="shared" si="61"/>
        <v>0</v>
      </c>
      <c r="S158" s="148">
        <f t="shared" si="61"/>
        <v>0</v>
      </c>
      <c r="T158" s="148">
        <f t="shared" si="61"/>
        <v>0</v>
      </c>
      <c r="U158" s="148">
        <f t="shared" si="61"/>
        <v>0</v>
      </c>
      <c r="V158" s="148">
        <f t="shared" si="61"/>
        <v>0</v>
      </c>
      <c r="W158" s="148">
        <f t="shared" si="61"/>
        <v>500000</v>
      </c>
      <c r="X158" s="148">
        <f t="shared" si="61"/>
        <v>0</v>
      </c>
      <c r="Y158" s="148">
        <f t="shared" si="61"/>
        <v>0</v>
      </c>
      <c r="Z158" s="148">
        <f t="shared" si="61"/>
        <v>0</v>
      </c>
      <c r="AA158" s="148">
        <f t="shared" si="61"/>
        <v>0</v>
      </c>
      <c r="AB158" s="148">
        <f t="shared" si="61"/>
        <v>0</v>
      </c>
      <c r="AC158" s="148">
        <f t="shared" si="61"/>
        <v>0</v>
      </c>
      <c r="AD158" s="148">
        <f t="shared" si="61"/>
        <v>0</v>
      </c>
      <c r="AE158" s="148">
        <f t="shared" si="61"/>
        <v>0</v>
      </c>
      <c r="AF158" s="148">
        <f t="shared" si="61"/>
        <v>0</v>
      </c>
      <c r="AG158" s="148">
        <f t="shared" si="61"/>
        <v>0</v>
      </c>
      <c r="AH158" s="148">
        <f t="shared" si="61"/>
        <v>0</v>
      </c>
      <c r="AI158" s="148">
        <f t="shared" si="61"/>
        <v>0</v>
      </c>
      <c r="AJ158" s="148">
        <f t="shared" si="61"/>
        <v>0</v>
      </c>
      <c r="AK158" s="148">
        <f t="shared" si="61"/>
        <v>0</v>
      </c>
      <c r="AL158" s="148">
        <f t="shared" si="61"/>
        <v>0</v>
      </c>
      <c r="AM158" s="148">
        <f t="shared" si="61"/>
        <v>0</v>
      </c>
      <c r="AN158" s="148">
        <f t="shared" si="61"/>
        <v>0</v>
      </c>
      <c r="AO158" s="149">
        <f t="shared" si="61"/>
        <v>0</v>
      </c>
    </row>
    <row r="159" spans="1:41" x14ac:dyDescent="0.25">
      <c r="A159" s="167" t="s">
        <v>250</v>
      </c>
      <c r="B159" s="156" t="s">
        <v>251</v>
      </c>
      <c r="C159" s="157">
        <f>SUM(D159+Y159+AE159+AJ159)</f>
        <v>1000000</v>
      </c>
      <c r="D159" s="157">
        <f>SUM(E159:X159)</f>
        <v>1000000</v>
      </c>
      <c r="E159" s="157">
        <v>0</v>
      </c>
      <c r="F159" s="157">
        <v>0</v>
      </c>
      <c r="G159" s="157">
        <v>0</v>
      </c>
      <c r="H159" s="157">
        <v>0</v>
      </c>
      <c r="I159" s="157">
        <v>0</v>
      </c>
      <c r="J159" s="157">
        <v>0</v>
      </c>
      <c r="K159" s="157">
        <v>0</v>
      </c>
      <c r="L159" s="157">
        <v>0</v>
      </c>
      <c r="M159" s="157">
        <v>0</v>
      </c>
      <c r="N159" s="157">
        <v>0</v>
      </c>
      <c r="O159" s="157">
        <v>1000000</v>
      </c>
      <c r="P159" s="157">
        <v>0</v>
      </c>
      <c r="Q159" s="157">
        <v>0</v>
      </c>
      <c r="R159" s="157">
        <v>0</v>
      </c>
      <c r="S159" s="157">
        <v>0</v>
      </c>
      <c r="T159" s="157">
        <v>0</v>
      </c>
      <c r="U159" s="157">
        <v>0</v>
      </c>
      <c r="V159" s="157">
        <v>0</v>
      </c>
      <c r="W159" s="157">
        <v>0</v>
      </c>
      <c r="X159" s="157">
        <v>0</v>
      </c>
      <c r="Y159" s="157">
        <f>SUM(Z159:AD159)</f>
        <v>0</v>
      </c>
      <c r="Z159" s="157">
        <v>0</v>
      </c>
      <c r="AA159" s="157">
        <v>0</v>
      </c>
      <c r="AB159" s="157">
        <v>0</v>
      </c>
      <c r="AC159" s="157">
        <v>0</v>
      </c>
      <c r="AD159" s="157">
        <v>0</v>
      </c>
      <c r="AE159" s="157">
        <f>SUM(AF159:AI159)</f>
        <v>0</v>
      </c>
      <c r="AF159" s="157">
        <v>0</v>
      </c>
      <c r="AG159" s="157">
        <v>0</v>
      </c>
      <c r="AH159" s="157">
        <v>0</v>
      </c>
      <c r="AI159" s="157">
        <v>0</v>
      </c>
      <c r="AJ159" s="157">
        <f>SUM(AK159:AL159)</f>
        <v>0</v>
      </c>
      <c r="AK159" s="157">
        <v>0</v>
      </c>
      <c r="AL159" s="157">
        <f>SUM(AM159:AO159)</f>
        <v>0</v>
      </c>
      <c r="AM159" s="157">
        <v>0</v>
      </c>
      <c r="AN159" s="157">
        <v>0</v>
      </c>
      <c r="AO159" s="158">
        <v>0</v>
      </c>
    </row>
    <row r="160" spans="1:41" x14ac:dyDescent="0.25">
      <c r="A160" s="167" t="s">
        <v>252</v>
      </c>
      <c r="B160" s="156" t="s">
        <v>253</v>
      </c>
      <c r="C160" s="157">
        <f>SUM(D160+Y160+AE160+AJ160)</f>
        <v>3500000</v>
      </c>
      <c r="D160" s="157">
        <f>SUM(E160:X160)</f>
        <v>3500000</v>
      </c>
      <c r="E160" s="157">
        <v>0</v>
      </c>
      <c r="F160" s="157">
        <v>0</v>
      </c>
      <c r="G160" s="157">
        <v>0</v>
      </c>
      <c r="H160" s="157">
        <v>0</v>
      </c>
      <c r="I160" s="157">
        <v>0</v>
      </c>
      <c r="J160" s="157">
        <v>0</v>
      </c>
      <c r="K160" s="157">
        <v>0</v>
      </c>
      <c r="L160" s="157">
        <v>0</v>
      </c>
      <c r="M160" s="157">
        <v>0</v>
      </c>
      <c r="N160" s="157">
        <v>0</v>
      </c>
      <c r="O160" s="157">
        <v>3000000</v>
      </c>
      <c r="P160" s="157">
        <v>0</v>
      </c>
      <c r="Q160" s="157">
        <v>0</v>
      </c>
      <c r="R160" s="157">
        <v>0</v>
      </c>
      <c r="S160" s="157">
        <v>0</v>
      </c>
      <c r="T160" s="157">
        <v>0</v>
      </c>
      <c r="U160" s="157">
        <v>0</v>
      </c>
      <c r="V160" s="157">
        <v>0</v>
      </c>
      <c r="W160" s="157">
        <v>500000</v>
      </c>
      <c r="X160" s="157">
        <v>0</v>
      </c>
      <c r="Y160" s="157">
        <f>SUM(Z160:AD160)</f>
        <v>0</v>
      </c>
      <c r="Z160" s="157">
        <v>0</v>
      </c>
      <c r="AA160" s="157">
        <v>0</v>
      </c>
      <c r="AB160" s="157">
        <v>0</v>
      </c>
      <c r="AC160" s="157">
        <v>0</v>
      </c>
      <c r="AD160" s="157">
        <v>0</v>
      </c>
      <c r="AE160" s="157">
        <f>SUM(AF160:AI160)</f>
        <v>0</v>
      </c>
      <c r="AF160" s="157">
        <v>0</v>
      </c>
      <c r="AG160" s="157">
        <v>0</v>
      </c>
      <c r="AH160" s="157">
        <v>0</v>
      </c>
      <c r="AI160" s="157">
        <v>0</v>
      </c>
      <c r="AJ160" s="157">
        <f>SUM(AK160:AL160)</f>
        <v>0</v>
      </c>
      <c r="AK160" s="157">
        <v>0</v>
      </c>
      <c r="AL160" s="157">
        <f>SUM(AM160:AO160)</f>
        <v>0</v>
      </c>
      <c r="AM160" s="157">
        <v>0</v>
      </c>
      <c r="AN160" s="157">
        <v>0</v>
      </c>
      <c r="AO160" s="158">
        <v>0</v>
      </c>
    </row>
    <row r="161" spans="1:92" x14ac:dyDescent="0.25">
      <c r="A161" s="160"/>
      <c r="B161" s="161"/>
      <c r="C161" s="157"/>
      <c r="D161" s="157"/>
      <c r="E161" s="157"/>
      <c r="F161" s="157"/>
      <c r="G161" s="157"/>
      <c r="H161" s="157"/>
      <c r="I161" s="157"/>
      <c r="J161" s="157"/>
      <c r="K161" s="157"/>
      <c r="L161" s="157"/>
      <c r="M161" s="157"/>
      <c r="N161" s="157"/>
      <c r="O161" s="157"/>
      <c r="P161" s="157"/>
      <c r="Q161" s="157"/>
      <c r="R161" s="157"/>
      <c r="S161" s="157"/>
      <c r="T161" s="157"/>
      <c r="U161" s="157"/>
      <c r="V161" s="157"/>
      <c r="W161" s="157"/>
      <c r="X161" s="157"/>
      <c r="Y161" s="157"/>
      <c r="Z161" s="157"/>
      <c r="AA161" s="157"/>
      <c r="AB161" s="157"/>
      <c r="AC161" s="157"/>
      <c r="AD161" s="157"/>
      <c r="AE161" s="157"/>
      <c r="AF161" s="157"/>
      <c r="AG161" s="157"/>
      <c r="AH161" s="157"/>
      <c r="AI161" s="157"/>
      <c r="AJ161" s="157"/>
      <c r="AK161" s="157"/>
      <c r="AL161" s="157"/>
      <c r="AM161" s="157"/>
      <c r="AN161" s="157"/>
      <c r="AO161" s="158"/>
    </row>
    <row r="162" spans="1:92" x14ac:dyDescent="0.25">
      <c r="A162" s="176" t="s">
        <v>254</v>
      </c>
      <c r="B162" s="162" t="s">
        <v>255</v>
      </c>
      <c r="C162" s="148">
        <f>SUM(C163:C169)</f>
        <v>38350205</v>
      </c>
      <c r="D162" s="148">
        <f t="shared" ref="D162:AO162" si="62">SUM(D163:D169)</f>
        <v>28875205</v>
      </c>
      <c r="E162" s="148">
        <f t="shared" si="62"/>
        <v>0</v>
      </c>
      <c r="F162" s="148">
        <f t="shared" si="62"/>
        <v>0</v>
      </c>
      <c r="G162" s="148">
        <f t="shared" si="62"/>
        <v>225806</v>
      </c>
      <c r="H162" s="148">
        <f t="shared" si="62"/>
        <v>0</v>
      </c>
      <c r="I162" s="148">
        <f t="shared" si="62"/>
        <v>465041</v>
      </c>
      <c r="J162" s="148">
        <f t="shared" si="62"/>
        <v>3590</v>
      </c>
      <c r="K162" s="148">
        <f t="shared" si="62"/>
        <v>0</v>
      </c>
      <c r="L162" s="148">
        <f t="shared" si="62"/>
        <v>3000000</v>
      </c>
      <c r="M162" s="148">
        <f t="shared" si="62"/>
        <v>0</v>
      </c>
      <c r="N162" s="148">
        <f t="shared" si="62"/>
        <v>90000</v>
      </c>
      <c r="O162" s="148">
        <f t="shared" si="62"/>
        <v>5330000</v>
      </c>
      <c r="P162" s="148">
        <f t="shared" si="62"/>
        <v>641928</v>
      </c>
      <c r="Q162" s="148">
        <f t="shared" si="62"/>
        <v>0</v>
      </c>
      <c r="R162" s="148">
        <f t="shared" si="62"/>
        <v>200000</v>
      </c>
      <c r="S162" s="148">
        <f t="shared" si="62"/>
        <v>600000</v>
      </c>
      <c r="T162" s="148">
        <f t="shared" si="62"/>
        <v>400000</v>
      </c>
      <c r="U162" s="148">
        <f t="shared" si="62"/>
        <v>0</v>
      </c>
      <c r="V162" s="148">
        <f t="shared" si="62"/>
        <v>14138840</v>
      </c>
      <c r="W162" s="148">
        <f t="shared" si="62"/>
        <v>3030000</v>
      </c>
      <c r="X162" s="148">
        <f t="shared" si="62"/>
        <v>750000</v>
      </c>
      <c r="Y162" s="148">
        <f t="shared" si="62"/>
        <v>2990000</v>
      </c>
      <c r="Z162" s="148">
        <f t="shared" si="62"/>
        <v>200000</v>
      </c>
      <c r="AA162" s="148">
        <f t="shared" si="62"/>
        <v>730000</v>
      </c>
      <c r="AB162" s="148">
        <f t="shared" si="62"/>
        <v>1305000</v>
      </c>
      <c r="AC162" s="148">
        <f t="shared" si="62"/>
        <v>710000</v>
      </c>
      <c r="AD162" s="148">
        <f t="shared" si="62"/>
        <v>45000</v>
      </c>
      <c r="AE162" s="148">
        <f t="shared" si="62"/>
        <v>0</v>
      </c>
      <c r="AF162" s="148">
        <f t="shared" si="62"/>
        <v>0</v>
      </c>
      <c r="AG162" s="148">
        <f t="shared" si="62"/>
        <v>0</v>
      </c>
      <c r="AH162" s="148">
        <f t="shared" si="62"/>
        <v>0</v>
      </c>
      <c r="AI162" s="148">
        <f t="shared" si="62"/>
        <v>0</v>
      </c>
      <c r="AJ162" s="148">
        <f t="shared" si="62"/>
        <v>6485000</v>
      </c>
      <c r="AK162" s="148">
        <f t="shared" si="62"/>
        <v>4100000</v>
      </c>
      <c r="AL162" s="148">
        <f t="shared" si="62"/>
        <v>2385000</v>
      </c>
      <c r="AM162" s="148">
        <f t="shared" si="62"/>
        <v>350000</v>
      </c>
      <c r="AN162" s="148">
        <f t="shared" si="62"/>
        <v>2035000</v>
      </c>
      <c r="AO162" s="149">
        <f t="shared" si="62"/>
        <v>0</v>
      </c>
    </row>
    <row r="163" spans="1:92" x14ac:dyDescent="0.25">
      <c r="A163" s="167" t="s">
        <v>256</v>
      </c>
      <c r="B163" s="156" t="s">
        <v>257</v>
      </c>
      <c r="C163" s="157">
        <f t="shared" ref="C163:C169" si="63">SUM(D163+Y163+AE163+AJ163)</f>
        <v>9720924</v>
      </c>
      <c r="D163" s="157">
        <f t="shared" ref="D163:D169" si="64">SUM(E163:X163)</f>
        <v>6165924</v>
      </c>
      <c r="E163" s="157">
        <v>0</v>
      </c>
      <c r="F163" s="157">
        <v>0</v>
      </c>
      <c r="G163" s="157">
        <v>140150</v>
      </c>
      <c r="H163" s="157">
        <v>0</v>
      </c>
      <c r="I163" s="157">
        <v>79193</v>
      </c>
      <c r="J163" s="157">
        <f>1088-1088</f>
        <v>0</v>
      </c>
      <c r="K163" s="157">
        <v>0</v>
      </c>
      <c r="L163" s="157">
        <v>0</v>
      </c>
      <c r="M163" s="157">
        <v>0</v>
      </c>
      <c r="N163" s="157">
        <v>0</v>
      </c>
      <c r="O163" s="157">
        <v>0</v>
      </c>
      <c r="P163" s="157">
        <v>485005</v>
      </c>
      <c r="Q163" s="157">
        <v>0</v>
      </c>
      <c r="R163" s="157">
        <f>150000-150000</f>
        <v>0</v>
      </c>
      <c r="S163" s="157">
        <v>0</v>
      </c>
      <c r="T163" s="157">
        <v>150000</v>
      </c>
      <c r="U163" s="157">
        <v>0</v>
      </c>
      <c r="V163" s="157">
        <v>5111576</v>
      </c>
      <c r="W163" s="157">
        <v>100000</v>
      </c>
      <c r="X163" s="157">
        <v>100000</v>
      </c>
      <c r="Y163" s="157">
        <f t="shared" ref="Y163:Y169" si="65">SUM(Z163:AD163)</f>
        <v>1880000</v>
      </c>
      <c r="Z163" s="157">
        <v>100000</v>
      </c>
      <c r="AA163" s="157">
        <v>495000</v>
      </c>
      <c r="AB163" s="157">
        <v>735000</v>
      </c>
      <c r="AC163" s="157">
        <v>535000</v>
      </c>
      <c r="AD163" s="157">
        <v>15000</v>
      </c>
      <c r="AE163" s="157">
        <f t="shared" ref="AE163:AE169" si="66">SUM(AF163:AI163)</f>
        <v>0</v>
      </c>
      <c r="AF163" s="157">
        <v>0</v>
      </c>
      <c r="AG163" s="157">
        <f>85824-85824</f>
        <v>0</v>
      </c>
      <c r="AH163" s="157">
        <v>0</v>
      </c>
      <c r="AI163" s="157">
        <v>0</v>
      </c>
      <c r="AJ163" s="157">
        <f t="shared" ref="AJ163:AJ169" si="67">SUM(AK163:AL163)</f>
        <v>1675000</v>
      </c>
      <c r="AK163" s="157">
        <v>1000000</v>
      </c>
      <c r="AL163" s="157">
        <f t="shared" ref="AL163:AL169" si="68">SUM(AM163:AO163)</f>
        <v>675000</v>
      </c>
      <c r="AM163" s="157">
        <v>150000</v>
      </c>
      <c r="AN163" s="157">
        <v>525000</v>
      </c>
      <c r="AO163" s="158">
        <f>306180-306180</f>
        <v>0</v>
      </c>
    </row>
    <row r="164" spans="1:92" x14ac:dyDescent="0.25">
      <c r="A164" s="167" t="s">
        <v>258</v>
      </c>
      <c r="B164" s="156" t="s">
        <v>259</v>
      </c>
      <c r="C164" s="157">
        <f t="shared" si="63"/>
        <v>300000</v>
      </c>
      <c r="D164" s="157">
        <f t="shared" si="64"/>
        <v>300000</v>
      </c>
      <c r="E164" s="157">
        <v>0</v>
      </c>
      <c r="F164" s="157">
        <v>0</v>
      </c>
      <c r="G164" s="157">
        <v>0</v>
      </c>
      <c r="H164" s="157">
        <v>0</v>
      </c>
      <c r="I164" s="157">
        <v>0</v>
      </c>
      <c r="J164" s="157">
        <v>0</v>
      </c>
      <c r="K164" s="157">
        <v>0</v>
      </c>
      <c r="L164" s="157">
        <v>0</v>
      </c>
      <c r="M164" s="157">
        <v>0</v>
      </c>
      <c r="N164" s="157">
        <v>0</v>
      </c>
      <c r="O164" s="157">
        <v>0</v>
      </c>
      <c r="P164" s="157">
        <v>0</v>
      </c>
      <c r="Q164" s="157">
        <v>0</v>
      </c>
      <c r="R164" s="157">
        <v>0</v>
      </c>
      <c r="S164" s="157">
        <v>0</v>
      </c>
      <c r="T164" s="157">
        <v>0</v>
      </c>
      <c r="U164" s="157">
        <v>0</v>
      </c>
      <c r="V164" s="157">
        <v>0</v>
      </c>
      <c r="W164" s="157">
        <v>300000</v>
      </c>
      <c r="X164" s="157">
        <v>0</v>
      </c>
      <c r="Y164" s="157">
        <f t="shared" si="65"/>
        <v>0</v>
      </c>
      <c r="Z164" s="157">
        <v>0</v>
      </c>
      <c r="AA164" s="157">
        <v>0</v>
      </c>
      <c r="AB164" s="157">
        <v>0</v>
      </c>
      <c r="AC164" s="157">
        <v>0</v>
      </c>
      <c r="AD164" s="157">
        <v>0</v>
      </c>
      <c r="AE164" s="157">
        <f t="shared" si="66"/>
        <v>0</v>
      </c>
      <c r="AF164" s="157">
        <v>0</v>
      </c>
      <c r="AG164" s="157">
        <v>0</v>
      </c>
      <c r="AH164" s="157">
        <v>0</v>
      </c>
      <c r="AI164" s="157">
        <v>0</v>
      </c>
      <c r="AJ164" s="157">
        <f t="shared" si="67"/>
        <v>0</v>
      </c>
      <c r="AK164" s="157">
        <v>0</v>
      </c>
      <c r="AL164" s="157">
        <f t="shared" si="68"/>
        <v>0</v>
      </c>
      <c r="AM164" s="157">
        <v>0</v>
      </c>
      <c r="AN164" s="157">
        <v>0</v>
      </c>
      <c r="AO164" s="158">
        <v>0</v>
      </c>
    </row>
    <row r="165" spans="1:92" x14ac:dyDescent="0.25">
      <c r="A165" s="167" t="s">
        <v>260</v>
      </c>
      <c r="B165" s="156" t="s">
        <v>261</v>
      </c>
      <c r="C165" s="157">
        <f t="shared" si="63"/>
        <v>15866921</v>
      </c>
      <c r="D165" s="157">
        <f t="shared" si="64"/>
        <v>10111921</v>
      </c>
      <c r="E165" s="157">
        <v>0</v>
      </c>
      <c r="F165" s="157">
        <v>0</v>
      </c>
      <c r="G165" s="157">
        <v>85656</v>
      </c>
      <c r="H165" s="157">
        <v>0</v>
      </c>
      <c r="I165" s="157">
        <v>178488</v>
      </c>
      <c r="J165" s="157">
        <v>3590</v>
      </c>
      <c r="K165" s="157">
        <v>0</v>
      </c>
      <c r="L165" s="157">
        <v>0</v>
      </c>
      <c r="M165" s="157">
        <v>0</v>
      </c>
      <c r="N165" s="157">
        <v>0</v>
      </c>
      <c r="O165" s="157">
        <v>0</v>
      </c>
      <c r="P165" s="157">
        <v>116923</v>
      </c>
      <c r="Q165" s="157">
        <v>0</v>
      </c>
      <c r="R165" s="157">
        <f>100000-100000</f>
        <v>0</v>
      </c>
      <c r="S165" s="157">
        <v>0</v>
      </c>
      <c r="T165" s="157">
        <v>200000</v>
      </c>
      <c r="U165" s="157">
        <v>0</v>
      </c>
      <c r="V165" s="157">
        <v>9027264</v>
      </c>
      <c r="W165" s="157">
        <v>0</v>
      </c>
      <c r="X165" s="157">
        <v>500000</v>
      </c>
      <c r="Y165" s="157">
        <f t="shared" si="65"/>
        <v>1045000</v>
      </c>
      <c r="Z165" s="157">
        <v>100000</v>
      </c>
      <c r="AA165" s="157">
        <v>185000</v>
      </c>
      <c r="AB165" s="157">
        <v>570000</v>
      </c>
      <c r="AC165" s="157">
        <v>175000</v>
      </c>
      <c r="AD165" s="157">
        <v>15000</v>
      </c>
      <c r="AE165" s="157">
        <f t="shared" si="66"/>
        <v>0</v>
      </c>
      <c r="AF165" s="157">
        <v>0</v>
      </c>
      <c r="AG165" s="157">
        <f>135000-135000</f>
        <v>0</v>
      </c>
      <c r="AH165" s="157">
        <v>0</v>
      </c>
      <c r="AI165" s="157">
        <v>0</v>
      </c>
      <c r="AJ165" s="157">
        <f t="shared" si="67"/>
        <v>4710000</v>
      </c>
      <c r="AK165" s="157">
        <v>3000000</v>
      </c>
      <c r="AL165" s="157">
        <f t="shared" si="68"/>
        <v>1710000</v>
      </c>
      <c r="AM165" s="157">
        <v>200000</v>
      </c>
      <c r="AN165" s="157">
        <v>1510000</v>
      </c>
      <c r="AO165" s="158">
        <f>183700-183700</f>
        <v>0</v>
      </c>
    </row>
    <row r="166" spans="1:92" x14ac:dyDescent="0.25">
      <c r="A166" s="167" t="s">
        <v>262</v>
      </c>
      <c r="B166" s="156" t="s">
        <v>263</v>
      </c>
      <c r="C166" s="157">
        <f t="shared" si="63"/>
        <v>4190000</v>
      </c>
      <c r="D166" s="157">
        <f t="shared" si="64"/>
        <v>4140000</v>
      </c>
      <c r="E166" s="157">
        <v>0</v>
      </c>
      <c r="F166" s="157">
        <v>0</v>
      </c>
      <c r="G166" s="157">
        <v>0</v>
      </c>
      <c r="H166" s="157">
        <v>0</v>
      </c>
      <c r="I166" s="157">
        <v>0</v>
      </c>
      <c r="J166" s="157">
        <v>0</v>
      </c>
      <c r="K166" s="157">
        <v>0</v>
      </c>
      <c r="L166" s="157">
        <v>3000000</v>
      </c>
      <c r="M166" s="157">
        <v>0</v>
      </c>
      <c r="N166" s="157">
        <v>90000</v>
      </c>
      <c r="O166" s="157">
        <v>250000</v>
      </c>
      <c r="P166" s="157">
        <v>0</v>
      </c>
      <c r="Q166" s="157">
        <v>0</v>
      </c>
      <c r="R166" s="157">
        <v>0</v>
      </c>
      <c r="S166" s="157">
        <v>600000</v>
      </c>
      <c r="T166" s="157">
        <v>0</v>
      </c>
      <c r="U166" s="157">
        <v>0</v>
      </c>
      <c r="V166" s="157">
        <v>0</v>
      </c>
      <c r="W166" s="157">
        <v>100000</v>
      </c>
      <c r="X166" s="157">
        <v>100000</v>
      </c>
      <c r="Y166" s="157">
        <f t="shared" si="65"/>
        <v>50000</v>
      </c>
      <c r="Z166" s="157">
        <v>0</v>
      </c>
      <c r="AA166" s="157">
        <v>50000</v>
      </c>
      <c r="AB166" s="157">
        <v>0</v>
      </c>
      <c r="AC166" s="157">
        <v>0</v>
      </c>
      <c r="AD166" s="157">
        <v>0</v>
      </c>
      <c r="AE166" s="157">
        <f t="shared" si="66"/>
        <v>0</v>
      </c>
      <c r="AF166" s="157">
        <v>0</v>
      </c>
      <c r="AG166" s="157">
        <v>0</v>
      </c>
      <c r="AH166" s="157">
        <v>0</v>
      </c>
      <c r="AI166" s="157">
        <v>0</v>
      </c>
      <c r="AJ166" s="157">
        <f t="shared" si="67"/>
        <v>0</v>
      </c>
      <c r="AK166" s="157">
        <v>0</v>
      </c>
      <c r="AL166" s="157">
        <f t="shared" si="68"/>
        <v>0</v>
      </c>
      <c r="AM166" s="157">
        <v>0</v>
      </c>
      <c r="AN166" s="157">
        <v>0</v>
      </c>
      <c r="AO166" s="158">
        <v>0</v>
      </c>
    </row>
    <row r="167" spans="1:92" x14ac:dyDescent="0.25">
      <c r="A167" s="167" t="s">
        <v>264</v>
      </c>
      <c r="B167" s="156" t="s">
        <v>265</v>
      </c>
      <c r="C167" s="157">
        <f t="shared" si="63"/>
        <v>4037360</v>
      </c>
      <c r="D167" s="157">
        <f t="shared" si="64"/>
        <v>4037360</v>
      </c>
      <c r="E167" s="157">
        <v>0</v>
      </c>
      <c r="F167" s="157">
        <v>0</v>
      </c>
      <c r="G167" s="157">
        <v>0</v>
      </c>
      <c r="H167" s="157">
        <v>0</v>
      </c>
      <c r="I167" s="157">
        <v>207360</v>
      </c>
      <c r="J167" s="157">
        <v>0</v>
      </c>
      <c r="K167" s="157">
        <v>0</v>
      </c>
      <c r="L167" s="157">
        <v>0</v>
      </c>
      <c r="M167" s="157">
        <v>0</v>
      </c>
      <c r="N167" s="157">
        <v>0</v>
      </c>
      <c r="O167" s="157">
        <v>3830000</v>
      </c>
      <c r="P167" s="157">
        <v>0</v>
      </c>
      <c r="Q167" s="157">
        <v>0</v>
      </c>
      <c r="R167" s="157">
        <v>0</v>
      </c>
      <c r="S167" s="157">
        <v>0</v>
      </c>
      <c r="T167" s="157">
        <v>0</v>
      </c>
      <c r="U167" s="157">
        <v>0</v>
      </c>
      <c r="V167" s="157">
        <v>0</v>
      </c>
      <c r="W167" s="157">
        <v>0</v>
      </c>
      <c r="X167" s="157">
        <v>0</v>
      </c>
      <c r="Y167" s="157">
        <f t="shared" si="65"/>
        <v>0</v>
      </c>
      <c r="Z167" s="157">
        <v>0</v>
      </c>
      <c r="AA167" s="157">
        <v>0</v>
      </c>
      <c r="AB167" s="157">
        <v>0</v>
      </c>
      <c r="AC167" s="157">
        <v>0</v>
      </c>
      <c r="AD167" s="157">
        <v>0</v>
      </c>
      <c r="AE167" s="157">
        <f t="shared" si="66"/>
        <v>0</v>
      </c>
      <c r="AF167" s="157">
        <v>0</v>
      </c>
      <c r="AG167" s="157">
        <v>0</v>
      </c>
      <c r="AH167" s="157">
        <v>0</v>
      </c>
      <c r="AI167" s="157">
        <v>0</v>
      </c>
      <c r="AJ167" s="157">
        <f t="shared" si="67"/>
        <v>0</v>
      </c>
      <c r="AK167" s="157">
        <v>0</v>
      </c>
      <c r="AL167" s="157">
        <f t="shared" si="68"/>
        <v>0</v>
      </c>
      <c r="AM167" s="157">
        <v>0</v>
      </c>
      <c r="AN167" s="157">
        <v>0</v>
      </c>
      <c r="AO167" s="158">
        <v>0</v>
      </c>
    </row>
    <row r="168" spans="1:92" x14ac:dyDescent="0.25">
      <c r="A168" s="167" t="s">
        <v>266</v>
      </c>
      <c r="B168" s="156" t="s">
        <v>267</v>
      </c>
      <c r="C168" s="157">
        <f t="shared" si="63"/>
        <v>3250000</v>
      </c>
      <c r="D168" s="157">
        <f t="shared" si="64"/>
        <v>3250000</v>
      </c>
      <c r="E168" s="157">
        <v>0</v>
      </c>
      <c r="F168" s="157">
        <v>0</v>
      </c>
      <c r="G168" s="157">
        <v>0</v>
      </c>
      <c r="H168" s="157">
        <v>0</v>
      </c>
      <c r="I168" s="157">
        <v>0</v>
      </c>
      <c r="J168" s="157">
        <v>0</v>
      </c>
      <c r="K168" s="157">
        <v>0</v>
      </c>
      <c r="L168" s="157">
        <v>0</v>
      </c>
      <c r="M168" s="157">
        <v>0</v>
      </c>
      <c r="N168" s="157">
        <v>0</v>
      </c>
      <c r="O168" s="157">
        <v>750000</v>
      </c>
      <c r="P168" s="157">
        <v>0</v>
      </c>
      <c r="Q168" s="157">
        <v>0</v>
      </c>
      <c r="R168" s="157">
        <v>0</v>
      </c>
      <c r="S168" s="157">
        <v>0</v>
      </c>
      <c r="T168" s="157">
        <v>0</v>
      </c>
      <c r="U168" s="157">
        <v>0</v>
      </c>
      <c r="V168" s="157">
        <v>0</v>
      </c>
      <c r="W168" s="157">
        <v>2500000</v>
      </c>
      <c r="X168" s="157">
        <v>0</v>
      </c>
      <c r="Y168" s="157">
        <f t="shared" si="65"/>
        <v>0</v>
      </c>
      <c r="Z168" s="157">
        <v>0</v>
      </c>
      <c r="AA168" s="157">
        <v>0</v>
      </c>
      <c r="AB168" s="157">
        <v>0</v>
      </c>
      <c r="AC168" s="157">
        <v>0</v>
      </c>
      <c r="AD168" s="157">
        <v>0</v>
      </c>
      <c r="AE168" s="157">
        <f t="shared" si="66"/>
        <v>0</v>
      </c>
      <c r="AF168" s="157">
        <v>0</v>
      </c>
      <c r="AG168" s="157">
        <v>0</v>
      </c>
      <c r="AH168" s="157">
        <v>0</v>
      </c>
      <c r="AI168" s="157">
        <v>0</v>
      </c>
      <c r="AJ168" s="157">
        <f t="shared" si="67"/>
        <v>0</v>
      </c>
      <c r="AK168" s="157">
        <v>0</v>
      </c>
      <c r="AL168" s="157">
        <f t="shared" si="68"/>
        <v>0</v>
      </c>
      <c r="AM168" s="157">
        <v>0</v>
      </c>
      <c r="AN168" s="157">
        <v>0</v>
      </c>
      <c r="AO168" s="158">
        <v>0</v>
      </c>
    </row>
    <row r="169" spans="1:92" x14ac:dyDescent="0.25">
      <c r="A169" s="167" t="s">
        <v>268</v>
      </c>
      <c r="B169" s="156" t="s">
        <v>269</v>
      </c>
      <c r="C169" s="157">
        <f t="shared" si="63"/>
        <v>985000</v>
      </c>
      <c r="D169" s="157">
        <f t="shared" si="64"/>
        <v>870000</v>
      </c>
      <c r="E169" s="157">
        <v>0</v>
      </c>
      <c r="F169" s="157">
        <v>0</v>
      </c>
      <c r="G169" s="157">
        <v>0</v>
      </c>
      <c r="H169" s="157">
        <v>0</v>
      </c>
      <c r="I169" s="157">
        <v>0</v>
      </c>
      <c r="J169" s="157">
        <v>0</v>
      </c>
      <c r="K169" s="157">
        <v>0</v>
      </c>
      <c r="L169" s="157">
        <v>0</v>
      </c>
      <c r="M169" s="157">
        <v>0</v>
      </c>
      <c r="N169" s="157">
        <v>0</v>
      </c>
      <c r="O169" s="157">
        <v>500000</v>
      </c>
      <c r="P169" s="157">
        <v>40000</v>
      </c>
      <c r="Q169" s="157">
        <v>0</v>
      </c>
      <c r="R169" s="157">
        <v>200000</v>
      </c>
      <c r="S169" s="157">
        <v>0</v>
      </c>
      <c r="T169" s="157">
        <v>50000</v>
      </c>
      <c r="U169" s="157">
        <v>0</v>
      </c>
      <c r="V169" s="157">
        <v>0</v>
      </c>
      <c r="W169" s="157">
        <v>30000</v>
      </c>
      <c r="X169" s="157">
        <v>50000</v>
      </c>
      <c r="Y169" s="157">
        <f t="shared" si="65"/>
        <v>15000</v>
      </c>
      <c r="Z169" s="157">
        <v>0</v>
      </c>
      <c r="AA169" s="157">
        <v>0</v>
      </c>
      <c r="AB169" s="157">
        <v>0</v>
      </c>
      <c r="AC169" s="157">
        <v>0</v>
      </c>
      <c r="AD169" s="157">
        <v>15000</v>
      </c>
      <c r="AE169" s="157">
        <f t="shared" si="66"/>
        <v>0</v>
      </c>
      <c r="AF169" s="157">
        <v>0</v>
      </c>
      <c r="AG169" s="157">
        <v>0</v>
      </c>
      <c r="AH169" s="157">
        <v>0</v>
      </c>
      <c r="AI169" s="157">
        <v>0</v>
      </c>
      <c r="AJ169" s="157">
        <f t="shared" si="67"/>
        <v>100000</v>
      </c>
      <c r="AK169" s="157">
        <v>100000</v>
      </c>
      <c r="AL169" s="157">
        <f t="shared" si="68"/>
        <v>0</v>
      </c>
      <c r="AM169" s="157">
        <v>0</v>
      </c>
      <c r="AN169" s="157">
        <v>0</v>
      </c>
      <c r="AO169" s="158">
        <v>0</v>
      </c>
    </row>
    <row r="170" spans="1:92" x14ac:dyDescent="0.25">
      <c r="A170" s="167"/>
      <c r="B170" s="156"/>
      <c r="C170" s="157"/>
      <c r="D170" s="157"/>
      <c r="E170" s="157"/>
      <c r="F170" s="157"/>
      <c r="G170" s="157"/>
      <c r="H170" s="157"/>
      <c r="I170" s="157"/>
      <c r="J170" s="157"/>
      <c r="K170" s="157"/>
      <c r="L170" s="157"/>
      <c r="M170" s="157"/>
      <c r="N170" s="157"/>
      <c r="O170" s="157"/>
      <c r="P170" s="157"/>
      <c r="Q170" s="157"/>
      <c r="R170" s="157"/>
      <c r="S170" s="157"/>
      <c r="T170" s="157"/>
      <c r="U170" s="157"/>
      <c r="V170" s="157"/>
      <c r="W170" s="157"/>
      <c r="X170" s="157"/>
      <c r="Y170" s="157"/>
      <c r="Z170" s="157"/>
      <c r="AA170" s="157"/>
      <c r="AB170" s="157"/>
      <c r="AC170" s="157"/>
      <c r="AD170" s="157"/>
      <c r="AE170" s="157"/>
      <c r="AF170" s="157"/>
      <c r="AG170" s="157"/>
      <c r="AH170" s="157"/>
      <c r="AI170" s="157"/>
      <c r="AJ170" s="157"/>
      <c r="AK170" s="157"/>
      <c r="AL170" s="157"/>
      <c r="AM170" s="157"/>
      <c r="AN170" s="157"/>
      <c r="AO170" s="158"/>
    </row>
    <row r="171" spans="1:92" x14ac:dyDescent="0.25">
      <c r="A171" s="180">
        <v>3</v>
      </c>
      <c r="B171" s="181" t="s">
        <v>270</v>
      </c>
      <c r="C171" s="148">
        <f>SUM(C172)</f>
        <v>168866208</v>
      </c>
      <c r="D171" s="148">
        <f t="shared" ref="D171:AO172" si="69">SUM(D172)</f>
        <v>0</v>
      </c>
      <c r="E171" s="148">
        <f t="shared" si="69"/>
        <v>0</v>
      </c>
      <c r="F171" s="148">
        <f t="shared" si="69"/>
        <v>0</v>
      </c>
      <c r="G171" s="148">
        <f t="shared" si="69"/>
        <v>0</v>
      </c>
      <c r="H171" s="148">
        <f t="shared" si="69"/>
        <v>0</v>
      </c>
      <c r="I171" s="148">
        <f t="shared" si="69"/>
        <v>0</v>
      </c>
      <c r="J171" s="148">
        <f t="shared" si="69"/>
        <v>0</v>
      </c>
      <c r="K171" s="148">
        <f t="shared" si="69"/>
        <v>0</v>
      </c>
      <c r="L171" s="148">
        <f t="shared" si="69"/>
        <v>0</v>
      </c>
      <c r="M171" s="148">
        <f t="shared" si="69"/>
        <v>0</v>
      </c>
      <c r="N171" s="148">
        <f t="shared" si="69"/>
        <v>0</v>
      </c>
      <c r="O171" s="148">
        <f t="shared" si="69"/>
        <v>0</v>
      </c>
      <c r="P171" s="148">
        <f t="shared" si="69"/>
        <v>0</v>
      </c>
      <c r="Q171" s="148">
        <f t="shared" si="69"/>
        <v>0</v>
      </c>
      <c r="R171" s="148">
        <f t="shared" si="69"/>
        <v>0</v>
      </c>
      <c r="S171" s="148">
        <f t="shared" si="69"/>
        <v>0</v>
      </c>
      <c r="T171" s="148">
        <f t="shared" si="69"/>
        <v>0</v>
      </c>
      <c r="U171" s="148">
        <f t="shared" si="69"/>
        <v>0</v>
      </c>
      <c r="V171" s="148">
        <f t="shared" si="69"/>
        <v>0</v>
      </c>
      <c r="W171" s="148">
        <f t="shared" si="69"/>
        <v>0</v>
      </c>
      <c r="X171" s="148">
        <f t="shared" si="69"/>
        <v>0</v>
      </c>
      <c r="Y171" s="148">
        <f t="shared" si="69"/>
        <v>0</v>
      </c>
      <c r="Z171" s="148">
        <f t="shared" si="69"/>
        <v>0</v>
      </c>
      <c r="AA171" s="148">
        <f t="shared" si="69"/>
        <v>0</v>
      </c>
      <c r="AB171" s="148">
        <f t="shared" si="69"/>
        <v>0</v>
      </c>
      <c r="AC171" s="148">
        <f t="shared" si="69"/>
        <v>0</v>
      </c>
      <c r="AD171" s="148">
        <f t="shared" si="69"/>
        <v>0</v>
      </c>
      <c r="AE171" s="148">
        <f t="shared" si="69"/>
        <v>0</v>
      </c>
      <c r="AF171" s="148">
        <f t="shared" si="69"/>
        <v>0</v>
      </c>
      <c r="AG171" s="148">
        <f t="shared" si="69"/>
        <v>0</v>
      </c>
      <c r="AH171" s="148">
        <f t="shared" si="69"/>
        <v>0</v>
      </c>
      <c r="AI171" s="148">
        <f t="shared" si="69"/>
        <v>0</v>
      </c>
      <c r="AJ171" s="148">
        <f t="shared" si="69"/>
        <v>168866208</v>
      </c>
      <c r="AK171" s="148">
        <f t="shared" si="69"/>
        <v>168866208</v>
      </c>
      <c r="AL171" s="148">
        <f t="shared" si="69"/>
        <v>0</v>
      </c>
      <c r="AM171" s="148">
        <f t="shared" si="69"/>
        <v>0</v>
      </c>
      <c r="AN171" s="148">
        <f t="shared" si="69"/>
        <v>0</v>
      </c>
      <c r="AO171" s="149">
        <f t="shared" si="69"/>
        <v>0</v>
      </c>
    </row>
    <row r="172" spans="1:92" x14ac:dyDescent="0.25">
      <c r="A172" s="176" t="s">
        <v>271</v>
      </c>
      <c r="B172" s="162" t="s">
        <v>272</v>
      </c>
      <c r="C172" s="148">
        <f>SUM(C173)</f>
        <v>168866208</v>
      </c>
      <c r="D172" s="148">
        <f t="shared" si="69"/>
        <v>0</v>
      </c>
      <c r="E172" s="148">
        <f t="shared" si="69"/>
        <v>0</v>
      </c>
      <c r="F172" s="148">
        <f t="shared" si="69"/>
        <v>0</v>
      </c>
      <c r="G172" s="148">
        <f t="shared" si="69"/>
        <v>0</v>
      </c>
      <c r="H172" s="148">
        <f t="shared" si="69"/>
        <v>0</v>
      </c>
      <c r="I172" s="148">
        <f t="shared" si="69"/>
        <v>0</v>
      </c>
      <c r="J172" s="148">
        <f t="shared" si="69"/>
        <v>0</v>
      </c>
      <c r="K172" s="148">
        <f t="shared" si="69"/>
        <v>0</v>
      </c>
      <c r="L172" s="148">
        <f t="shared" si="69"/>
        <v>0</v>
      </c>
      <c r="M172" s="148">
        <f t="shared" si="69"/>
        <v>0</v>
      </c>
      <c r="N172" s="148">
        <f t="shared" si="69"/>
        <v>0</v>
      </c>
      <c r="O172" s="148">
        <f t="shared" si="69"/>
        <v>0</v>
      </c>
      <c r="P172" s="148">
        <f t="shared" si="69"/>
        <v>0</v>
      </c>
      <c r="Q172" s="148">
        <f t="shared" si="69"/>
        <v>0</v>
      </c>
      <c r="R172" s="148">
        <f t="shared" si="69"/>
        <v>0</v>
      </c>
      <c r="S172" s="148">
        <f t="shared" si="69"/>
        <v>0</v>
      </c>
      <c r="T172" s="148">
        <f t="shared" si="69"/>
        <v>0</v>
      </c>
      <c r="U172" s="148">
        <f t="shared" si="69"/>
        <v>0</v>
      </c>
      <c r="V172" s="148">
        <f t="shared" si="69"/>
        <v>0</v>
      </c>
      <c r="W172" s="148">
        <f t="shared" si="69"/>
        <v>0</v>
      </c>
      <c r="X172" s="148">
        <f t="shared" si="69"/>
        <v>0</v>
      </c>
      <c r="Y172" s="148">
        <f t="shared" si="69"/>
        <v>0</v>
      </c>
      <c r="Z172" s="148">
        <f t="shared" si="69"/>
        <v>0</v>
      </c>
      <c r="AA172" s="148">
        <f t="shared" si="69"/>
        <v>0</v>
      </c>
      <c r="AB172" s="148">
        <f t="shared" si="69"/>
        <v>0</v>
      </c>
      <c r="AC172" s="148">
        <f t="shared" si="69"/>
        <v>0</v>
      </c>
      <c r="AD172" s="148">
        <f t="shared" si="69"/>
        <v>0</v>
      </c>
      <c r="AE172" s="148">
        <f t="shared" si="69"/>
        <v>0</v>
      </c>
      <c r="AF172" s="148">
        <f t="shared" si="69"/>
        <v>0</v>
      </c>
      <c r="AG172" s="148">
        <f t="shared" si="69"/>
        <v>0</v>
      </c>
      <c r="AH172" s="148">
        <f t="shared" si="69"/>
        <v>0</v>
      </c>
      <c r="AI172" s="148">
        <f t="shared" si="69"/>
        <v>0</v>
      </c>
      <c r="AJ172" s="148">
        <f t="shared" si="69"/>
        <v>168866208</v>
      </c>
      <c r="AK172" s="148">
        <f t="shared" si="69"/>
        <v>168866208</v>
      </c>
      <c r="AL172" s="148">
        <f t="shared" si="69"/>
        <v>0</v>
      </c>
      <c r="AM172" s="148">
        <f t="shared" si="69"/>
        <v>0</v>
      </c>
      <c r="AN172" s="148">
        <f t="shared" si="69"/>
        <v>0</v>
      </c>
      <c r="AO172" s="149">
        <f t="shared" si="69"/>
        <v>0</v>
      </c>
    </row>
    <row r="173" spans="1:92" s="145" customFormat="1" x14ac:dyDescent="0.25">
      <c r="A173" s="167" t="s">
        <v>273</v>
      </c>
      <c r="B173" s="156" t="s">
        <v>274</v>
      </c>
      <c r="C173" s="157">
        <f>SUM(D173+Y173+AE173+AJ173)</f>
        <v>168866208</v>
      </c>
      <c r="D173" s="157">
        <f>SUM(E173:X173)</f>
        <v>0</v>
      </c>
      <c r="E173" s="142">
        <v>0</v>
      </c>
      <c r="F173" s="142">
        <v>0</v>
      </c>
      <c r="G173" s="142">
        <v>0</v>
      </c>
      <c r="H173" s="142">
        <v>0</v>
      </c>
      <c r="I173" s="142">
        <v>0</v>
      </c>
      <c r="J173" s="142">
        <v>0</v>
      </c>
      <c r="K173" s="142">
        <v>0</v>
      </c>
      <c r="L173" s="142">
        <v>0</v>
      </c>
      <c r="M173" s="142">
        <v>0</v>
      </c>
      <c r="N173" s="142">
        <v>0</v>
      </c>
      <c r="O173" s="142">
        <v>0</v>
      </c>
      <c r="P173" s="142">
        <v>0</v>
      </c>
      <c r="Q173" s="142">
        <v>0</v>
      </c>
      <c r="R173" s="142">
        <v>0</v>
      </c>
      <c r="S173" s="142">
        <v>0</v>
      </c>
      <c r="T173" s="142">
        <v>0</v>
      </c>
      <c r="U173" s="142">
        <v>0</v>
      </c>
      <c r="V173" s="142">
        <v>0</v>
      </c>
      <c r="W173" s="142">
        <v>0</v>
      </c>
      <c r="X173" s="142">
        <v>0</v>
      </c>
      <c r="Y173" s="157">
        <f>SUM(Z173:AD173)</f>
        <v>0</v>
      </c>
      <c r="Z173" s="142">
        <v>0</v>
      </c>
      <c r="AA173" s="142">
        <v>0</v>
      </c>
      <c r="AB173" s="142">
        <v>0</v>
      </c>
      <c r="AC173" s="142">
        <v>0</v>
      </c>
      <c r="AD173" s="142">
        <v>0</v>
      </c>
      <c r="AE173" s="157">
        <f>SUM(AF173:AI173)</f>
        <v>0</v>
      </c>
      <c r="AF173" s="142">
        <v>0</v>
      </c>
      <c r="AG173" s="142">
        <v>0</v>
      </c>
      <c r="AH173" s="142">
        <v>0</v>
      </c>
      <c r="AI173" s="142">
        <v>0</v>
      </c>
      <c r="AJ173" s="157">
        <f>SUM(AK173:AL173)</f>
        <v>168866208</v>
      </c>
      <c r="AK173" s="142">
        <v>168866208</v>
      </c>
      <c r="AL173" s="157">
        <f>SUM(AM173:AO173)</f>
        <v>0</v>
      </c>
      <c r="AM173" s="142">
        <v>0</v>
      </c>
      <c r="AN173" s="142">
        <v>0</v>
      </c>
      <c r="AO173" s="143">
        <v>0</v>
      </c>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c r="CN173" s="144"/>
    </row>
    <row r="174" spans="1:92" x14ac:dyDescent="0.25">
      <c r="A174" s="160"/>
      <c r="B174" s="161"/>
      <c r="C174" s="157"/>
      <c r="D174" s="157"/>
      <c r="E174" s="157"/>
      <c r="F174" s="157"/>
      <c r="G174" s="157"/>
      <c r="H174" s="157"/>
      <c r="I174" s="157"/>
      <c r="J174" s="157"/>
      <c r="K174" s="157"/>
      <c r="L174" s="157"/>
      <c r="M174" s="157"/>
      <c r="N174" s="157"/>
      <c r="O174" s="157"/>
      <c r="P174" s="157"/>
      <c r="Q174" s="157"/>
      <c r="R174" s="157"/>
      <c r="S174" s="157"/>
      <c r="T174" s="157"/>
      <c r="U174" s="157"/>
      <c r="V174" s="157"/>
      <c r="W174" s="157"/>
      <c r="X174" s="157"/>
      <c r="Y174" s="157"/>
      <c r="Z174" s="157"/>
      <c r="AA174" s="157"/>
      <c r="AB174" s="157"/>
      <c r="AC174" s="157"/>
      <c r="AD174" s="157"/>
      <c r="AE174" s="157"/>
      <c r="AF174" s="157"/>
      <c r="AG174" s="157"/>
      <c r="AH174" s="157"/>
      <c r="AI174" s="157"/>
      <c r="AJ174" s="157"/>
      <c r="AK174" s="157"/>
      <c r="AL174" s="157"/>
      <c r="AM174" s="157"/>
      <c r="AN174" s="157"/>
      <c r="AO174" s="158"/>
    </row>
    <row r="175" spans="1:92" s="145" customFormat="1" x14ac:dyDescent="0.25">
      <c r="A175" s="178">
        <v>4</v>
      </c>
      <c r="B175" s="181" t="s">
        <v>275</v>
      </c>
      <c r="C175" s="142">
        <f>SUM(C176:C177)</f>
        <v>22047500000</v>
      </c>
      <c r="D175" s="142">
        <f t="shared" ref="D175:AO175" si="70">SUM(D176:D177)</f>
        <v>0</v>
      </c>
      <c r="E175" s="142">
        <f t="shared" si="70"/>
        <v>0</v>
      </c>
      <c r="F175" s="142">
        <f t="shared" si="70"/>
        <v>0</v>
      </c>
      <c r="G175" s="142">
        <f t="shared" si="70"/>
        <v>0</v>
      </c>
      <c r="H175" s="142">
        <f t="shared" si="70"/>
        <v>0</v>
      </c>
      <c r="I175" s="142">
        <f t="shared" si="70"/>
        <v>0</v>
      </c>
      <c r="J175" s="142">
        <f t="shared" si="70"/>
        <v>0</v>
      </c>
      <c r="K175" s="142">
        <f t="shared" si="70"/>
        <v>0</v>
      </c>
      <c r="L175" s="142">
        <f t="shared" si="70"/>
        <v>0</v>
      </c>
      <c r="M175" s="142">
        <f t="shared" si="70"/>
        <v>0</v>
      </c>
      <c r="N175" s="142">
        <f t="shared" si="70"/>
        <v>0</v>
      </c>
      <c r="O175" s="142">
        <f t="shared" si="70"/>
        <v>0</v>
      </c>
      <c r="P175" s="142">
        <f t="shared" si="70"/>
        <v>0</v>
      </c>
      <c r="Q175" s="142">
        <f t="shared" si="70"/>
        <v>0</v>
      </c>
      <c r="R175" s="142">
        <f t="shared" si="70"/>
        <v>0</v>
      </c>
      <c r="S175" s="142">
        <f t="shared" si="70"/>
        <v>0</v>
      </c>
      <c r="T175" s="142">
        <f t="shared" si="70"/>
        <v>0</v>
      </c>
      <c r="U175" s="142">
        <f t="shared" si="70"/>
        <v>0</v>
      </c>
      <c r="V175" s="142">
        <f t="shared" si="70"/>
        <v>0</v>
      </c>
      <c r="W175" s="142">
        <f t="shared" si="70"/>
        <v>0</v>
      </c>
      <c r="X175" s="142">
        <f t="shared" si="70"/>
        <v>0</v>
      </c>
      <c r="Y175" s="142">
        <f t="shared" si="70"/>
        <v>0</v>
      </c>
      <c r="Z175" s="142">
        <f t="shared" si="70"/>
        <v>0</v>
      </c>
      <c r="AA175" s="142">
        <f t="shared" si="70"/>
        <v>0</v>
      </c>
      <c r="AB175" s="142">
        <f t="shared" si="70"/>
        <v>0</v>
      </c>
      <c r="AC175" s="142">
        <f t="shared" si="70"/>
        <v>0</v>
      </c>
      <c r="AD175" s="142">
        <f t="shared" si="70"/>
        <v>0</v>
      </c>
      <c r="AE175" s="142">
        <f t="shared" si="70"/>
        <v>0</v>
      </c>
      <c r="AF175" s="142">
        <f t="shared" si="70"/>
        <v>0</v>
      </c>
      <c r="AG175" s="142">
        <f t="shared" si="70"/>
        <v>0</v>
      </c>
      <c r="AH175" s="142">
        <f t="shared" si="70"/>
        <v>0</v>
      </c>
      <c r="AI175" s="142">
        <f t="shared" si="70"/>
        <v>0</v>
      </c>
      <c r="AJ175" s="142">
        <f t="shared" si="70"/>
        <v>22047500000</v>
      </c>
      <c r="AK175" s="142">
        <f t="shared" si="70"/>
        <v>20047500000</v>
      </c>
      <c r="AL175" s="142">
        <f t="shared" si="70"/>
        <v>2000000000</v>
      </c>
      <c r="AM175" s="142">
        <f t="shared" si="70"/>
        <v>0</v>
      </c>
      <c r="AN175" s="142">
        <f t="shared" si="70"/>
        <v>0</v>
      </c>
      <c r="AO175" s="143">
        <f t="shared" si="70"/>
        <v>2000000000</v>
      </c>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c r="CN175" s="144"/>
    </row>
    <row r="176" spans="1:92" x14ac:dyDescent="0.25">
      <c r="A176" s="160" t="s">
        <v>276</v>
      </c>
      <c r="B176" s="161" t="s">
        <v>277</v>
      </c>
      <c r="C176" s="157">
        <f>SUM(D176+Y176+AE176+AJ176)</f>
        <v>20047500000</v>
      </c>
      <c r="D176" s="157">
        <f>SUM(E176:X176)</f>
        <v>0</v>
      </c>
      <c r="E176" s="157">
        <v>0</v>
      </c>
      <c r="F176" s="157">
        <v>0</v>
      </c>
      <c r="G176" s="157">
        <v>0</v>
      </c>
      <c r="H176" s="157">
        <v>0</v>
      </c>
      <c r="I176" s="157">
        <v>0</v>
      </c>
      <c r="J176" s="157">
        <v>0</v>
      </c>
      <c r="K176" s="157">
        <v>0</v>
      </c>
      <c r="L176" s="157">
        <v>0</v>
      </c>
      <c r="M176" s="157">
        <v>0</v>
      </c>
      <c r="N176" s="157">
        <v>0</v>
      </c>
      <c r="O176" s="157">
        <v>0</v>
      </c>
      <c r="P176" s="157">
        <v>0</v>
      </c>
      <c r="Q176" s="157">
        <v>0</v>
      </c>
      <c r="R176" s="157">
        <v>0</v>
      </c>
      <c r="S176" s="157">
        <v>0</v>
      </c>
      <c r="T176" s="157">
        <v>0</v>
      </c>
      <c r="U176" s="157">
        <v>0</v>
      </c>
      <c r="V176" s="157">
        <v>0</v>
      </c>
      <c r="W176" s="157">
        <v>0</v>
      </c>
      <c r="X176" s="157">
        <v>0</v>
      </c>
      <c r="Y176" s="157">
        <f>SUM(Z176:AD176)</f>
        <v>0</v>
      </c>
      <c r="Z176" s="157">
        <v>0</v>
      </c>
      <c r="AA176" s="157">
        <v>0</v>
      </c>
      <c r="AB176" s="157">
        <v>0</v>
      </c>
      <c r="AC176" s="157">
        <v>0</v>
      </c>
      <c r="AD176" s="157">
        <v>0</v>
      </c>
      <c r="AE176" s="157">
        <f>SUM(AF176:AI176)</f>
        <v>0</v>
      </c>
      <c r="AF176" s="157">
        <v>0</v>
      </c>
      <c r="AG176" s="157">
        <v>0</v>
      </c>
      <c r="AH176" s="157">
        <v>0</v>
      </c>
      <c r="AI176" s="157">
        <v>0</v>
      </c>
      <c r="AJ176" s="157">
        <f>SUM(AK176:AL176)</f>
        <v>20047500000</v>
      </c>
      <c r="AK176" s="157">
        <v>20047500000</v>
      </c>
      <c r="AL176" s="157">
        <f>SUM(AM176:AO176)</f>
        <v>0</v>
      </c>
      <c r="AM176" s="157">
        <v>0</v>
      </c>
      <c r="AN176" s="157">
        <v>0</v>
      </c>
      <c r="AO176" s="158">
        <v>0</v>
      </c>
    </row>
    <row r="177" spans="1:41" x14ac:dyDescent="0.25">
      <c r="A177" s="160" t="s">
        <v>278</v>
      </c>
      <c r="B177" s="161" t="s">
        <v>279</v>
      </c>
      <c r="C177" s="157">
        <f>SUM(D177+Y177+AE177+AJ177)</f>
        <v>2000000000</v>
      </c>
      <c r="D177" s="157">
        <f>SUM(E177:X177)</f>
        <v>0</v>
      </c>
      <c r="E177" s="157">
        <v>0</v>
      </c>
      <c r="F177" s="157">
        <v>0</v>
      </c>
      <c r="G177" s="157">
        <v>0</v>
      </c>
      <c r="H177" s="157">
        <v>0</v>
      </c>
      <c r="I177" s="157">
        <v>0</v>
      </c>
      <c r="J177" s="157">
        <v>0</v>
      </c>
      <c r="K177" s="157">
        <v>0</v>
      </c>
      <c r="L177" s="157">
        <v>0</v>
      </c>
      <c r="M177" s="157">
        <v>0</v>
      </c>
      <c r="N177" s="157">
        <v>0</v>
      </c>
      <c r="O177" s="157">
        <v>0</v>
      </c>
      <c r="P177" s="157">
        <v>0</v>
      </c>
      <c r="Q177" s="157">
        <v>0</v>
      </c>
      <c r="R177" s="157">
        <v>0</v>
      </c>
      <c r="S177" s="157">
        <v>0</v>
      </c>
      <c r="T177" s="157">
        <v>0</v>
      </c>
      <c r="U177" s="157">
        <v>0</v>
      </c>
      <c r="V177" s="157">
        <v>0</v>
      </c>
      <c r="W177" s="157">
        <v>0</v>
      </c>
      <c r="X177" s="157">
        <v>0</v>
      </c>
      <c r="Y177" s="157">
        <f>SUM(Z177:AD177)</f>
        <v>0</v>
      </c>
      <c r="Z177" s="157">
        <v>0</v>
      </c>
      <c r="AA177" s="157">
        <v>0</v>
      </c>
      <c r="AB177" s="157">
        <v>0</v>
      </c>
      <c r="AC177" s="157">
        <v>0</v>
      </c>
      <c r="AD177" s="157">
        <v>0</v>
      </c>
      <c r="AE177" s="157">
        <f>SUM(AF177:AI177)</f>
        <v>0</v>
      </c>
      <c r="AF177" s="157">
        <v>0</v>
      </c>
      <c r="AG177" s="157">
        <v>0</v>
      </c>
      <c r="AH177" s="157">
        <v>0</v>
      </c>
      <c r="AI177" s="157">
        <v>0</v>
      </c>
      <c r="AJ177" s="157">
        <f>SUM(AK177:AL177)</f>
        <v>2000000000</v>
      </c>
      <c r="AK177" s="157">
        <v>0</v>
      </c>
      <c r="AL177" s="157">
        <f>SUM(AM177:AO177)</f>
        <v>2000000000</v>
      </c>
      <c r="AM177" s="157">
        <v>0</v>
      </c>
      <c r="AN177" s="157">
        <v>0</v>
      </c>
      <c r="AO177" s="158">
        <v>2000000000</v>
      </c>
    </row>
    <row r="178" spans="1:41" x14ac:dyDescent="0.25">
      <c r="A178" s="160"/>
      <c r="B178" s="161"/>
      <c r="C178" s="157"/>
      <c r="D178" s="157"/>
      <c r="E178" s="157"/>
      <c r="F178" s="157"/>
      <c r="G178" s="157"/>
      <c r="H178" s="157"/>
      <c r="I178" s="157"/>
      <c r="J178" s="157"/>
      <c r="K178" s="157"/>
      <c r="L178" s="157"/>
      <c r="M178" s="157"/>
      <c r="N178" s="157"/>
      <c r="O178" s="157"/>
      <c r="P178" s="157"/>
      <c r="Q178" s="157"/>
      <c r="R178" s="157"/>
      <c r="S178" s="157"/>
      <c r="T178" s="157"/>
      <c r="U178" s="157"/>
      <c r="V178" s="157"/>
      <c r="W178" s="157"/>
      <c r="X178" s="157"/>
      <c r="Y178" s="157"/>
      <c r="Z178" s="157"/>
      <c r="AA178" s="157"/>
      <c r="AB178" s="157"/>
      <c r="AC178" s="157"/>
      <c r="AD178" s="157"/>
      <c r="AE178" s="157"/>
      <c r="AF178" s="157"/>
      <c r="AG178" s="157"/>
      <c r="AH178" s="157"/>
      <c r="AI178" s="157"/>
      <c r="AJ178" s="157"/>
      <c r="AK178" s="157"/>
      <c r="AL178" s="157"/>
      <c r="AM178" s="157"/>
      <c r="AN178" s="157"/>
      <c r="AO178" s="158"/>
    </row>
    <row r="179" spans="1:41" x14ac:dyDescent="0.25">
      <c r="A179" s="178">
        <v>5</v>
      </c>
      <c r="B179" s="181" t="s">
        <v>280</v>
      </c>
      <c r="C179" s="142">
        <f t="shared" ref="C179:AO179" si="71">+C181+C188+C199+C202</f>
        <v>4081526472</v>
      </c>
      <c r="D179" s="142">
        <f t="shared" si="71"/>
        <v>873800083</v>
      </c>
      <c r="E179" s="142">
        <f t="shared" si="71"/>
        <v>0</v>
      </c>
      <c r="F179" s="142">
        <f t="shared" si="71"/>
        <v>2983200</v>
      </c>
      <c r="G179" s="142">
        <f t="shared" si="71"/>
        <v>0</v>
      </c>
      <c r="H179" s="142">
        <f t="shared" si="71"/>
        <v>0</v>
      </c>
      <c r="I179" s="142">
        <f t="shared" si="71"/>
        <v>605711883</v>
      </c>
      <c r="J179" s="142">
        <f t="shared" si="71"/>
        <v>0</v>
      </c>
      <c r="K179" s="142">
        <f t="shared" si="71"/>
        <v>0</v>
      </c>
      <c r="L179" s="142">
        <f t="shared" si="71"/>
        <v>4200000</v>
      </c>
      <c r="M179" s="142">
        <f t="shared" si="71"/>
        <v>3500000</v>
      </c>
      <c r="N179" s="142">
        <f t="shared" si="71"/>
        <v>0</v>
      </c>
      <c r="O179" s="142">
        <f t="shared" si="71"/>
        <v>103455000</v>
      </c>
      <c r="P179" s="142">
        <f t="shared" si="71"/>
        <v>600000</v>
      </c>
      <c r="Q179" s="142">
        <f t="shared" si="71"/>
        <v>0</v>
      </c>
      <c r="R179" s="142">
        <f t="shared" si="71"/>
        <v>1200000</v>
      </c>
      <c r="S179" s="142">
        <f t="shared" si="71"/>
        <v>150400000</v>
      </c>
      <c r="T179" s="142">
        <f t="shared" si="71"/>
        <v>1650000</v>
      </c>
      <c r="U179" s="142">
        <f t="shared" si="71"/>
        <v>0</v>
      </c>
      <c r="V179" s="142">
        <f t="shared" si="71"/>
        <v>0</v>
      </c>
      <c r="W179" s="142">
        <f t="shared" si="71"/>
        <v>0</v>
      </c>
      <c r="X179" s="142">
        <f t="shared" si="71"/>
        <v>100000</v>
      </c>
      <c r="Y179" s="142">
        <f t="shared" si="71"/>
        <v>38700000</v>
      </c>
      <c r="Z179" s="142">
        <f t="shared" si="71"/>
        <v>1500000</v>
      </c>
      <c r="AA179" s="142">
        <f t="shared" si="71"/>
        <v>3700000</v>
      </c>
      <c r="AB179" s="142">
        <f t="shared" si="71"/>
        <v>25175000</v>
      </c>
      <c r="AC179" s="142">
        <f t="shared" si="71"/>
        <v>3850000</v>
      </c>
      <c r="AD179" s="142">
        <f t="shared" si="71"/>
        <v>4475000</v>
      </c>
      <c r="AE179" s="142">
        <f t="shared" si="71"/>
        <v>2728147427</v>
      </c>
      <c r="AF179" s="142">
        <f t="shared" si="71"/>
        <v>0</v>
      </c>
      <c r="AG179" s="142">
        <f t="shared" si="71"/>
        <v>2042797427</v>
      </c>
      <c r="AH179" s="142">
        <f t="shared" si="71"/>
        <v>350000</v>
      </c>
      <c r="AI179" s="142">
        <f t="shared" si="71"/>
        <v>685000000</v>
      </c>
      <c r="AJ179" s="142">
        <f t="shared" si="71"/>
        <v>440878962</v>
      </c>
      <c r="AK179" s="142">
        <f t="shared" si="71"/>
        <v>439653962</v>
      </c>
      <c r="AL179" s="142">
        <f t="shared" si="71"/>
        <v>1225000</v>
      </c>
      <c r="AM179" s="142">
        <f t="shared" si="71"/>
        <v>800000</v>
      </c>
      <c r="AN179" s="142">
        <f t="shared" si="71"/>
        <v>425000</v>
      </c>
      <c r="AO179" s="143">
        <f t="shared" si="71"/>
        <v>0</v>
      </c>
    </row>
    <row r="180" spans="1:41" x14ac:dyDescent="0.25">
      <c r="A180" s="178"/>
      <c r="B180" s="181"/>
      <c r="C180" s="142"/>
      <c r="D180" s="142"/>
      <c r="E180" s="142"/>
      <c r="F180" s="142"/>
      <c r="G180" s="142"/>
      <c r="H180" s="142"/>
      <c r="I180" s="142"/>
      <c r="J180" s="142"/>
      <c r="K180" s="142"/>
      <c r="L180" s="142"/>
      <c r="M180" s="142"/>
      <c r="N180" s="142"/>
      <c r="O180" s="142"/>
      <c r="P180" s="142"/>
      <c r="Q180" s="142"/>
      <c r="R180" s="142"/>
      <c r="S180" s="142"/>
      <c r="T180" s="142"/>
      <c r="U180" s="142"/>
      <c r="V180" s="142"/>
      <c r="W180" s="142"/>
      <c r="X180" s="142"/>
      <c r="Y180" s="142"/>
      <c r="Z180" s="142"/>
      <c r="AA180" s="142"/>
      <c r="AB180" s="142"/>
      <c r="AC180" s="142"/>
      <c r="AD180" s="142"/>
      <c r="AE180" s="142"/>
      <c r="AF180" s="142"/>
      <c r="AG180" s="142"/>
      <c r="AH180" s="142"/>
      <c r="AI180" s="142"/>
      <c r="AJ180" s="142"/>
      <c r="AK180" s="142"/>
      <c r="AL180" s="142"/>
      <c r="AM180" s="142"/>
      <c r="AN180" s="142"/>
      <c r="AO180" s="143"/>
    </row>
    <row r="181" spans="1:41" x14ac:dyDescent="0.25">
      <c r="A181" s="176" t="s">
        <v>281</v>
      </c>
      <c r="B181" s="162" t="s">
        <v>282</v>
      </c>
      <c r="C181" s="142">
        <f t="shared" ref="C181:AO181" si="72">SUM(C182:C186)</f>
        <v>184779470</v>
      </c>
      <c r="D181" s="142">
        <f t="shared" si="72"/>
        <v>120317102</v>
      </c>
      <c r="E181" s="142">
        <f t="shared" si="72"/>
        <v>0</v>
      </c>
      <c r="F181" s="142">
        <f t="shared" si="72"/>
        <v>0</v>
      </c>
      <c r="G181" s="142">
        <f t="shared" si="72"/>
        <v>0</v>
      </c>
      <c r="H181" s="142">
        <f t="shared" si="72"/>
        <v>0</v>
      </c>
      <c r="I181" s="142">
        <f t="shared" si="72"/>
        <v>52462102</v>
      </c>
      <c r="J181" s="142">
        <f t="shared" si="72"/>
        <v>0</v>
      </c>
      <c r="K181" s="142">
        <f t="shared" si="72"/>
        <v>0</v>
      </c>
      <c r="L181" s="142">
        <f t="shared" si="72"/>
        <v>4200000</v>
      </c>
      <c r="M181" s="142">
        <f t="shared" si="72"/>
        <v>3500000</v>
      </c>
      <c r="N181" s="142">
        <f t="shared" si="72"/>
        <v>0</v>
      </c>
      <c r="O181" s="142">
        <f t="shared" si="72"/>
        <v>56205000</v>
      </c>
      <c r="P181" s="142">
        <f t="shared" si="72"/>
        <v>600000</v>
      </c>
      <c r="Q181" s="142">
        <f t="shared" si="72"/>
        <v>0</v>
      </c>
      <c r="R181" s="142">
        <f t="shared" si="72"/>
        <v>1200000</v>
      </c>
      <c r="S181" s="142">
        <f t="shared" si="72"/>
        <v>400000</v>
      </c>
      <c r="T181" s="142">
        <f t="shared" si="72"/>
        <v>1650000</v>
      </c>
      <c r="U181" s="142">
        <f t="shared" si="72"/>
        <v>0</v>
      </c>
      <c r="V181" s="142">
        <f t="shared" si="72"/>
        <v>0</v>
      </c>
      <c r="W181" s="142">
        <f t="shared" si="72"/>
        <v>0</v>
      </c>
      <c r="X181" s="142">
        <f t="shared" si="72"/>
        <v>100000</v>
      </c>
      <c r="Y181" s="142">
        <f t="shared" si="72"/>
        <v>23400000</v>
      </c>
      <c r="Z181" s="142">
        <f t="shared" si="72"/>
        <v>1500000</v>
      </c>
      <c r="AA181" s="142">
        <f t="shared" si="72"/>
        <v>3200000</v>
      </c>
      <c r="AB181" s="142">
        <f t="shared" si="72"/>
        <v>12375000</v>
      </c>
      <c r="AC181" s="142">
        <f t="shared" si="72"/>
        <v>3850000</v>
      </c>
      <c r="AD181" s="142">
        <f t="shared" si="72"/>
        <v>2475000</v>
      </c>
      <c r="AE181" s="142">
        <f t="shared" si="72"/>
        <v>350000</v>
      </c>
      <c r="AF181" s="142">
        <f t="shared" si="72"/>
        <v>0</v>
      </c>
      <c r="AG181" s="142">
        <f t="shared" si="72"/>
        <v>0</v>
      </c>
      <c r="AH181" s="142">
        <f t="shared" si="72"/>
        <v>350000</v>
      </c>
      <c r="AI181" s="142">
        <f t="shared" si="72"/>
        <v>0</v>
      </c>
      <c r="AJ181" s="142">
        <f t="shared" si="72"/>
        <v>40712368</v>
      </c>
      <c r="AK181" s="142">
        <f t="shared" si="72"/>
        <v>39487368</v>
      </c>
      <c r="AL181" s="142">
        <f t="shared" si="72"/>
        <v>1225000</v>
      </c>
      <c r="AM181" s="142">
        <f t="shared" si="72"/>
        <v>800000</v>
      </c>
      <c r="AN181" s="142">
        <f t="shared" si="72"/>
        <v>425000</v>
      </c>
      <c r="AO181" s="143">
        <f t="shared" si="72"/>
        <v>0</v>
      </c>
    </row>
    <row r="182" spans="1:41" x14ac:dyDescent="0.25">
      <c r="A182" s="167" t="s">
        <v>283</v>
      </c>
      <c r="B182" s="156" t="s">
        <v>284</v>
      </c>
      <c r="C182" s="157">
        <f t="shared" ref="C182:C186" si="73">SUM(D182+Y182+AE182+AJ182)</f>
        <v>2000000</v>
      </c>
      <c r="D182" s="157">
        <f t="shared" ref="D182:D186" si="74">SUM(E182:X182)</f>
        <v>2000000</v>
      </c>
      <c r="E182" s="157">
        <v>0</v>
      </c>
      <c r="F182" s="157">
        <v>0</v>
      </c>
      <c r="G182" s="157">
        <v>0</v>
      </c>
      <c r="H182" s="157">
        <v>0</v>
      </c>
      <c r="I182" s="157">
        <v>0</v>
      </c>
      <c r="J182" s="157">
        <v>0</v>
      </c>
      <c r="K182" s="157">
        <v>0</v>
      </c>
      <c r="L182" s="157">
        <v>0</v>
      </c>
      <c r="M182" s="157">
        <v>0</v>
      </c>
      <c r="N182" s="157">
        <v>0</v>
      </c>
      <c r="O182" s="157">
        <v>2000000</v>
      </c>
      <c r="P182" s="157">
        <v>0</v>
      </c>
      <c r="Q182" s="157">
        <v>0</v>
      </c>
      <c r="R182" s="157">
        <v>0</v>
      </c>
      <c r="S182" s="157">
        <v>0</v>
      </c>
      <c r="T182" s="157">
        <v>0</v>
      </c>
      <c r="U182" s="157">
        <v>0</v>
      </c>
      <c r="V182" s="157">
        <v>0</v>
      </c>
      <c r="W182" s="157">
        <v>0</v>
      </c>
      <c r="X182" s="157">
        <v>0</v>
      </c>
      <c r="Y182" s="157">
        <f t="shared" ref="Y182:Y186" si="75">SUM(Z182:AD182)</f>
        <v>0</v>
      </c>
      <c r="Z182" s="157">
        <v>0</v>
      </c>
      <c r="AA182" s="157">
        <v>0</v>
      </c>
      <c r="AB182" s="157">
        <v>0</v>
      </c>
      <c r="AC182" s="157">
        <v>0</v>
      </c>
      <c r="AD182" s="157">
        <v>0</v>
      </c>
      <c r="AE182" s="157">
        <f t="shared" ref="AE182:AE186" si="76">SUM(AF182:AI182)</f>
        <v>0</v>
      </c>
      <c r="AF182" s="157">
        <v>0</v>
      </c>
      <c r="AG182" s="157">
        <v>0</v>
      </c>
      <c r="AH182" s="157">
        <v>0</v>
      </c>
      <c r="AI182" s="157">
        <v>0</v>
      </c>
      <c r="AJ182" s="157">
        <f t="shared" ref="AJ182:AJ186" si="77">SUM(AK182:AL182)</f>
        <v>0</v>
      </c>
      <c r="AK182" s="157">
        <v>0</v>
      </c>
      <c r="AL182" s="157">
        <f t="shared" ref="AL182:AL186" si="78">SUM(AM182:AO182)</f>
        <v>0</v>
      </c>
      <c r="AM182" s="157">
        <v>0</v>
      </c>
      <c r="AN182" s="157">
        <v>0</v>
      </c>
      <c r="AO182" s="158">
        <v>0</v>
      </c>
    </row>
    <row r="183" spans="1:41" x14ac:dyDescent="0.25">
      <c r="A183" s="167" t="s">
        <v>285</v>
      </c>
      <c r="B183" s="156" t="s">
        <v>286</v>
      </c>
      <c r="C183" s="157">
        <f t="shared" si="73"/>
        <v>71625000</v>
      </c>
      <c r="D183" s="157">
        <f t="shared" si="74"/>
        <v>53350000</v>
      </c>
      <c r="E183" s="157">
        <v>0</v>
      </c>
      <c r="F183" s="157">
        <v>0</v>
      </c>
      <c r="G183" s="157">
        <v>0</v>
      </c>
      <c r="H183" s="157">
        <v>0</v>
      </c>
      <c r="I183" s="157">
        <v>0</v>
      </c>
      <c r="J183" s="157">
        <v>0</v>
      </c>
      <c r="K183" s="157">
        <v>0</v>
      </c>
      <c r="L183" s="157">
        <v>0</v>
      </c>
      <c r="M183" s="157">
        <v>0</v>
      </c>
      <c r="N183" s="157">
        <v>0</v>
      </c>
      <c r="O183" s="157">
        <f>70000000-[10]Hoja2!$M$37</f>
        <v>52500000</v>
      </c>
      <c r="P183" s="157">
        <v>0</v>
      </c>
      <c r="Q183" s="157">
        <v>0</v>
      </c>
      <c r="R183" s="157">
        <v>700000</v>
      </c>
      <c r="S183" s="157">
        <v>0</v>
      </c>
      <c r="T183" s="157">
        <v>150000</v>
      </c>
      <c r="U183" s="157">
        <v>0</v>
      </c>
      <c r="V183" s="157">
        <v>0</v>
      </c>
      <c r="W183" s="157">
        <v>0</v>
      </c>
      <c r="X183" s="157">
        <v>0</v>
      </c>
      <c r="Y183" s="157">
        <f t="shared" si="75"/>
        <v>425000</v>
      </c>
      <c r="Z183" s="157">
        <v>0</v>
      </c>
      <c r="AA183" s="157">
        <v>200000</v>
      </c>
      <c r="AB183" s="157">
        <v>125000</v>
      </c>
      <c r="AC183" s="157">
        <v>100000</v>
      </c>
      <c r="AD183" s="157">
        <v>0</v>
      </c>
      <c r="AE183" s="157">
        <f t="shared" si="76"/>
        <v>0</v>
      </c>
      <c r="AF183" s="157">
        <v>0</v>
      </c>
      <c r="AG183" s="157">
        <v>0</v>
      </c>
      <c r="AH183" s="157">
        <v>0</v>
      </c>
      <c r="AI183" s="157">
        <v>0</v>
      </c>
      <c r="AJ183" s="157">
        <f t="shared" si="77"/>
        <v>17850000</v>
      </c>
      <c r="AK183" s="157">
        <f>200000+[10]Hoja2!$M$37</f>
        <v>17700000</v>
      </c>
      <c r="AL183" s="157">
        <f t="shared" si="78"/>
        <v>150000</v>
      </c>
      <c r="AM183" s="157">
        <v>0</v>
      </c>
      <c r="AN183" s="157">
        <v>150000</v>
      </c>
      <c r="AO183" s="158">
        <v>0</v>
      </c>
    </row>
    <row r="184" spans="1:41" x14ac:dyDescent="0.25">
      <c r="A184" s="167" t="s">
        <v>287</v>
      </c>
      <c r="B184" s="156" t="s">
        <v>288</v>
      </c>
      <c r="C184" s="157">
        <f t="shared" si="73"/>
        <v>19230000</v>
      </c>
      <c r="D184" s="157">
        <f t="shared" si="74"/>
        <v>10805000</v>
      </c>
      <c r="E184" s="157">
        <v>0</v>
      </c>
      <c r="F184" s="157">
        <v>0</v>
      </c>
      <c r="G184" s="157">
        <v>0</v>
      </c>
      <c r="H184" s="157">
        <v>0</v>
      </c>
      <c r="I184" s="157">
        <v>0</v>
      </c>
      <c r="J184" s="157">
        <v>0</v>
      </c>
      <c r="K184" s="157">
        <v>0</v>
      </c>
      <c r="L184" s="157">
        <v>4200000</v>
      </c>
      <c r="M184" s="157">
        <v>3500000</v>
      </c>
      <c r="N184" s="157">
        <v>0</v>
      </c>
      <c r="O184" s="157">
        <v>505000</v>
      </c>
      <c r="P184" s="157">
        <v>600000</v>
      </c>
      <c r="Q184" s="157">
        <v>0</v>
      </c>
      <c r="R184" s="157">
        <v>500000</v>
      </c>
      <c r="S184" s="157">
        <v>400000</v>
      </c>
      <c r="T184" s="157">
        <v>1000000</v>
      </c>
      <c r="U184" s="157">
        <v>0</v>
      </c>
      <c r="V184" s="157">
        <v>0</v>
      </c>
      <c r="W184" s="157">
        <v>0</v>
      </c>
      <c r="X184" s="157">
        <v>100000</v>
      </c>
      <c r="Y184" s="157">
        <f t="shared" si="75"/>
        <v>3500000</v>
      </c>
      <c r="Z184" s="157">
        <v>1500000</v>
      </c>
      <c r="AA184" s="157">
        <v>0</v>
      </c>
      <c r="AB184" s="157">
        <v>0</v>
      </c>
      <c r="AC184" s="157">
        <v>2000000</v>
      </c>
      <c r="AD184" s="157">
        <v>0</v>
      </c>
      <c r="AE184" s="157">
        <f t="shared" si="76"/>
        <v>350000</v>
      </c>
      <c r="AF184" s="157">
        <v>0</v>
      </c>
      <c r="AG184" s="157">
        <v>0</v>
      </c>
      <c r="AH184" s="157">
        <v>350000</v>
      </c>
      <c r="AI184" s="157">
        <v>0</v>
      </c>
      <c r="AJ184" s="157">
        <f t="shared" si="77"/>
        <v>4575000</v>
      </c>
      <c r="AK184" s="157">
        <v>4000000</v>
      </c>
      <c r="AL184" s="157">
        <f t="shared" si="78"/>
        <v>575000</v>
      </c>
      <c r="AM184" s="157">
        <v>300000</v>
      </c>
      <c r="AN184" s="157">
        <v>275000</v>
      </c>
      <c r="AO184" s="158">
        <v>0</v>
      </c>
    </row>
    <row r="185" spans="1:41" x14ac:dyDescent="0.25">
      <c r="A185" s="167" t="s">
        <v>289</v>
      </c>
      <c r="B185" s="156" t="s">
        <v>290</v>
      </c>
      <c r="C185" s="157">
        <f t="shared" si="73"/>
        <v>89674470</v>
      </c>
      <c r="D185" s="157">
        <f t="shared" si="74"/>
        <v>52462102</v>
      </c>
      <c r="E185" s="157">
        <v>0</v>
      </c>
      <c r="F185" s="157">
        <v>0</v>
      </c>
      <c r="G185" s="157">
        <v>0</v>
      </c>
      <c r="H185" s="157">
        <v>0</v>
      </c>
      <c r="I185" s="157">
        <f>69949470-[10]Hoja2!$M$38</f>
        <v>52462102</v>
      </c>
      <c r="J185" s="157">
        <v>0</v>
      </c>
      <c r="K185" s="157">
        <v>0</v>
      </c>
      <c r="L185" s="157">
        <v>0</v>
      </c>
      <c r="M185" s="157">
        <v>0</v>
      </c>
      <c r="N185" s="157">
        <v>0</v>
      </c>
      <c r="O185" s="157">
        <v>0</v>
      </c>
      <c r="P185" s="157">
        <v>0</v>
      </c>
      <c r="Q185" s="157">
        <v>0</v>
      </c>
      <c r="R185" s="157">
        <v>0</v>
      </c>
      <c r="S185" s="157">
        <v>0</v>
      </c>
      <c r="T185" s="157">
        <v>0</v>
      </c>
      <c r="U185" s="157">
        <v>0</v>
      </c>
      <c r="V185" s="157">
        <v>0</v>
      </c>
      <c r="W185" s="157">
        <v>0</v>
      </c>
      <c r="X185" s="157">
        <v>0</v>
      </c>
      <c r="Y185" s="157">
        <f t="shared" si="75"/>
        <v>19225000</v>
      </c>
      <c r="Z185" s="157">
        <v>0</v>
      </c>
      <c r="AA185" s="157">
        <v>3000000</v>
      </c>
      <c r="AB185" s="157">
        <v>12000000</v>
      </c>
      <c r="AC185" s="157">
        <v>1750000</v>
      </c>
      <c r="AD185" s="157">
        <v>2475000</v>
      </c>
      <c r="AE185" s="157">
        <f t="shared" si="76"/>
        <v>0</v>
      </c>
      <c r="AF185" s="157">
        <v>0</v>
      </c>
      <c r="AG185" s="157">
        <v>0</v>
      </c>
      <c r="AH185" s="157">
        <v>0</v>
      </c>
      <c r="AI185" s="157">
        <v>0</v>
      </c>
      <c r="AJ185" s="157">
        <f t="shared" si="77"/>
        <v>17987368</v>
      </c>
      <c r="AK185" s="157">
        <f>+[10]Hoja2!$M$38</f>
        <v>17487368</v>
      </c>
      <c r="AL185" s="157">
        <f t="shared" si="78"/>
        <v>500000</v>
      </c>
      <c r="AM185" s="157">
        <v>500000</v>
      </c>
      <c r="AN185" s="157">
        <v>0</v>
      </c>
      <c r="AO185" s="158">
        <v>0</v>
      </c>
    </row>
    <row r="186" spans="1:41" x14ac:dyDescent="0.25">
      <c r="A186" s="179" t="s">
        <v>291</v>
      </c>
      <c r="B186" s="156" t="s">
        <v>292</v>
      </c>
      <c r="C186" s="157">
        <f t="shared" si="73"/>
        <v>2250000</v>
      </c>
      <c r="D186" s="157">
        <f t="shared" si="74"/>
        <v>1700000</v>
      </c>
      <c r="E186" s="157">
        <v>0</v>
      </c>
      <c r="F186" s="157">
        <v>0</v>
      </c>
      <c r="G186" s="157">
        <v>0</v>
      </c>
      <c r="H186" s="157">
        <v>0</v>
      </c>
      <c r="I186" s="157">
        <v>0</v>
      </c>
      <c r="J186" s="157">
        <v>0</v>
      </c>
      <c r="K186" s="157">
        <v>0</v>
      </c>
      <c r="L186" s="157">
        <v>0</v>
      </c>
      <c r="M186" s="157">
        <v>0</v>
      </c>
      <c r="N186" s="157">
        <v>0</v>
      </c>
      <c r="O186" s="157">
        <v>1200000</v>
      </c>
      <c r="P186" s="157">
        <v>0</v>
      </c>
      <c r="Q186" s="157">
        <v>0</v>
      </c>
      <c r="R186" s="157">
        <v>0</v>
      </c>
      <c r="S186" s="157">
        <v>0</v>
      </c>
      <c r="T186" s="157">
        <v>500000</v>
      </c>
      <c r="U186" s="157">
        <v>0</v>
      </c>
      <c r="V186" s="157">
        <v>0</v>
      </c>
      <c r="W186" s="157">
        <v>0</v>
      </c>
      <c r="X186" s="157">
        <v>0</v>
      </c>
      <c r="Y186" s="157">
        <f t="shared" si="75"/>
        <v>250000</v>
      </c>
      <c r="Z186" s="157">
        <v>0</v>
      </c>
      <c r="AA186" s="157">
        <v>0</v>
      </c>
      <c r="AB186" s="157">
        <v>250000</v>
      </c>
      <c r="AC186" s="157">
        <v>0</v>
      </c>
      <c r="AD186" s="157">
        <v>0</v>
      </c>
      <c r="AE186" s="157">
        <f t="shared" si="76"/>
        <v>0</v>
      </c>
      <c r="AF186" s="157">
        <v>0</v>
      </c>
      <c r="AG186" s="157">
        <v>0</v>
      </c>
      <c r="AH186" s="157">
        <v>0</v>
      </c>
      <c r="AI186" s="157">
        <v>0</v>
      </c>
      <c r="AJ186" s="157">
        <f t="shared" si="77"/>
        <v>300000</v>
      </c>
      <c r="AK186" s="157">
        <v>300000</v>
      </c>
      <c r="AL186" s="157">
        <f t="shared" si="78"/>
        <v>0</v>
      </c>
      <c r="AM186" s="157">
        <v>0</v>
      </c>
      <c r="AN186" s="157">
        <v>0</v>
      </c>
      <c r="AO186" s="158">
        <v>0</v>
      </c>
    </row>
    <row r="187" spans="1:41" x14ac:dyDescent="0.25">
      <c r="A187" s="160"/>
      <c r="B187" s="161"/>
      <c r="C187" s="157"/>
      <c r="D187" s="157"/>
      <c r="E187" s="157"/>
      <c r="F187" s="157"/>
      <c r="G187" s="157"/>
      <c r="H187" s="157"/>
      <c r="I187" s="157"/>
      <c r="J187" s="157"/>
      <c r="K187" s="157"/>
      <c r="L187" s="157"/>
      <c r="M187" s="157"/>
      <c r="N187" s="157"/>
      <c r="O187" s="157"/>
      <c r="P187" s="157"/>
      <c r="Q187" s="157"/>
      <c r="R187" s="157"/>
      <c r="S187" s="157"/>
      <c r="T187" s="157"/>
      <c r="U187" s="157"/>
      <c r="V187" s="157"/>
      <c r="W187" s="157"/>
      <c r="X187" s="157"/>
      <c r="Y187" s="157"/>
      <c r="Z187" s="157"/>
      <c r="AA187" s="157"/>
      <c r="AB187" s="157"/>
      <c r="AC187" s="157"/>
      <c r="AD187" s="157"/>
      <c r="AE187" s="157"/>
      <c r="AF187" s="157"/>
      <c r="AG187" s="157"/>
      <c r="AH187" s="157"/>
      <c r="AI187" s="157"/>
      <c r="AJ187" s="157"/>
      <c r="AK187" s="157"/>
      <c r="AL187" s="157"/>
      <c r="AM187" s="157"/>
      <c r="AN187" s="157"/>
      <c r="AO187" s="158"/>
    </row>
    <row r="188" spans="1:41" x14ac:dyDescent="0.25">
      <c r="A188" s="176" t="s">
        <v>293</v>
      </c>
      <c r="B188" s="162" t="s">
        <v>294</v>
      </c>
      <c r="C188" s="148">
        <f t="shared" ref="C188:AO188" si="79">SUM(C189+C191+C197)</f>
        <v>2110797427</v>
      </c>
      <c r="D188" s="148">
        <f t="shared" si="79"/>
        <v>47250000</v>
      </c>
      <c r="E188" s="148">
        <f t="shared" si="79"/>
        <v>0</v>
      </c>
      <c r="F188" s="148">
        <f t="shared" si="79"/>
        <v>0</v>
      </c>
      <c r="G188" s="148">
        <f t="shared" si="79"/>
        <v>0</v>
      </c>
      <c r="H188" s="148">
        <f t="shared" si="79"/>
        <v>0</v>
      </c>
      <c r="I188" s="148">
        <f t="shared" si="79"/>
        <v>0</v>
      </c>
      <c r="J188" s="148">
        <f t="shared" si="79"/>
        <v>0</v>
      </c>
      <c r="K188" s="148">
        <f t="shared" si="79"/>
        <v>0</v>
      </c>
      <c r="L188" s="148">
        <f t="shared" si="79"/>
        <v>0</v>
      </c>
      <c r="M188" s="148">
        <f t="shared" si="79"/>
        <v>0</v>
      </c>
      <c r="N188" s="148">
        <f t="shared" si="79"/>
        <v>0</v>
      </c>
      <c r="O188" s="148">
        <f t="shared" si="79"/>
        <v>47250000</v>
      </c>
      <c r="P188" s="148">
        <f t="shared" si="79"/>
        <v>0</v>
      </c>
      <c r="Q188" s="148">
        <f t="shared" si="79"/>
        <v>0</v>
      </c>
      <c r="R188" s="148">
        <f t="shared" si="79"/>
        <v>0</v>
      </c>
      <c r="S188" s="148">
        <f t="shared" si="79"/>
        <v>0</v>
      </c>
      <c r="T188" s="148">
        <f t="shared" si="79"/>
        <v>0</v>
      </c>
      <c r="U188" s="148">
        <f t="shared" si="79"/>
        <v>0</v>
      </c>
      <c r="V188" s="148">
        <f t="shared" si="79"/>
        <v>0</v>
      </c>
      <c r="W188" s="148">
        <f t="shared" si="79"/>
        <v>0</v>
      </c>
      <c r="X188" s="148">
        <f t="shared" si="79"/>
        <v>0</v>
      </c>
      <c r="Y188" s="148">
        <f t="shared" si="79"/>
        <v>0</v>
      </c>
      <c r="Z188" s="148">
        <f t="shared" si="79"/>
        <v>0</v>
      </c>
      <c r="AA188" s="148">
        <f t="shared" si="79"/>
        <v>0</v>
      </c>
      <c r="AB188" s="148">
        <f t="shared" si="79"/>
        <v>0</v>
      </c>
      <c r="AC188" s="148">
        <f t="shared" si="79"/>
        <v>0</v>
      </c>
      <c r="AD188" s="148">
        <f t="shared" si="79"/>
        <v>0</v>
      </c>
      <c r="AE188" s="148">
        <f t="shared" si="79"/>
        <v>2047797427</v>
      </c>
      <c r="AF188" s="148">
        <f t="shared" si="79"/>
        <v>0</v>
      </c>
      <c r="AG188" s="148">
        <f t="shared" si="79"/>
        <v>2042797427</v>
      </c>
      <c r="AH188" s="148">
        <f t="shared" si="79"/>
        <v>0</v>
      </c>
      <c r="AI188" s="148">
        <f t="shared" si="79"/>
        <v>5000000</v>
      </c>
      <c r="AJ188" s="148">
        <f t="shared" si="79"/>
        <v>15750000</v>
      </c>
      <c r="AK188" s="148">
        <f t="shared" si="79"/>
        <v>15750000</v>
      </c>
      <c r="AL188" s="148">
        <f t="shared" si="79"/>
        <v>0</v>
      </c>
      <c r="AM188" s="148">
        <f t="shared" si="79"/>
        <v>0</v>
      </c>
      <c r="AN188" s="148">
        <f t="shared" si="79"/>
        <v>0</v>
      </c>
      <c r="AO188" s="149">
        <f t="shared" si="79"/>
        <v>0</v>
      </c>
    </row>
    <row r="189" spans="1:41" x14ac:dyDescent="0.25">
      <c r="A189" s="167" t="s">
        <v>295</v>
      </c>
      <c r="B189" s="156" t="s">
        <v>296</v>
      </c>
      <c r="C189" s="157">
        <f>SUM(D189+Y189+AE189+AJ189)</f>
        <v>63000000</v>
      </c>
      <c r="D189" s="157">
        <f>SUM(E189:X189)</f>
        <v>47250000</v>
      </c>
      <c r="E189" s="157">
        <v>0</v>
      </c>
      <c r="F189" s="157">
        <v>0</v>
      </c>
      <c r="G189" s="157">
        <v>0</v>
      </c>
      <c r="H189" s="157">
        <v>0</v>
      </c>
      <c r="I189" s="157">
        <v>0</v>
      </c>
      <c r="J189" s="157">
        <v>0</v>
      </c>
      <c r="K189" s="157">
        <v>0</v>
      </c>
      <c r="L189" s="157">
        <v>0</v>
      </c>
      <c r="M189" s="157">
        <v>0</v>
      </c>
      <c r="N189" s="157">
        <v>0</v>
      </c>
      <c r="O189" s="157">
        <f>380000000-270000000-47000000-[10]Hoja2!$M$36</f>
        <v>47250000</v>
      </c>
      <c r="P189" s="157">
        <v>0</v>
      </c>
      <c r="Q189" s="157">
        <v>0</v>
      </c>
      <c r="R189" s="157">
        <v>0</v>
      </c>
      <c r="S189" s="157">
        <v>0</v>
      </c>
      <c r="T189" s="157">
        <v>0</v>
      </c>
      <c r="U189" s="157">
        <v>0</v>
      </c>
      <c r="V189" s="157">
        <v>0</v>
      </c>
      <c r="W189" s="157">
        <v>0</v>
      </c>
      <c r="X189" s="157">
        <v>0</v>
      </c>
      <c r="Y189" s="157">
        <f>SUM(Z189:AD189)</f>
        <v>0</v>
      </c>
      <c r="Z189" s="157">
        <v>0</v>
      </c>
      <c r="AA189" s="157">
        <v>0</v>
      </c>
      <c r="AB189" s="157">
        <v>0</v>
      </c>
      <c r="AC189" s="157">
        <v>0</v>
      </c>
      <c r="AD189" s="157">
        <v>0</v>
      </c>
      <c r="AE189" s="157">
        <f>SUM(AF189:AI189)</f>
        <v>0</v>
      </c>
      <c r="AF189" s="157">
        <v>0</v>
      </c>
      <c r="AG189" s="157">
        <v>0</v>
      </c>
      <c r="AH189" s="157">
        <v>0</v>
      </c>
      <c r="AI189" s="157">
        <v>0</v>
      </c>
      <c r="AJ189" s="157">
        <f>SUM(AK189:AL189)</f>
        <v>15750000</v>
      </c>
      <c r="AK189" s="157">
        <f>+[10]Hoja2!$M$36</f>
        <v>15750000</v>
      </c>
      <c r="AL189" s="157">
        <f>SUM(AM189:AO189)</f>
        <v>0</v>
      </c>
      <c r="AM189" s="157">
        <v>0</v>
      </c>
      <c r="AN189" s="157">
        <v>0</v>
      </c>
      <c r="AO189" s="158">
        <v>0</v>
      </c>
    </row>
    <row r="190" spans="1:41" x14ac:dyDescent="0.25">
      <c r="A190" s="160"/>
      <c r="B190" s="161"/>
      <c r="C190" s="157"/>
      <c r="D190" s="157"/>
      <c r="E190" s="157"/>
      <c r="F190" s="157"/>
      <c r="G190" s="157"/>
      <c r="H190" s="157"/>
      <c r="I190" s="157"/>
      <c r="J190" s="157"/>
      <c r="K190" s="157"/>
      <c r="L190" s="157"/>
      <c r="M190" s="157"/>
      <c r="N190" s="157"/>
      <c r="O190" s="157"/>
      <c r="P190" s="157"/>
      <c r="Q190" s="157"/>
      <c r="R190" s="157"/>
      <c r="S190" s="157"/>
      <c r="T190" s="157"/>
      <c r="U190" s="157"/>
      <c r="V190" s="157"/>
      <c r="W190" s="157"/>
      <c r="X190" s="157"/>
      <c r="Y190" s="157"/>
      <c r="Z190" s="157"/>
      <c r="AA190" s="157"/>
      <c r="AB190" s="157"/>
      <c r="AC190" s="157"/>
      <c r="AD190" s="157"/>
      <c r="AE190" s="157"/>
      <c r="AF190" s="157"/>
      <c r="AG190" s="157"/>
      <c r="AH190" s="157"/>
      <c r="AI190" s="157"/>
      <c r="AJ190" s="157"/>
      <c r="AK190" s="157"/>
      <c r="AL190" s="157"/>
      <c r="AM190" s="157"/>
      <c r="AN190" s="157"/>
      <c r="AO190" s="158"/>
    </row>
    <row r="191" spans="1:41" x14ac:dyDescent="0.25">
      <c r="A191" s="167" t="s">
        <v>297</v>
      </c>
      <c r="B191" s="162" t="s">
        <v>298</v>
      </c>
      <c r="C191" s="148">
        <f>SUM(C192:C195)</f>
        <v>2042797427</v>
      </c>
      <c r="D191" s="148">
        <f t="shared" ref="D191:AO191" si="80">SUM(D193:D195)</f>
        <v>0</v>
      </c>
      <c r="E191" s="148">
        <f t="shared" si="80"/>
        <v>0</v>
      </c>
      <c r="F191" s="148">
        <f t="shared" si="80"/>
        <v>0</v>
      </c>
      <c r="G191" s="148">
        <f t="shared" si="80"/>
        <v>0</v>
      </c>
      <c r="H191" s="148">
        <f t="shared" si="80"/>
        <v>0</v>
      </c>
      <c r="I191" s="148">
        <f t="shared" si="80"/>
        <v>0</v>
      </c>
      <c r="J191" s="148">
        <f t="shared" si="80"/>
        <v>0</v>
      </c>
      <c r="K191" s="148">
        <f t="shared" si="80"/>
        <v>0</v>
      </c>
      <c r="L191" s="148">
        <f t="shared" si="80"/>
        <v>0</v>
      </c>
      <c r="M191" s="148">
        <f t="shared" si="80"/>
        <v>0</v>
      </c>
      <c r="N191" s="148">
        <f t="shared" si="80"/>
        <v>0</v>
      </c>
      <c r="O191" s="148">
        <f t="shared" si="80"/>
        <v>0</v>
      </c>
      <c r="P191" s="148">
        <f t="shared" si="80"/>
        <v>0</v>
      </c>
      <c r="Q191" s="148">
        <f t="shared" si="80"/>
        <v>0</v>
      </c>
      <c r="R191" s="148">
        <f t="shared" si="80"/>
        <v>0</v>
      </c>
      <c r="S191" s="148">
        <f t="shared" si="80"/>
        <v>0</v>
      </c>
      <c r="T191" s="148">
        <f t="shared" si="80"/>
        <v>0</v>
      </c>
      <c r="U191" s="148">
        <f t="shared" si="80"/>
        <v>0</v>
      </c>
      <c r="V191" s="148">
        <f t="shared" si="80"/>
        <v>0</v>
      </c>
      <c r="W191" s="148">
        <f t="shared" si="80"/>
        <v>0</v>
      </c>
      <c r="X191" s="148">
        <f t="shared" si="80"/>
        <v>0</v>
      </c>
      <c r="Y191" s="148">
        <f t="shared" si="80"/>
        <v>0</v>
      </c>
      <c r="Z191" s="148">
        <f t="shared" si="80"/>
        <v>0</v>
      </c>
      <c r="AA191" s="148">
        <f t="shared" si="80"/>
        <v>0</v>
      </c>
      <c r="AB191" s="148">
        <f t="shared" si="80"/>
        <v>0</v>
      </c>
      <c r="AC191" s="148">
        <f t="shared" si="80"/>
        <v>0</v>
      </c>
      <c r="AD191" s="148">
        <f t="shared" si="80"/>
        <v>0</v>
      </c>
      <c r="AE191" s="148">
        <f>SUM(AE192:AE195)</f>
        <v>2042797427</v>
      </c>
      <c r="AF191" s="148">
        <f t="shared" si="80"/>
        <v>0</v>
      </c>
      <c r="AG191" s="148">
        <f>SUM(AG192:AG195)</f>
        <v>2042797427</v>
      </c>
      <c r="AH191" s="148">
        <f t="shared" si="80"/>
        <v>0</v>
      </c>
      <c r="AI191" s="148">
        <f t="shared" si="80"/>
        <v>0</v>
      </c>
      <c r="AJ191" s="148">
        <f t="shared" si="80"/>
        <v>0</v>
      </c>
      <c r="AK191" s="148">
        <f t="shared" si="80"/>
        <v>0</v>
      </c>
      <c r="AL191" s="148">
        <f t="shared" si="80"/>
        <v>0</v>
      </c>
      <c r="AM191" s="148">
        <f t="shared" si="80"/>
        <v>0</v>
      </c>
      <c r="AN191" s="148">
        <f t="shared" si="80"/>
        <v>0</v>
      </c>
      <c r="AO191" s="149">
        <f t="shared" si="80"/>
        <v>0</v>
      </c>
    </row>
    <row r="192" spans="1:41" x14ac:dyDescent="0.25">
      <c r="A192" s="160" t="s">
        <v>299</v>
      </c>
      <c r="B192" s="161" t="s">
        <v>300</v>
      </c>
      <c r="C192" s="157">
        <f>SUM(D192+Y192+AE192+AJ192)</f>
        <v>112000000</v>
      </c>
      <c r="D192" s="157">
        <f>SUM(E192:X192)</f>
        <v>0</v>
      </c>
      <c r="E192" s="157">
        <v>0</v>
      </c>
      <c r="F192" s="157">
        <v>0</v>
      </c>
      <c r="G192" s="157">
        <v>0</v>
      </c>
      <c r="H192" s="157">
        <v>0</v>
      </c>
      <c r="I192" s="157">
        <v>0</v>
      </c>
      <c r="J192" s="157">
        <v>0</v>
      </c>
      <c r="K192" s="157">
        <v>0</v>
      </c>
      <c r="L192" s="157">
        <v>0</v>
      </c>
      <c r="M192" s="157">
        <v>0</v>
      </c>
      <c r="N192" s="157">
        <v>0</v>
      </c>
      <c r="O192" s="157">
        <v>0</v>
      </c>
      <c r="P192" s="157">
        <v>0</v>
      </c>
      <c r="Q192" s="157">
        <v>0</v>
      </c>
      <c r="R192" s="157">
        <v>0</v>
      </c>
      <c r="S192" s="157">
        <v>0</v>
      </c>
      <c r="T192" s="157">
        <v>0</v>
      </c>
      <c r="U192" s="157">
        <v>0</v>
      </c>
      <c r="V192" s="157">
        <v>0</v>
      </c>
      <c r="W192" s="157">
        <v>0</v>
      </c>
      <c r="X192" s="157">
        <v>0</v>
      </c>
      <c r="Y192" s="157">
        <f>SUM(Z192:AD192)</f>
        <v>0</v>
      </c>
      <c r="Z192" s="157">
        <v>0</v>
      </c>
      <c r="AA192" s="157">
        <v>0</v>
      </c>
      <c r="AB192" s="157">
        <v>0</v>
      </c>
      <c r="AC192" s="157">
        <v>0</v>
      </c>
      <c r="AD192" s="157">
        <v>0</v>
      </c>
      <c r="AE192" s="157">
        <f>SUM(AF192:AI192)</f>
        <v>112000000</v>
      </c>
      <c r="AF192" s="157">
        <v>0</v>
      </c>
      <c r="AG192" s="157">
        <v>112000000</v>
      </c>
      <c r="AH192" s="157">
        <v>0</v>
      </c>
      <c r="AI192" s="157">
        <v>0</v>
      </c>
      <c r="AJ192" s="157">
        <f>SUM(AK192:AL192)</f>
        <v>0</v>
      </c>
      <c r="AK192" s="157">
        <v>0</v>
      </c>
      <c r="AL192" s="157">
        <f>SUM(AM192:AO192)</f>
        <v>0</v>
      </c>
      <c r="AM192" s="157">
        <v>0</v>
      </c>
      <c r="AN192" s="157">
        <v>0</v>
      </c>
      <c r="AO192" s="158">
        <v>0</v>
      </c>
    </row>
    <row r="193" spans="1:92" x14ac:dyDescent="0.25">
      <c r="A193" s="160" t="s">
        <v>301</v>
      </c>
      <c r="B193" s="161" t="s">
        <v>302</v>
      </c>
      <c r="C193" s="157">
        <f>SUM(D193+Y193+AE193+AJ193)</f>
        <v>365797427</v>
      </c>
      <c r="D193" s="157">
        <f>SUM(E193:X193)</f>
        <v>0</v>
      </c>
      <c r="E193" s="157">
        <v>0</v>
      </c>
      <c r="F193" s="157">
        <v>0</v>
      </c>
      <c r="G193" s="157">
        <v>0</v>
      </c>
      <c r="H193" s="157">
        <v>0</v>
      </c>
      <c r="I193" s="157">
        <v>0</v>
      </c>
      <c r="J193" s="157">
        <v>0</v>
      </c>
      <c r="K193" s="157">
        <v>0</v>
      </c>
      <c r="L193" s="157">
        <v>0</v>
      </c>
      <c r="M193" s="157">
        <v>0</v>
      </c>
      <c r="N193" s="157">
        <v>0</v>
      </c>
      <c r="O193" s="157">
        <v>0</v>
      </c>
      <c r="P193" s="157">
        <v>0</v>
      </c>
      <c r="Q193" s="157">
        <v>0</v>
      </c>
      <c r="R193" s="157">
        <v>0</v>
      </c>
      <c r="S193" s="157">
        <v>0</v>
      </c>
      <c r="T193" s="157">
        <v>0</v>
      </c>
      <c r="U193" s="157">
        <v>0</v>
      </c>
      <c r="V193" s="157">
        <v>0</v>
      </c>
      <c r="W193" s="157">
        <v>0</v>
      </c>
      <c r="X193" s="157">
        <v>0</v>
      </c>
      <c r="Y193" s="157">
        <f>SUM(Z193:AD193)</f>
        <v>0</v>
      </c>
      <c r="Z193" s="157">
        <v>0</v>
      </c>
      <c r="AA193" s="157">
        <v>0</v>
      </c>
      <c r="AB193" s="157">
        <v>0</v>
      </c>
      <c r="AC193" s="157">
        <v>0</v>
      </c>
      <c r="AD193" s="157">
        <v>0</v>
      </c>
      <c r="AE193" s="157">
        <f>SUM(AF193:AI193)</f>
        <v>365797427</v>
      </c>
      <c r="AF193" s="157">
        <v>0</v>
      </c>
      <c r="AG193" s="157">
        <v>365797427</v>
      </c>
      <c r="AH193" s="157">
        <v>0</v>
      </c>
      <c r="AI193" s="157">
        <v>0</v>
      </c>
      <c r="AJ193" s="157">
        <f>SUM(AK193:AL193)</f>
        <v>0</v>
      </c>
      <c r="AK193" s="157">
        <v>0</v>
      </c>
      <c r="AL193" s="157">
        <f>SUM(AM193:AO193)</f>
        <v>0</v>
      </c>
      <c r="AM193" s="157">
        <v>0</v>
      </c>
      <c r="AN193" s="157">
        <v>0</v>
      </c>
      <c r="AO193" s="158">
        <v>0</v>
      </c>
    </row>
    <row r="194" spans="1:92" x14ac:dyDescent="0.25">
      <c r="A194" s="160" t="s">
        <v>303</v>
      </c>
      <c r="B194" s="161" t="s">
        <v>304</v>
      </c>
      <c r="C194" s="157">
        <f>SUM(D194+Y194+AE194+AJ194)</f>
        <v>65000000</v>
      </c>
      <c r="D194" s="157">
        <f>SUM(E194:X194)</f>
        <v>0</v>
      </c>
      <c r="E194" s="157">
        <v>0</v>
      </c>
      <c r="F194" s="157">
        <v>0</v>
      </c>
      <c r="G194" s="157">
        <v>0</v>
      </c>
      <c r="H194" s="157">
        <v>0</v>
      </c>
      <c r="I194" s="157">
        <v>0</v>
      </c>
      <c r="J194" s="157">
        <v>0</v>
      </c>
      <c r="K194" s="157">
        <v>0</v>
      </c>
      <c r="L194" s="157">
        <v>0</v>
      </c>
      <c r="M194" s="157">
        <v>0</v>
      </c>
      <c r="N194" s="157">
        <v>0</v>
      </c>
      <c r="O194" s="157">
        <v>0</v>
      </c>
      <c r="P194" s="157">
        <v>0</v>
      </c>
      <c r="Q194" s="157">
        <v>0</v>
      </c>
      <c r="R194" s="157">
        <v>0</v>
      </c>
      <c r="S194" s="157">
        <v>0</v>
      </c>
      <c r="T194" s="157">
        <v>0</v>
      </c>
      <c r="U194" s="157">
        <v>0</v>
      </c>
      <c r="V194" s="157">
        <v>0</v>
      </c>
      <c r="W194" s="157">
        <v>0</v>
      </c>
      <c r="X194" s="157">
        <v>0</v>
      </c>
      <c r="Y194" s="157">
        <f>SUM(Z194:AD194)</f>
        <v>0</v>
      </c>
      <c r="Z194" s="157">
        <v>0</v>
      </c>
      <c r="AA194" s="157">
        <v>0</v>
      </c>
      <c r="AB194" s="157">
        <v>0</v>
      </c>
      <c r="AC194" s="157">
        <v>0</v>
      </c>
      <c r="AD194" s="157">
        <v>0</v>
      </c>
      <c r="AE194" s="157">
        <f>SUM(AF194:AI194)</f>
        <v>65000000</v>
      </c>
      <c r="AF194" s="157">
        <v>0</v>
      </c>
      <c r="AG194" s="157">
        <v>65000000</v>
      </c>
      <c r="AH194" s="157">
        <v>0</v>
      </c>
      <c r="AI194" s="157">
        <v>0</v>
      </c>
      <c r="AJ194" s="157">
        <f>SUM(AK194:AL194)</f>
        <v>0</v>
      </c>
      <c r="AK194" s="157">
        <v>0</v>
      </c>
      <c r="AL194" s="157">
        <f>SUM(AM194:AO194)</f>
        <v>0</v>
      </c>
      <c r="AM194" s="157">
        <v>0</v>
      </c>
      <c r="AN194" s="157">
        <v>0</v>
      </c>
      <c r="AO194" s="158">
        <v>0</v>
      </c>
    </row>
    <row r="195" spans="1:92" x14ac:dyDescent="0.25">
      <c r="A195" s="160" t="s">
        <v>305</v>
      </c>
      <c r="B195" s="161" t="s">
        <v>306</v>
      </c>
      <c r="C195" s="157">
        <f>SUM(D195+Y195+AE195+AJ195)</f>
        <v>1500000000</v>
      </c>
      <c r="D195" s="157">
        <f>SUM(E195:X195)</f>
        <v>0</v>
      </c>
      <c r="E195" s="157">
        <v>0</v>
      </c>
      <c r="F195" s="157">
        <v>0</v>
      </c>
      <c r="G195" s="157">
        <v>0</v>
      </c>
      <c r="H195" s="157">
        <v>0</v>
      </c>
      <c r="I195" s="157">
        <v>0</v>
      </c>
      <c r="J195" s="157">
        <v>0</v>
      </c>
      <c r="K195" s="157">
        <v>0</v>
      </c>
      <c r="L195" s="157">
        <v>0</v>
      </c>
      <c r="M195" s="157">
        <v>0</v>
      </c>
      <c r="N195" s="157">
        <v>0</v>
      </c>
      <c r="O195" s="157">
        <v>0</v>
      </c>
      <c r="P195" s="157">
        <v>0</v>
      </c>
      <c r="Q195" s="157">
        <v>0</v>
      </c>
      <c r="R195" s="157">
        <v>0</v>
      </c>
      <c r="S195" s="157">
        <v>0</v>
      </c>
      <c r="T195" s="157">
        <v>0</v>
      </c>
      <c r="U195" s="157">
        <v>0</v>
      </c>
      <c r="V195" s="157">
        <v>0</v>
      </c>
      <c r="W195" s="157">
        <v>0</v>
      </c>
      <c r="X195" s="157">
        <v>0</v>
      </c>
      <c r="Y195" s="157">
        <f>SUM(Z195:AD195)</f>
        <v>0</v>
      </c>
      <c r="Z195" s="157">
        <v>0</v>
      </c>
      <c r="AA195" s="157">
        <v>0</v>
      </c>
      <c r="AB195" s="157">
        <v>0</v>
      </c>
      <c r="AC195" s="157">
        <v>0</v>
      </c>
      <c r="AD195" s="157">
        <v>0</v>
      </c>
      <c r="AE195" s="157">
        <f>SUM(AF195:AI195)</f>
        <v>1500000000</v>
      </c>
      <c r="AF195" s="157">
        <v>0</v>
      </c>
      <c r="AG195" s="157">
        <v>1500000000</v>
      </c>
      <c r="AH195" s="157">
        <v>0</v>
      </c>
      <c r="AI195" s="157">
        <v>0</v>
      </c>
      <c r="AJ195" s="157">
        <f>SUM(AK195:AL195)</f>
        <v>0</v>
      </c>
      <c r="AK195" s="157">
        <v>0</v>
      </c>
      <c r="AL195" s="157">
        <f>SUM(AM195:AO195)</f>
        <v>0</v>
      </c>
      <c r="AM195" s="157">
        <v>0</v>
      </c>
      <c r="AN195" s="157">
        <v>0</v>
      </c>
      <c r="AO195" s="158">
        <v>0</v>
      </c>
    </row>
    <row r="196" spans="1:92" x14ac:dyDescent="0.25">
      <c r="A196" s="160"/>
      <c r="B196" s="161"/>
      <c r="C196" s="157"/>
      <c r="D196" s="157"/>
      <c r="E196" s="157"/>
      <c r="F196" s="157"/>
      <c r="G196" s="157"/>
      <c r="H196" s="157"/>
      <c r="I196" s="157"/>
      <c r="J196" s="157"/>
      <c r="K196" s="157"/>
      <c r="L196" s="157"/>
      <c r="M196" s="157"/>
      <c r="N196" s="157"/>
      <c r="O196" s="157"/>
      <c r="P196" s="157"/>
      <c r="Q196" s="157"/>
      <c r="R196" s="157"/>
      <c r="S196" s="157"/>
      <c r="T196" s="157"/>
      <c r="U196" s="157"/>
      <c r="V196" s="157"/>
      <c r="W196" s="157"/>
      <c r="X196" s="157"/>
      <c r="Y196" s="157"/>
      <c r="Z196" s="157"/>
      <c r="AA196" s="157"/>
      <c r="AB196" s="157"/>
      <c r="AC196" s="157"/>
      <c r="AD196" s="157"/>
      <c r="AE196" s="157"/>
      <c r="AF196" s="157"/>
      <c r="AG196" s="157"/>
      <c r="AH196" s="157"/>
      <c r="AI196" s="157"/>
      <c r="AJ196" s="157"/>
      <c r="AK196" s="157"/>
      <c r="AL196" s="157"/>
      <c r="AM196" s="157"/>
      <c r="AN196" s="157"/>
      <c r="AO196" s="158"/>
    </row>
    <row r="197" spans="1:92" x14ac:dyDescent="0.25">
      <c r="A197" s="167" t="s">
        <v>307</v>
      </c>
      <c r="B197" s="156" t="s">
        <v>308</v>
      </c>
      <c r="C197" s="157">
        <f>SUM(D197+Y197+AE197+AJ197)</f>
        <v>5000000</v>
      </c>
      <c r="D197" s="157">
        <f>SUM(E197:X197)</f>
        <v>0</v>
      </c>
      <c r="E197" s="157">
        <v>0</v>
      </c>
      <c r="F197" s="157">
        <v>0</v>
      </c>
      <c r="G197" s="157">
        <v>0</v>
      </c>
      <c r="H197" s="157">
        <v>0</v>
      </c>
      <c r="I197" s="157">
        <v>0</v>
      </c>
      <c r="J197" s="157">
        <v>0</v>
      </c>
      <c r="K197" s="157">
        <v>0</v>
      </c>
      <c r="L197" s="157">
        <v>0</v>
      </c>
      <c r="M197" s="157">
        <v>0</v>
      </c>
      <c r="N197" s="157">
        <v>0</v>
      </c>
      <c r="O197" s="157">
        <v>0</v>
      </c>
      <c r="P197" s="157">
        <v>0</v>
      </c>
      <c r="Q197" s="157">
        <v>0</v>
      </c>
      <c r="R197" s="157">
        <v>0</v>
      </c>
      <c r="S197" s="157">
        <v>0</v>
      </c>
      <c r="T197" s="157">
        <v>0</v>
      </c>
      <c r="U197" s="157">
        <v>0</v>
      </c>
      <c r="V197" s="157">
        <v>0</v>
      </c>
      <c r="W197" s="157">
        <v>0</v>
      </c>
      <c r="X197" s="157">
        <v>0</v>
      </c>
      <c r="Y197" s="157">
        <f>SUM(Z197:AD197)</f>
        <v>0</v>
      </c>
      <c r="Z197" s="157">
        <v>0</v>
      </c>
      <c r="AA197" s="157">
        <v>0</v>
      </c>
      <c r="AB197" s="157">
        <v>0</v>
      </c>
      <c r="AC197" s="157">
        <v>0</v>
      </c>
      <c r="AD197" s="157">
        <v>0</v>
      </c>
      <c r="AE197" s="157">
        <f>SUM(AF197:AI197)</f>
        <v>5000000</v>
      </c>
      <c r="AF197" s="157">
        <v>0</v>
      </c>
      <c r="AG197" s="157">
        <v>0</v>
      </c>
      <c r="AH197" s="157">
        <v>0</v>
      </c>
      <c r="AI197" s="157">
        <v>5000000</v>
      </c>
      <c r="AJ197" s="157">
        <f>SUM(AK197:AL197)</f>
        <v>0</v>
      </c>
      <c r="AK197" s="157">
        <v>0</v>
      </c>
      <c r="AL197" s="157">
        <f>SUM(AM197:AO197)</f>
        <v>0</v>
      </c>
      <c r="AM197" s="157">
        <v>0</v>
      </c>
      <c r="AN197" s="157">
        <v>0</v>
      </c>
      <c r="AO197" s="158">
        <v>0</v>
      </c>
    </row>
    <row r="198" spans="1:92" x14ac:dyDescent="0.25">
      <c r="A198" s="160"/>
      <c r="B198" s="161"/>
      <c r="C198" s="157"/>
      <c r="D198" s="157"/>
      <c r="E198" s="157"/>
      <c r="F198" s="157"/>
      <c r="G198" s="157"/>
      <c r="H198" s="157"/>
      <c r="I198" s="157"/>
      <c r="J198" s="157"/>
      <c r="K198" s="157"/>
      <c r="L198" s="157"/>
      <c r="M198" s="157"/>
      <c r="N198" s="157"/>
      <c r="O198" s="157"/>
      <c r="P198" s="157"/>
      <c r="Q198" s="157"/>
      <c r="R198" s="157"/>
      <c r="S198" s="157"/>
      <c r="T198" s="157"/>
      <c r="U198" s="157"/>
      <c r="V198" s="157"/>
      <c r="W198" s="157"/>
      <c r="X198" s="157"/>
      <c r="Y198" s="157"/>
      <c r="Z198" s="157"/>
      <c r="AA198" s="157"/>
      <c r="AB198" s="157"/>
      <c r="AC198" s="157"/>
      <c r="AD198" s="157"/>
      <c r="AE198" s="157"/>
      <c r="AF198" s="157"/>
      <c r="AG198" s="157"/>
      <c r="AH198" s="157"/>
      <c r="AI198" s="157"/>
      <c r="AJ198" s="157"/>
      <c r="AK198" s="157"/>
      <c r="AL198" s="157"/>
      <c r="AM198" s="157"/>
      <c r="AN198" s="157"/>
      <c r="AO198" s="158"/>
    </row>
    <row r="199" spans="1:92" x14ac:dyDescent="0.25">
      <c r="A199" s="176" t="s">
        <v>309</v>
      </c>
      <c r="B199" s="162" t="s">
        <v>310</v>
      </c>
      <c r="C199" s="148">
        <f>SUM(C200)</f>
        <v>680000000</v>
      </c>
      <c r="D199" s="148">
        <f t="shared" ref="D199:AO199" si="81">SUM(D200)</f>
        <v>0</v>
      </c>
      <c r="E199" s="148">
        <f t="shared" si="81"/>
        <v>0</v>
      </c>
      <c r="F199" s="148">
        <f t="shared" si="81"/>
        <v>0</v>
      </c>
      <c r="G199" s="148">
        <f t="shared" si="81"/>
        <v>0</v>
      </c>
      <c r="H199" s="148">
        <f t="shared" si="81"/>
        <v>0</v>
      </c>
      <c r="I199" s="148">
        <f t="shared" si="81"/>
        <v>0</v>
      </c>
      <c r="J199" s="148">
        <f t="shared" si="81"/>
        <v>0</v>
      </c>
      <c r="K199" s="148">
        <f t="shared" si="81"/>
        <v>0</v>
      </c>
      <c r="L199" s="148">
        <f t="shared" si="81"/>
        <v>0</v>
      </c>
      <c r="M199" s="148">
        <f t="shared" si="81"/>
        <v>0</v>
      </c>
      <c r="N199" s="148">
        <f t="shared" si="81"/>
        <v>0</v>
      </c>
      <c r="O199" s="148">
        <f t="shared" si="81"/>
        <v>0</v>
      </c>
      <c r="P199" s="148">
        <f t="shared" si="81"/>
        <v>0</v>
      </c>
      <c r="Q199" s="148">
        <f t="shared" si="81"/>
        <v>0</v>
      </c>
      <c r="R199" s="148">
        <f t="shared" si="81"/>
        <v>0</v>
      </c>
      <c r="S199" s="148">
        <f t="shared" si="81"/>
        <v>0</v>
      </c>
      <c r="T199" s="148">
        <f t="shared" si="81"/>
        <v>0</v>
      </c>
      <c r="U199" s="148">
        <f t="shared" si="81"/>
        <v>0</v>
      </c>
      <c r="V199" s="148">
        <f t="shared" si="81"/>
        <v>0</v>
      </c>
      <c r="W199" s="148">
        <f t="shared" si="81"/>
        <v>0</v>
      </c>
      <c r="X199" s="148">
        <f t="shared" si="81"/>
        <v>0</v>
      </c>
      <c r="Y199" s="148">
        <f t="shared" si="81"/>
        <v>0</v>
      </c>
      <c r="Z199" s="148">
        <f t="shared" si="81"/>
        <v>0</v>
      </c>
      <c r="AA199" s="148">
        <f t="shared" si="81"/>
        <v>0</v>
      </c>
      <c r="AB199" s="148">
        <f t="shared" si="81"/>
        <v>0</v>
      </c>
      <c r="AC199" s="148">
        <f t="shared" si="81"/>
        <v>0</v>
      </c>
      <c r="AD199" s="148">
        <f t="shared" si="81"/>
        <v>0</v>
      </c>
      <c r="AE199" s="148">
        <f t="shared" si="81"/>
        <v>680000000</v>
      </c>
      <c r="AF199" s="148">
        <f t="shared" si="81"/>
        <v>0</v>
      </c>
      <c r="AG199" s="148">
        <f t="shared" si="81"/>
        <v>0</v>
      </c>
      <c r="AH199" s="148">
        <f t="shared" si="81"/>
        <v>0</v>
      </c>
      <c r="AI199" s="148">
        <f t="shared" si="81"/>
        <v>680000000</v>
      </c>
      <c r="AJ199" s="148">
        <f t="shared" si="81"/>
        <v>0</v>
      </c>
      <c r="AK199" s="148">
        <f t="shared" si="81"/>
        <v>0</v>
      </c>
      <c r="AL199" s="148">
        <f t="shared" si="81"/>
        <v>0</v>
      </c>
      <c r="AM199" s="148">
        <f t="shared" si="81"/>
        <v>0</v>
      </c>
      <c r="AN199" s="148">
        <f t="shared" si="81"/>
        <v>0</v>
      </c>
      <c r="AO199" s="149">
        <f t="shared" si="81"/>
        <v>0</v>
      </c>
    </row>
    <row r="200" spans="1:92" x14ac:dyDescent="0.25">
      <c r="A200" s="167" t="s">
        <v>311</v>
      </c>
      <c r="B200" s="156" t="s">
        <v>312</v>
      </c>
      <c r="C200" s="157">
        <f>SUM(D200+Y200+AE200+AJ200)</f>
        <v>680000000</v>
      </c>
      <c r="D200" s="157">
        <f>SUM(E200:X200)</f>
        <v>0</v>
      </c>
      <c r="E200" s="157">
        <v>0</v>
      </c>
      <c r="F200" s="157">
        <v>0</v>
      </c>
      <c r="G200" s="157">
        <v>0</v>
      </c>
      <c r="H200" s="157">
        <v>0</v>
      </c>
      <c r="I200" s="157">
        <v>0</v>
      </c>
      <c r="J200" s="157">
        <v>0</v>
      </c>
      <c r="K200" s="157">
        <v>0</v>
      </c>
      <c r="L200" s="157">
        <v>0</v>
      </c>
      <c r="M200" s="157">
        <v>0</v>
      </c>
      <c r="N200" s="157">
        <v>0</v>
      </c>
      <c r="O200" s="157">
        <v>0</v>
      </c>
      <c r="P200" s="157">
        <v>0</v>
      </c>
      <c r="Q200" s="157">
        <v>0</v>
      </c>
      <c r="R200" s="157">
        <v>0</v>
      </c>
      <c r="S200" s="157">
        <v>0</v>
      </c>
      <c r="T200" s="157">
        <v>0</v>
      </c>
      <c r="U200" s="157">
        <v>0</v>
      </c>
      <c r="V200" s="157">
        <v>0</v>
      </c>
      <c r="W200" s="157">
        <v>0</v>
      </c>
      <c r="X200" s="157">
        <v>0</v>
      </c>
      <c r="Y200" s="157">
        <f>SUM(Z200:AD200)</f>
        <v>0</v>
      </c>
      <c r="Z200" s="157">
        <v>0</v>
      </c>
      <c r="AA200" s="157">
        <v>0</v>
      </c>
      <c r="AB200" s="157">
        <v>0</v>
      </c>
      <c r="AC200" s="157">
        <v>0</v>
      </c>
      <c r="AD200" s="157">
        <v>0</v>
      </c>
      <c r="AE200" s="157">
        <f>SUM(AF200:AI200)</f>
        <v>680000000</v>
      </c>
      <c r="AF200" s="157">
        <v>0</v>
      </c>
      <c r="AG200" s="157">
        <v>0</v>
      </c>
      <c r="AH200" s="157">
        <v>0</v>
      </c>
      <c r="AI200" s="157">
        <v>680000000</v>
      </c>
      <c r="AJ200" s="157">
        <f>SUM(AK200:AL200)</f>
        <v>0</v>
      </c>
      <c r="AK200" s="157">
        <v>0</v>
      </c>
      <c r="AL200" s="157">
        <f>SUM(AM200:AO200)</f>
        <v>0</v>
      </c>
      <c r="AM200" s="157">
        <v>0</v>
      </c>
      <c r="AN200" s="157">
        <v>0</v>
      </c>
      <c r="AO200" s="158">
        <v>0</v>
      </c>
    </row>
    <row r="201" spans="1:92" x14ac:dyDescent="0.25">
      <c r="A201" s="160"/>
      <c r="B201" s="161"/>
      <c r="C201" s="157"/>
      <c r="D201" s="157"/>
      <c r="E201" s="157"/>
      <c r="F201" s="157"/>
      <c r="G201" s="157"/>
      <c r="H201" s="157"/>
      <c r="I201" s="157"/>
      <c r="J201" s="157"/>
      <c r="K201" s="157"/>
      <c r="L201" s="157"/>
      <c r="M201" s="157"/>
      <c r="N201" s="157"/>
      <c r="O201" s="157"/>
      <c r="P201" s="157"/>
      <c r="Q201" s="157"/>
      <c r="R201" s="157"/>
      <c r="S201" s="157"/>
      <c r="T201" s="157"/>
      <c r="U201" s="157"/>
      <c r="V201" s="157"/>
      <c r="W201" s="157"/>
      <c r="X201" s="157"/>
      <c r="Y201" s="157"/>
      <c r="Z201" s="157"/>
      <c r="AA201" s="157"/>
      <c r="AB201" s="157"/>
      <c r="AC201" s="157"/>
      <c r="AD201" s="157"/>
      <c r="AE201" s="157"/>
      <c r="AF201" s="157"/>
      <c r="AG201" s="157"/>
      <c r="AH201" s="157"/>
      <c r="AI201" s="157"/>
      <c r="AJ201" s="157"/>
      <c r="AK201" s="157"/>
      <c r="AL201" s="157"/>
      <c r="AM201" s="157"/>
      <c r="AN201" s="157"/>
      <c r="AO201" s="158"/>
    </row>
    <row r="202" spans="1:92" x14ac:dyDescent="0.25">
      <c r="A202" s="176" t="s">
        <v>313</v>
      </c>
      <c r="B202" s="162" t="s">
        <v>314</v>
      </c>
      <c r="C202" s="148">
        <f>SUM(C203)</f>
        <v>1105949575</v>
      </c>
      <c r="D202" s="148">
        <f t="shared" ref="D202:AO202" si="82">SUM(D203)</f>
        <v>706232981</v>
      </c>
      <c r="E202" s="148">
        <f t="shared" si="82"/>
        <v>0</v>
      </c>
      <c r="F202" s="148">
        <f t="shared" si="82"/>
        <v>2983200</v>
      </c>
      <c r="G202" s="148">
        <f t="shared" si="82"/>
        <v>0</v>
      </c>
      <c r="H202" s="148">
        <f t="shared" si="82"/>
        <v>0</v>
      </c>
      <c r="I202" s="148">
        <f t="shared" si="82"/>
        <v>553249781</v>
      </c>
      <c r="J202" s="148">
        <f t="shared" si="82"/>
        <v>0</v>
      </c>
      <c r="K202" s="148">
        <f t="shared" si="82"/>
        <v>0</v>
      </c>
      <c r="L202" s="148">
        <f t="shared" si="82"/>
        <v>0</v>
      </c>
      <c r="M202" s="148">
        <f t="shared" si="82"/>
        <v>0</v>
      </c>
      <c r="N202" s="148">
        <f t="shared" si="82"/>
        <v>0</v>
      </c>
      <c r="O202" s="148">
        <f t="shared" si="82"/>
        <v>0</v>
      </c>
      <c r="P202" s="148">
        <f t="shared" si="82"/>
        <v>0</v>
      </c>
      <c r="Q202" s="148">
        <f t="shared" si="82"/>
        <v>0</v>
      </c>
      <c r="R202" s="148">
        <f t="shared" si="82"/>
        <v>0</v>
      </c>
      <c r="S202" s="148">
        <f t="shared" si="82"/>
        <v>150000000</v>
      </c>
      <c r="T202" s="148">
        <f t="shared" si="82"/>
        <v>0</v>
      </c>
      <c r="U202" s="148">
        <f t="shared" si="82"/>
        <v>0</v>
      </c>
      <c r="V202" s="148">
        <f t="shared" si="82"/>
        <v>0</v>
      </c>
      <c r="W202" s="148">
        <f t="shared" si="82"/>
        <v>0</v>
      </c>
      <c r="X202" s="148">
        <f t="shared" si="82"/>
        <v>0</v>
      </c>
      <c r="Y202" s="148">
        <f t="shared" si="82"/>
        <v>15300000</v>
      </c>
      <c r="Z202" s="148">
        <f t="shared" si="82"/>
        <v>0</v>
      </c>
      <c r="AA202" s="148">
        <f t="shared" si="82"/>
        <v>500000</v>
      </c>
      <c r="AB202" s="148">
        <f t="shared" si="82"/>
        <v>12800000</v>
      </c>
      <c r="AC202" s="148">
        <f t="shared" si="82"/>
        <v>0</v>
      </c>
      <c r="AD202" s="148">
        <f t="shared" si="82"/>
        <v>2000000</v>
      </c>
      <c r="AE202" s="148">
        <f t="shared" si="82"/>
        <v>0</v>
      </c>
      <c r="AF202" s="148">
        <f t="shared" si="82"/>
        <v>0</v>
      </c>
      <c r="AG202" s="148">
        <f t="shared" si="82"/>
        <v>0</v>
      </c>
      <c r="AH202" s="148">
        <f t="shared" si="82"/>
        <v>0</v>
      </c>
      <c r="AI202" s="148">
        <f t="shared" si="82"/>
        <v>0</v>
      </c>
      <c r="AJ202" s="148">
        <f t="shared" si="82"/>
        <v>384416594</v>
      </c>
      <c r="AK202" s="148">
        <f t="shared" si="82"/>
        <v>384416594</v>
      </c>
      <c r="AL202" s="148">
        <f t="shared" si="82"/>
        <v>0</v>
      </c>
      <c r="AM202" s="148">
        <f t="shared" si="82"/>
        <v>0</v>
      </c>
      <c r="AN202" s="148">
        <f t="shared" si="82"/>
        <v>0</v>
      </c>
      <c r="AO202" s="149">
        <f t="shared" si="82"/>
        <v>0</v>
      </c>
    </row>
    <row r="203" spans="1:92" x14ac:dyDescent="0.25">
      <c r="A203" s="167" t="s">
        <v>315</v>
      </c>
      <c r="B203" s="182" t="s">
        <v>316</v>
      </c>
      <c r="C203" s="157">
        <f>SUM(D203+Y203+AE203+AJ203)</f>
        <v>1105949575</v>
      </c>
      <c r="D203" s="157">
        <f>SUM(E203:X203)</f>
        <v>706232981</v>
      </c>
      <c r="E203" s="157">
        <v>0</v>
      </c>
      <c r="F203" s="157">
        <v>2983200</v>
      </c>
      <c r="G203" s="157">
        <v>0</v>
      </c>
      <c r="H203" s="157">
        <v>0</v>
      </c>
      <c r="I203" s="157">
        <f>555666375+182000000-[10]Hoja2!$M$39</f>
        <v>553249781</v>
      </c>
      <c r="J203" s="157">
        <v>0</v>
      </c>
      <c r="K203" s="157">
        <v>0</v>
      </c>
      <c r="L203" s="157">
        <v>0</v>
      </c>
      <c r="M203" s="157">
        <v>0</v>
      </c>
      <c r="N203" s="157">
        <v>0</v>
      </c>
      <c r="O203" s="157">
        <v>0</v>
      </c>
      <c r="P203" s="157">
        <v>0</v>
      </c>
      <c r="Q203" s="157">
        <v>0</v>
      </c>
      <c r="R203" s="157">
        <v>0</v>
      </c>
      <c r="S203" s="157">
        <v>150000000</v>
      </c>
      <c r="T203" s="157">
        <v>0</v>
      </c>
      <c r="U203" s="157">
        <v>0</v>
      </c>
      <c r="V203" s="157">
        <v>0</v>
      </c>
      <c r="W203" s="157">
        <v>0</v>
      </c>
      <c r="X203" s="157">
        <v>0</v>
      </c>
      <c r="Y203" s="157">
        <f>SUM(Z203:AD203)</f>
        <v>15300000</v>
      </c>
      <c r="Z203" s="157">
        <v>0</v>
      </c>
      <c r="AA203" s="157">
        <v>500000</v>
      </c>
      <c r="AB203" s="157">
        <v>12800000</v>
      </c>
      <c r="AC203" s="157">
        <v>0</v>
      </c>
      <c r="AD203" s="157">
        <v>2000000</v>
      </c>
      <c r="AE203" s="157">
        <f>SUM(AF203:AI203)</f>
        <v>0</v>
      </c>
      <c r="AF203" s="157">
        <v>0</v>
      </c>
      <c r="AG203" s="157">
        <v>0</v>
      </c>
      <c r="AH203" s="157">
        <v>0</v>
      </c>
      <c r="AI203" s="157">
        <v>0</v>
      </c>
      <c r="AJ203" s="157">
        <f>SUM(AK203:AL203)</f>
        <v>384416594</v>
      </c>
      <c r="AK203" s="157">
        <f>200000000+[10]Hoja2!$M$39</f>
        <v>384416594</v>
      </c>
      <c r="AL203" s="157">
        <f>SUM(AM203:AO203)</f>
        <v>0</v>
      </c>
      <c r="AM203" s="157">
        <v>0</v>
      </c>
      <c r="AN203" s="157">
        <v>0</v>
      </c>
      <c r="AO203" s="158">
        <v>0</v>
      </c>
    </row>
    <row r="204" spans="1:92" x14ac:dyDescent="0.25">
      <c r="A204" s="160"/>
      <c r="B204" s="161"/>
      <c r="C204" s="157"/>
      <c r="D204" s="157"/>
      <c r="E204" s="157"/>
      <c r="F204" s="157"/>
      <c r="G204" s="157"/>
      <c r="H204" s="157"/>
      <c r="I204" s="157"/>
      <c r="J204" s="157"/>
      <c r="K204" s="157"/>
      <c r="L204" s="157"/>
      <c r="M204" s="157"/>
      <c r="N204" s="157"/>
      <c r="O204" s="157"/>
      <c r="P204" s="157"/>
      <c r="Q204" s="157"/>
      <c r="R204" s="157"/>
      <c r="S204" s="157"/>
      <c r="T204" s="157"/>
      <c r="U204" s="157"/>
      <c r="V204" s="157"/>
      <c r="W204" s="157"/>
      <c r="X204" s="157"/>
      <c r="Y204" s="157"/>
      <c r="Z204" s="157"/>
      <c r="AA204" s="157"/>
      <c r="AB204" s="157"/>
      <c r="AC204" s="157"/>
      <c r="AD204" s="157"/>
      <c r="AE204" s="157"/>
      <c r="AF204" s="157"/>
      <c r="AG204" s="157"/>
      <c r="AH204" s="157"/>
      <c r="AI204" s="157"/>
      <c r="AJ204" s="157"/>
      <c r="AK204" s="157"/>
      <c r="AL204" s="157"/>
      <c r="AM204" s="157"/>
      <c r="AN204" s="157"/>
      <c r="AO204" s="158"/>
    </row>
    <row r="205" spans="1:92" s="145" customFormat="1" x14ac:dyDescent="0.25">
      <c r="A205" s="165">
        <v>6</v>
      </c>
      <c r="B205" s="169" t="s">
        <v>317</v>
      </c>
      <c r="C205" s="142">
        <f>+C207+C210+C215+C219+C223</f>
        <v>891496529</v>
      </c>
      <c r="D205" s="142">
        <f t="shared" ref="D205:AO205" si="83">+D207+D210+D215+D219+D223</f>
        <v>571677727</v>
      </c>
      <c r="E205" s="142">
        <f t="shared" si="83"/>
        <v>0</v>
      </c>
      <c r="F205" s="142">
        <f t="shared" si="83"/>
        <v>2000000</v>
      </c>
      <c r="G205" s="142">
        <f t="shared" si="83"/>
        <v>1500000</v>
      </c>
      <c r="H205" s="142">
        <f t="shared" si="83"/>
        <v>5125000</v>
      </c>
      <c r="I205" s="142">
        <f t="shared" si="83"/>
        <v>3000000</v>
      </c>
      <c r="J205" s="142">
        <f t="shared" si="83"/>
        <v>500000</v>
      </c>
      <c r="K205" s="142">
        <f t="shared" si="83"/>
        <v>600000</v>
      </c>
      <c r="L205" s="142">
        <f t="shared" si="83"/>
        <v>1500000</v>
      </c>
      <c r="M205" s="142">
        <f t="shared" si="83"/>
        <v>152500000</v>
      </c>
      <c r="N205" s="142">
        <f t="shared" si="83"/>
        <v>36700000</v>
      </c>
      <c r="O205" s="142">
        <f t="shared" si="83"/>
        <v>3400000</v>
      </c>
      <c r="P205" s="142">
        <f t="shared" si="83"/>
        <v>316852727</v>
      </c>
      <c r="Q205" s="142">
        <f t="shared" si="83"/>
        <v>500000</v>
      </c>
      <c r="R205" s="142">
        <f t="shared" si="83"/>
        <v>1000000</v>
      </c>
      <c r="S205" s="142">
        <f t="shared" si="83"/>
        <v>1000000</v>
      </c>
      <c r="T205" s="142">
        <f t="shared" si="83"/>
        <v>41000000</v>
      </c>
      <c r="U205" s="142">
        <f t="shared" si="83"/>
        <v>1500000</v>
      </c>
      <c r="V205" s="142">
        <f t="shared" si="83"/>
        <v>1000000</v>
      </c>
      <c r="W205" s="142">
        <f t="shared" si="83"/>
        <v>1000000</v>
      </c>
      <c r="X205" s="142">
        <f t="shared" si="83"/>
        <v>1000000</v>
      </c>
      <c r="Y205" s="142">
        <f t="shared" si="83"/>
        <v>8500000</v>
      </c>
      <c r="Z205" s="142">
        <f t="shared" si="83"/>
        <v>1000000</v>
      </c>
      <c r="AA205" s="142">
        <f t="shared" si="83"/>
        <v>1500000</v>
      </c>
      <c r="AB205" s="142">
        <f t="shared" si="83"/>
        <v>2500000</v>
      </c>
      <c r="AC205" s="142">
        <f t="shared" si="83"/>
        <v>2500000</v>
      </c>
      <c r="AD205" s="142">
        <f t="shared" si="83"/>
        <v>1000000</v>
      </c>
      <c r="AE205" s="142">
        <f t="shared" si="83"/>
        <v>8000000</v>
      </c>
      <c r="AF205" s="142">
        <f t="shared" si="83"/>
        <v>1000000</v>
      </c>
      <c r="AG205" s="142">
        <f t="shared" si="83"/>
        <v>2000000</v>
      </c>
      <c r="AH205" s="142">
        <f t="shared" si="83"/>
        <v>1000000</v>
      </c>
      <c r="AI205" s="142">
        <f t="shared" si="83"/>
        <v>4000000</v>
      </c>
      <c r="AJ205" s="142">
        <f t="shared" si="83"/>
        <v>303318802</v>
      </c>
      <c r="AK205" s="142">
        <f t="shared" si="83"/>
        <v>297718802</v>
      </c>
      <c r="AL205" s="142">
        <f t="shared" si="83"/>
        <v>5600000</v>
      </c>
      <c r="AM205" s="142">
        <f t="shared" si="83"/>
        <v>600000</v>
      </c>
      <c r="AN205" s="142">
        <f t="shared" si="83"/>
        <v>1500000</v>
      </c>
      <c r="AO205" s="143">
        <f t="shared" si="83"/>
        <v>3500000</v>
      </c>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c r="CN205" s="144"/>
    </row>
    <row r="206" spans="1:92" s="145" customFormat="1" x14ac:dyDescent="0.25">
      <c r="A206" s="165"/>
      <c r="B206" s="169"/>
      <c r="C206" s="142"/>
      <c r="D206" s="142"/>
      <c r="E206" s="142"/>
      <c r="F206" s="142"/>
      <c r="G206" s="142"/>
      <c r="H206" s="142"/>
      <c r="I206" s="142"/>
      <c r="J206" s="142"/>
      <c r="K206" s="142"/>
      <c r="L206" s="142"/>
      <c r="M206" s="142"/>
      <c r="N206" s="142"/>
      <c r="O206" s="142"/>
      <c r="P206" s="142"/>
      <c r="Q206" s="142"/>
      <c r="R206" s="142"/>
      <c r="S206" s="142"/>
      <c r="T206" s="142"/>
      <c r="U206" s="142"/>
      <c r="V206" s="142"/>
      <c r="W206" s="142"/>
      <c r="X206" s="142"/>
      <c r="Y206" s="142"/>
      <c r="Z206" s="142"/>
      <c r="AA206" s="142"/>
      <c r="AB206" s="142"/>
      <c r="AC206" s="142"/>
      <c r="AD206" s="142"/>
      <c r="AE206" s="142"/>
      <c r="AF206" s="142"/>
      <c r="AG206" s="142"/>
      <c r="AH206" s="142"/>
      <c r="AI206" s="142"/>
      <c r="AJ206" s="142"/>
      <c r="AK206" s="142"/>
      <c r="AL206" s="142"/>
      <c r="AM206" s="142"/>
      <c r="AN206" s="142"/>
      <c r="AO206" s="143"/>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c r="CN206" s="144"/>
    </row>
    <row r="207" spans="1:92" s="145" customFormat="1" x14ac:dyDescent="0.25">
      <c r="A207" s="176" t="s">
        <v>318</v>
      </c>
      <c r="B207" s="162" t="s">
        <v>319</v>
      </c>
      <c r="C207" s="142">
        <f>SUM(C208)</f>
        <v>36000000</v>
      </c>
      <c r="D207" s="142">
        <f t="shared" ref="D207:AO207" si="84">SUM(D208)</f>
        <v>36000000</v>
      </c>
      <c r="E207" s="142">
        <f t="shared" si="84"/>
        <v>0</v>
      </c>
      <c r="F207" s="142">
        <f t="shared" si="84"/>
        <v>0</v>
      </c>
      <c r="G207" s="142">
        <f t="shared" si="84"/>
        <v>0</v>
      </c>
      <c r="H207" s="142">
        <f t="shared" si="84"/>
        <v>0</v>
      </c>
      <c r="I207" s="142">
        <f t="shared" si="84"/>
        <v>0</v>
      </c>
      <c r="J207" s="142">
        <f t="shared" si="84"/>
        <v>0</v>
      </c>
      <c r="K207" s="142">
        <f t="shared" si="84"/>
        <v>0</v>
      </c>
      <c r="L207" s="142">
        <f t="shared" si="84"/>
        <v>0</v>
      </c>
      <c r="M207" s="142">
        <f t="shared" si="84"/>
        <v>0</v>
      </c>
      <c r="N207" s="142">
        <f t="shared" si="84"/>
        <v>36000000</v>
      </c>
      <c r="O207" s="142">
        <f t="shared" si="84"/>
        <v>0</v>
      </c>
      <c r="P207" s="142">
        <f t="shared" si="84"/>
        <v>0</v>
      </c>
      <c r="Q207" s="142">
        <f t="shared" si="84"/>
        <v>0</v>
      </c>
      <c r="R207" s="142">
        <f t="shared" si="84"/>
        <v>0</v>
      </c>
      <c r="S207" s="142">
        <f t="shared" si="84"/>
        <v>0</v>
      </c>
      <c r="T207" s="142">
        <f t="shared" si="84"/>
        <v>0</v>
      </c>
      <c r="U207" s="142">
        <f t="shared" si="84"/>
        <v>0</v>
      </c>
      <c r="V207" s="142">
        <f t="shared" si="84"/>
        <v>0</v>
      </c>
      <c r="W207" s="142">
        <f t="shared" si="84"/>
        <v>0</v>
      </c>
      <c r="X207" s="142">
        <f t="shared" si="84"/>
        <v>0</v>
      </c>
      <c r="Y207" s="142">
        <f t="shared" si="84"/>
        <v>0</v>
      </c>
      <c r="Z207" s="142">
        <f t="shared" si="84"/>
        <v>0</v>
      </c>
      <c r="AA207" s="142">
        <f t="shared" si="84"/>
        <v>0</v>
      </c>
      <c r="AB207" s="142">
        <f t="shared" si="84"/>
        <v>0</v>
      </c>
      <c r="AC207" s="142">
        <f t="shared" si="84"/>
        <v>0</v>
      </c>
      <c r="AD207" s="142">
        <f t="shared" si="84"/>
        <v>0</v>
      </c>
      <c r="AE207" s="142">
        <f t="shared" si="84"/>
        <v>0</v>
      </c>
      <c r="AF207" s="142">
        <f t="shared" si="84"/>
        <v>0</v>
      </c>
      <c r="AG207" s="142">
        <f t="shared" si="84"/>
        <v>0</v>
      </c>
      <c r="AH207" s="142">
        <f t="shared" si="84"/>
        <v>0</v>
      </c>
      <c r="AI207" s="142">
        <f t="shared" si="84"/>
        <v>0</v>
      </c>
      <c r="AJ207" s="142">
        <f t="shared" si="84"/>
        <v>0</v>
      </c>
      <c r="AK207" s="142">
        <f t="shared" si="84"/>
        <v>0</v>
      </c>
      <c r="AL207" s="142">
        <f t="shared" si="84"/>
        <v>0</v>
      </c>
      <c r="AM207" s="142">
        <f t="shared" si="84"/>
        <v>0</v>
      </c>
      <c r="AN207" s="142">
        <f t="shared" si="84"/>
        <v>0</v>
      </c>
      <c r="AO207" s="143">
        <f t="shared" si="84"/>
        <v>0</v>
      </c>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c r="CN207" s="144"/>
    </row>
    <row r="208" spans="1:92" s="145" customFormat="1" x14ac:dyDescent="0.25">
      <c r="A208" s="167" t="s">
        <v>320</v>
      </c>
      <c r="B208" s="156" t="s">
        <v>321</v>
      </c>
      <c r="C208" s="157">
        <f>SUM(D208+Y208+AE208+AJ208)</f>
        <v>36000000</v>
      </c>
      <c r="D208" s="157">
        <f>SUM(E208:X208)</f>
        <v>36000000</v>
      </c>
      <c r="E208" s="142"/>
      <c r="F208" s="142"/>
      <c r="G208" s="142"/>
      <c r="H208" s="142"/>
      <c r="I208" s="142"/>
      <c r="J208" s="142"/>
      <c r="K208" s="142"/>
      <c r="L208" s="142"/>
      <c r="M208" s="142"/>
      <c r="N208" s="142">
        <v>36000000</v>
      </c>
      <c r="O208" s="142"/>
      <c r="P208" s="142"/>
      <c r="Q208" s="142"/>
      <c r="R208" s="142"/>
      <c r="S208" s="142"/>
      <c r="T208" s="142"/>
      <c r="U208" s="142"/>
      <c r="V208" s="142"/>
      <c r="W208" s="142"/>
      <c r="X208" s="142"/>
      <c r="Y208" s="157">
        <f>SUM(Z208:AD208)</f>
        <v>0</v>
      </c>
      <c r="Z208" s="142"/>
      <c r="AA208" s="142"/>
      <c r="AB208" s="142"/>
      <c r="AC208" s="142"/>
      <c r="AD208" s="142"/>
      <c r="AE208" s="157">
        <f>SUM(AF208:AI208)</f>
        <v>0</v>
      </c>
      <c r="AF208" s="142"/>
      <c r="AG208" s="142"/>
      <c r="AH208" s="142"/>
      <c r="AI208" s="142"/>
      <c r="AJ208" s="157">
        <f>SUM(AK208:AL208)</f>
        <v>0</v>
      </c>
      <c r="AK208" s="142"/>
      <c r="AL208" s="157">
        <f>SUM(AM208:AO208)</f>
        <v>0</v>
      </c>
      <c r="AM208" s="142"/>
      <c r="AN208" s="142"/>
      <c r="AO208" s="143"/>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c r="CN208" s="144"/>
    </row>
    <row r="209" spans="1:92" s="145" customFormat="1" x14ac:dyDescent="0.25">
      <c r="A209" s="165"/>
      <c r="B209" s="169"/>
      <c r="C209" s="142"/>
      <c r="D209" s="142"/>
      <c r="E209" s="142"/>
      <c r="F209" s="142"/>
      <c r="G209" s="142"/>
      <c r="H209" s="142"/>
      <c r="I209" s="142"/>
      <c r="J209" s="142"/>
      <c r="K209" s="142"/>
      <c r="L209" s="142"/>
      <c r="M209" s="142"/>
      <c r="N209" s="142"/>
      <c r="O209" s="142"/>
      <c r="P209" s="142"/>
      <c r="Q209" s="142"/>
      <c r="R209" s="142"/>
      <c r="S209" s="142"/>
      <c r="T209" s="142"/>
      <c r="U209" s="142"/>
      <c r="V209" s="142"/>
      <c r="W209" s="142"/>
      <c r="X209" s="142"/>
      <c r="Y209" s="142"/>
      <c r="Z209" s="142"/>
      <c r="AA209" s="142"/>
      <c r="AB209" s="142"/>
      <c r="AC209" s="142"/>
      <c r="AD209" s="142"/>
      <c r="AE209" s="142"/>
      <c r="AF209" s="142"/>
      <c r="AG209" s="142"/>
      <c r="AH209" s="142"/>
      <c r="AI209" s="142"/>
      <c r="AJ209" s="142"/>
      <c r="AK209" s="142"/>
      <c r="AL209" s="142"/>
      <c r="AM209" s="142"/>
      <c r="AN209" s="142"/>
      <c r="AO209" s="143"/>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c r="CN209" s="144"/>
    </row>
    <row r="210" spans="1:92" s="145" customFormat="1" x14ac:dyDescent="0.25">
      <c r="A210" s="176" t="s">
        <v>322</v>
      </c>
      <c r="B210" s="162" t="s">
        <v>323</v>
      </c>
      <c r="C210" s="142">
        <f>SUM(C211:C213)</f>
        <v>11800000</v>
      </c>
      <c r="D210" s="142">
        <f t="shared" ref="D210:AO210" si="85">SUM(D211:D213)</f>
        <v>10425000</v>
      </c>
      <c r="E210" s="142">
        <f t="shared" si="85"/>
        <v>0</v>
      </c>
      <c r="F210" s="142">
        <f t="shared" si="85"/>
        <v>0</v>
      </c>
      <c r="G210" s="142">
        <f t="shared" si="85"/>
        <v>0</v>
      </c>
      <c r="H210" s="142">
        <f t="shared" si="85"/>
        <v>4125000</v>
      </c>
      <c r="I210" s="142">
        <f t="shared" si="85"/>
        <v>0</v>
      </c>
      <c r="J210" s="142">
        <f t="shared" si="85"/>
        <v>0</v>
      </c>
      <c r="K210" s="142">
        <f t="shared" si="85"/>
        <v>0</v>
      </c>
      <c r="L210" s="142">
        <f t="shared" si="85"/>
        <v>0</v>
      </c>
      <c r="M210" s="142">
        <f t="shared" si="85"/>
        <v>0</v>
      </c>
      <c r="N210" s="142">
        <f t="shared" si="85"/>
        <v>0</v>
      </c>
      <c r="O210" s="142">
        <f t="shared" si="85"/>
        <v>0</v>
      </c>
      <c r="P210" s="142">
        <f t="shared" si="85"/>
        <v>6300000</v>
      </c>
      <c r="Q210" s="142">
        <f t="shared" si="85"/>
        <v>0</v>
      </c>
      <c r="R210" s="142">
        <f t="shared" si="85"/>
        <v>0</v>
      </c>
      <c r="S210" s="142">
        <f t="shared" si="85"/>
        <v>0</v>
      </c>
      <c r="T210" s="142">
        <f t="shared" si="85"/>
        <v>0</v>
      </c>
      <c r="U210" s="142">
        <f t="shared" si="85"/>
        <v>0</v>
      </c>
      <c r="V210" s="142">
        <f t="shared" si="85"/>
        <v>0</v>
      </c>
      <c r="W210" s="142">
        <f t="shared" si="85"/>
        <v>0</v>
      </c>
      <c r="X210" s="142">
        <f t="shared" si="85"/>
        <v>0</v>
      </c>
      <c r="Y210" s="142">
        <f t="shared" si="85"/>
        <v>0</v>
      </c>
      <c r="Z210" s="142">
        <f t="shared" si="85"/>
        <v>0</v>
      </c>
      <c r="AA210" s="142">
        <f t="shared" si="85"/>
        <v>0</v>
      </c>
      <c r="AB210" s="142">
        <f t="shared" si="85"/>
        <v>0</v>
      </c>
      <c r="AC210" s="142">
        <f t="shared" si="85"/>
        <v>0</v>
      </c>
      <c r="AD210" s="142">
        <f t="shared" si="85"/>
        <v>0</v>
      </c>
      <c r="AE210" s="142">
        <f t="shared" si="85"/>
        <v>0</v>
      </c>
      <c r="AF210" s="142">
        <f t="shared" si="85"/>
        <v>0</v>
      </c>
      <c r="AG210" s="142">
        <f t="shared" si="85"/>
        <v>0</v>
      </c>
      <c r="AH210" s="142">
        <f t="shared" si="85"/>
        <v>0</v>
      </c>
      <c r="AI210" s="142">
        <f t="shared" si="85"/>
        <v>0</v>
      </c>
      <c r="AJ210" s="142">
        <f t="shared" si="85"/>
        <v>1375000</v>
      </c>
      <c r="AK210" s="142">
        <f t="shared" si="85"/>
        <v>1375000</v>
      </c>
      <c r="AL210" s="142">
        <f t="shared" si="85"/>
        <v>0</v>
      </c>
      <c r="AM210" s="142">
        <f t="shared" si="85"/>
        <v>0</v>
      </c>
      <c r="AN210" s="142">
        <f t="shared" si="85"/>
        <v>0</v>
      </c>
      <c r="AO210" s="143">
        <f t="shared" si="85"/>
        <v>0</v>
      </c>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c r="CN210" s="144"/>
    </row>
    <row r="211" spans="1:92" x14ac:dyDescent="0.25">
      <c r="A211" s="167" t="s">
        <v>324</v>
      </c>
      <c r="B211" s="156" t="s">
        <v>325</v>
      </c>
      <c r="C211" s="157">
        <f>SUM(D211+Y211+AE211+AJ211)</f>
        <v>6000000</v>
      </c>
      <c r="D211" s="157">
        <f>SUM(E211:X211)</f>
        <v>6000000</v>
      </c>
      <c r="E211" s="157">
        <v>0</v>
      </c>
      <c r="F211" s="157">
        <v>0</v>
      </c>
      <c r="G211" s="157">
        <v>0</v>
      </c>
      <c r="H211" s="157">
        <v>0</v>
      </c>
      <c r="I211" s="157">
        <v>0</v>
      </c>
      <c r="J211" s="157">
        <v>0</v>
      </c>
      <c r="K211" s="157">
        <v>0</v>
      </c>
      <c r="L211" s="157">
        <v>0</v>
      </c>
      <c r="M211" s="157">
        <v>0</v>
      </c>
      <c r="N211" s="157">
        <v>0</v>
      </c>
      <c r="O211" s="157">
        <v>0</v>
      </c>
      <c r="P211" s="157">
        <v>6000000</v>
      </c>
      <c r="Q211" s="157">
        <v>0</v>
      </c>
      <c r="R211" s="157">
        <v>0</v>
      </c>
      <c r="S211" s="157">
        <v>0</v>
      </c>
      <c r="T211" s="157">
        <v>0</v>
      </c>
      <c r="U211" s="157">
        <v>0</v>
      </c>
      <c r="V211" s="157">
        <v>0</v>
      </c>
      <c r="W211" s="157">
        <v>0</v>
      </c>
      <c r="X211" s="157">
        <v>0</v>
      </c>
      <c r="Y211" s="157">
        <f>SUM(Z211:AD211)</f>
        <v>0</v>
      </c>
      <c r="Z211" s="157">
        <v>0</v>
      </c>
      <c r="AA211" s="157">
        <v>0</v>
      </c>
      <c r="AB211" s="157">
        <v>0</v>
      </c>
      <c r="AC211" s="157">
        <v>0</v>
      </c>
      <c r="AD211" s="157">
        <v>0</v>
      </c>
      <c r="AE211" s="157">
        <f>SUM(AF211:AI211)</f>
        <v>0</v>
      </c>
      <c r="AF211" s="157">
        <v>0</v>
      </c>
      <c r="AG211" s="157">
        <v>0</v>
      </c>
      <c r="AH211" s="157">
        <v>0</v>
      </c>
      <c r="AI211" s="157">
        <v>0</v>
      </c>
      <c r="AJ211" s="157">
        <f>SUM(AK211:AL211)</f>
        <v>0</v>
      </c>
      <c r="AK211" s="157">
        <v>0</v>
      </c>
      <c r="AL211" s="157">
        <f>SUM(AM211:AO211)</f>
        <v>0</v>
      </c>
      <c r="AM211" s="157">
        <v>0</v>
      </c>
      <c r="AN211" s="157">
        <v>0</v>
      </c>
      <c r="AO211" s="158">
        <v>0</v>
      </c>
    </row>
    <row r="212" spans="1:92" x14ac:dyDescent="0.25">
      <c r="A212" s="167" t="s">
        <v>326</v>
      </c>
      <c r="B212" s="156" t="s">
        <v>327</v>
      </c>
      <c r="C212" s="157">
        <f>SUM(D212+Y212+AE212+AJ212)</f>
        <v>5500000</v>
      </c>
      <c r="D212" s="157">
        <f>SUM(E212:X212)</f>
        <v>4125000</v>
      </c>
      <c r="E212" s="157">
        <v>0</v>
      </c>
      <c r="F212" s="157">
        <v>0</v>
      </c>
      <c r="G212" s="157">
        <v>0</v>
      </c>
      <c r="H212" s="157">
        <f>5500000-[10]Hoja2!$M$40</f>
        <v>4125000</v>
      </c>
      <c r="I212" s="157">
        <v>0</v>
      </c>
      <c r="J212" s="157">
        <v>0</v>
      </c>
      <c r="K212" s="157">
        <v>0</v>
      </c>
      <c r="L212" s="157">
        <v>0</v>
      </c>
      <c r="M212" s="157">
        <v>0</v>
      </c>
      <c r="N212" s="157">
        <v>0</v>
      </c>
      <c r="O212" s="157">
        <v>0</v>
      </c>
      <c r="P212" s="157">
        <v>0</v>
      </c>
      <c r="Q212" s="157">
        <v>0</v>
      </c>
      <c r="R212" s="157">
        <v>0</v>
      </c>
      <c r="S212" s="157">
        <v>0</v>
      </c>
      <c r="T212" s="157">
        <v>0</v>
      </c>
      <c r="U212" s="157">
        <v>0</v>
      </c>
      <c r="V212" s="157">
        <v>0</v>
      </c>
      <c r="W212" s="157">
        <v>0</v>
      </c>
      <c r="X212" s="157">
        <v>0</v>
      </c>
      <c r="Y212" s="157">
        <f>SUM(Z212:AD212)</f>
        <v>0</v>
      </c>
      <c r="Z212" s="157">
        <v>0</v>
      </c>
      <c r="AA212" s="157">
        <v>0</v>
      </c>
      <c r="AB212" s="157">
        <v>0</v>
      </c>
      <c r="AC212" s="157">
        <v>0</v>
      </c>
      <c r="AD212" s="157">
        <v>0</v>
      </c>
      <c r="AE212" s="157">
        <f>SUM(AF212:AI212)</f>
        <v>0</v>
      </c>
      <c r="AF212" s="157">
        <v>0</v>
      </c>
      <c r="AG212" s="157">
        <v>0</v>
      </c>
      <c r="AH212" s="157">
        <v>0</v>
      </c>
      <c r="AI212" s="157">
        <v>0</v>
      </c>
      <c r="AJ212" s="157">
        <f>SUM(AK212:AL212)</f>
        <v>1375000</v>
      </c>
      <c r="AK212" s="157">
        <f>+[10]Hoja2!$M$40</f>
        <v>1375000</v>
      </c>
      <c r="AL212" s="157">
        <f>SUM(AM212:AO212)</f>
        <v>0</v>
      </c>
      <c r="AM212" s="157">
        <v>0</v>
      </c>
      <c r="AN212" s="157">
        <v>0</v>
      </c>
      <c r="AO212" s="158">
        <v>0</v>
      </c>
    </row>
    <row r="213" spans="1:92" x14ac:dyDescent="0.25">
      <c r="A213" s="167" t="s">
        <v>328</v>
      </c>
      <c r="B213" s="156" t="s">
        <v>329</v>
      </c>
      <c r="C213" s="157">
        <f>SUM(D213+Y213+AE213+AJ213)</f>
        <v>300000</v>
      </c>
      <c r="D213" s="157">
        <f>SUM(E213:X213)</f>
        <v>300000</v>
      </c>
      <c r="E213" s="157">
        <v>0</v>
      </c>
      <c r="F213" s="157">
        <v>0</v>
      </c>
      <c r="G213" s="157">
        <v>0</v>
      </c>
      <c r="H213" s="157">
        <v>0</v>
      </c>
      <c r="I213" s="157">
        <v>0</v>
      </c>
      <c r="J213" s="157">
        <v>0</v>
      </c>
      <c r="K213" s="157">
        <v>0</v>
      </c>
      <c r="L213" s="157">
        <v>0</v>
      </c>
      <c r="M213" s="157">
        <v>0</v>
      </c>
      <c r="N213" s="157">
        <v>0</v>
      </c>
      <c r="O213" s="157">
        <v>0</v>
      </c>
      <c r="P213" s="157">
        <v>300000</v>
      </c>
      <c r="Q213" s="157">
        <v>0</v>
      </c>
      <c r="R213" s="157">
        <v>0</v>
      </c>
      <c r="S213" s="157">
        <v>0</v>
      </c>
      <c r="T213" s="157">
        <v>0</v>
      </c>
      <c r="U213" s="157">
        <v>0</v>
      </c>
      <c r="V213" s="157">
        <v>0</v>
      </c>
      <c r="W213" s="157">
        <v>0</v>
      </c>
      <c r="X213" s="157">
        <v>0</v>
      </c>
      <c r="Y213" s="157">
        <f>SUM(Z213:AD213)</f>
        <v>0</v>
      </c>
      <c r="Z213" s="157">
        <v>0</v>
      </c>
      <c r="AA213" s="157">
        <v>0</v>
      </c>
      <c r="AB213" s="157">
        <v>0</v>
      </c>
      <c r="AC213" s="157">
        <v>0</v>
      </c>
      <c r="AD213" s="157">
        <v>0</v>
      </c>
      <c r="AE213" s="157">
        <f>SUM(AF213:AI213)</f>
        <v>0</v>
      </c>
      <c r="AF213" s="157">
        <v>0</v>
      </c>
      <c r="AG213" s="157">
        <v>0</v>
      </c>
      <c r="AH213" s="157">
        <v>0</v>
      </c>
      <c r="AI213" s="157">
        <v>0</v>
      </c>
      <c r="AJ213" s="157">
        <f>SUM(AK213:AL213)</f>
        <v>0</v>
      </c>
      <c r="AK213" s="157">
        <v>0</v>
      </c>
      <c r="AL213" s="157">
        <f>SUM(AM213:AO213)</f>
        <v>0</v>
      </c>
      <c r="AM213" s="157">
        <v>0</v>
      </c>
      <c r="AN213" s="157">
        <v>0</v>
      </c>
      <c r="AO213" s="158">
        <v>0</v>
      </c>
    </row>
    <row r="214" spans="1:92" x14ac:dyDescent="0.25">
      <c r="A214" s="160"/>
      <c r="B214" s="161"/>
      <c r="C214" s="157"/>
      <c r="D214" s="157"/>
      <c r="E214" s="157"/>
      <c r="F214" s="157"/>
      <c r="G214" s="157"/>
      <c r="H214" s="157"/>
      <c r="I214" s="157"/>
      <c r="J214" s="157"/>
      <c r="K214" s="157"/>
      <c r="L214" s="157"/>
      <c r="M214" s="157"/>
      <c r="N214" s="157"/>
      <c r="O214" s="157"/>
      <c r="P214" s="157"/>
      <c r="Q214" s="157"/>
      <c r="R214" s="157"/>
      <c r="S214" s="157"/>
      <c r="T214" s="157"/>
      <c r="U214" s="157"/>
      <c r="V214" s="157"/>
      <c r="W214" s="157"/>
      <c r="X214" s="157"/>
      <c r="Y214" s="157"/>
      <c r="Z214" s="157"/>
      <c r="AA214" s="157"/>
      <c r="AB214" s="157"/>
      <c r="AC214" s="157"/>
      <c r="AD214" s="157"/>
      <c r="AE214" s="157"/>
      <c r="AF214" s="157"/>
      <c r="AG214" s="157"/>
      <c r="AH214" s="157"/>
      <c r="AI214" s="157"/>
      <c r="AJ214" s="157"/>
      <c r="AK214" s="157"/>
      <c r="AL214" s="157"/>
      <c r="AM214" s="157"/>
      <c r="AN214" s="157"/>
      <c r="AO214" s="158"/>
    </row>
    <row r="215" spans="1:92" x14ac:dyDescent="0.25">
      <c r="A215" s="176" t="s">
        <v>330</v>
      </c>
      <c r="B215" s="162" t="s">
        <v>331</v>
      </c>
      <c r="C215" s="148">
        <f>SUM(C216:C217)</f>
        <v>171864646</v>
      </c>
      <c r="D215" s="148">
        <f t="shared" ref="D215:AO215" si="86">SUM(D216:D217)</f>
        <v>109920844</v>
      </c>
      <c r="E215" s="148">
        <f t="shared" si="86"/>
        <v>0</v>
      </c>
      <c r="F215" s="148">
        <f t="shared" si="86"/>
        <v>2000000</v>
      </c>
      <c r="G215" s="148">
        <f t="shared" si="86"/>
        <v>1500000</v>
      </c>
      <c r="H215" s="148">
        <f t="shared" si="86"/>
        <v>1000000</v>
      </c>
      <c r="I215" s="148">
        <f t="shared" si="86"/>
        <v>3000000</v>
      </c>
      <c r="J215" s="148">
        <f t="shared" si="86"/>
        <v>500000</v>
      </c>
      <c r="K215" s="148">
        <f t="shared" si="86"/>
        <v>600000</v>
      </c>
      <c r="L215" s="148">
        <f t="shared" si="86"/>
        <v>1500000</v>
      </c>
      <c r="M215" s="148">
        <f t="shared" si="86"/>
        <v>2500000</v>
      </c>
      <c r="N215" s="148">
        <f t="shared" si="86"/>
        <v>700000</v>
      </c>
      <c r="O215" s="148">
        <f t="shared" si="86"/>
        <v>2000000</v>
      </c>
      <c r="P215" s="148">
        <f t="shared" si="86"/>
        <v>86620844</v>
      </c>
      <c r="Q215" s="148">
        <f t="shared" si="86"/>
        <v>500000</v>
      </c>
      <c r="R215" s="148">
        <f t="shared" si="86"/>
        <v>1000000</v>
      </c>
      <c r="S215" s="148">
        <f t="shared" si="86"/>
        <v>1000000</v>
      </c>
      <c r="T215" s="148">
        <f t="shared" si="86"/>
        <v>1000000</v>
      </c>
      <c r="U215" s="148">
        <f t="shared" si="86"/>
        <v>1500000</v>
      </c>
      <c r="V215" s="148">
        <f t="shared" si="86"/>
        <v>1000000</v>
      </c>
      <c r="W215" s="148">
        <f t="shared" si="86"/>
        <v>1000000</v>
      </c>
      <c r="X215" s="148">
        <f t="shared" si="86"/>
        <v>1000000</v>
      </c>
      <c r="Y215" s="148">
        <f t="shared" si="86"/>
        <v>8500000</v>
      </c>
      <c r="Z215" s="148">
        <f t="shared" si="86"/>
        <v>1000000</v>
      </c>
      <c r="AA215" s="148">
        <f t="shared" si="86"/>
        <v>1500000</v>
      </c>
      <c r="AB215" s="148">
        <f t="shared" si="86"/>
        <v>2500000</v>
      </c>
      <c r="AC215" s="148">
        <f t="shared" si="86"/>
        <v>2500000</v>
      </c>
      <c r="AD215" s="148">
        <f t="shared" si="86"/>
        <v>1000000</v>
      </c>
      <c r="AE215" s="148">
        <f t="shared" si="86"/>
        <v>5500000</v>
      </c>
      <c r="AF215" s="148">
        <f t="shared" si="86"/>
        <v>1000000</v>
      </c>
      <c r="AG215" s="148">
        <f t="shared" si="86"/>
        <v>2000000</v>
      </c>
      <c r="AH215" s="148">
        <f t="shared" si="86"/>
        <v>1000000</v>
      </c>
      <c r="AI215" s="148">
        <f t="shared" si="86"/>
        <v>1500000</v>
      </c>
      <c r="AJ215" s="148">
        <f t="shared" si="86"/>
        <v>47943802</v>
      </c>
      <c r="AK215" s="148">
        <f t="shared" si="86"/>
        <v>44343802</v>
      </c>
      <c r="AL215" s="148">
        <f t="shared" si="86"/>
        <v>3600000</v>
      </c>
      <c r="AM215" s="148">
        <f t="shared" si="86"/>
        <v>600000</v>
      </c>
      <c r="AN215" s="148">
        <f t="shared" si="86"/>
        <v>1500000</v>
      </c>
      <c r="AO215" s="149">
        <f t="shared" si="86"/>
        <v>1500000</v>
      </c>
    </row>
    <row r="216" spans="1:92" x14ac:dyDescent="0.25">
      <c r="A216" s="167" t="s">
        <v>332</v>
      </c>
      <c r="B216" s="156" t="s">
        <v>333</v>
      </c>
      <c r="C216" s="157">
        <f>SUM(D216+Y216+AE216+AJ216)</f>
        <v>123964646</v>
      </c>
      <c r="D216" s="157">
        <f>SUM(E216:X216)</f>
        <v>85620844</v>
      </c>
      <c r="E216" s="157"/>
      <c r="F216" s="157"/>
      <c r="G216" s="157"/>
      <c r="H216" s="157"/>
      <c r="I216" s="157"/>
      <c r="J216" s="157"/>
      <c r="K216" s="157"/>
      <c r="L216" s="157"/>
      <c r="M216" s="157"/>
      <c r="N216" s="157"/>
      <c r="O216" s="157"/>
      <c r="P216" s="157">
        <v>85620844</v>
      </c>
      <c r="Q216" s="157"/>
      <c r="R216" s="157"/>
      <c r="S216" s="157"/>
      <c r="T216" s="157"/>
      <c r="U216" s="157"/>
      <c r="V216" s="157"/>
      <c r="W216" s="157"/>
      <c r="X216" s="157"/>
      <c r="Y216" s="157">
        <f>SUM(Z216:AD216)</f>
        <v>0</v>
      </c>
      <c r="Z216" s="157"/>
      <c r="AA216" s="157"/>
      <c r="AB216" s="157"/>
      <c r="AC216" s="157"/>
      <c r="AD216" s="157"/>
      <c r="AE216" s="157">
        <f>SUM(AF216:AI216)</f>
        <v>0</v>
      </c>
      <c r="AF216" s="157"/>
      <c r="AG216" s="157"/>
      <c r="AH216" s="157"/>
      <c r="AI216" s="157"/>
      <c r="AJ216" s="157">
        <f>SUM(AK216:AL216)</f>
        <v>38343802</v>
      </c>
      <c r="AK216" s="157">
        <v>38343802</v>
      </c>
      <c r="AL216" s="157">
        <f>SUM(AM216:AO216)</f>
        <v>0</v>
      </c>
      <c r="AM216" s="157"/>
      <c r="AN216" s="157"/>
      <c r="AO216" s="158"/>
    </row>
    <row r="217" spans="1:92" x14ac:dyDescent="0.25">
      <c r="A217" s="167" t="s">
        <v>334</v>
      </c>
      <c r="B217" s="156" t="s">
        <v>335</v>
      </c>
      <c r="C217" s="157">
        <f>SUM(D217+Y217+AE217+AJ217)</f>
        <v>47900000</v>
      </c>
      <c r="D217" s="157">
        <f>SUM(E217:X217)</f>
        <v>24300000</v>
      </c>
      <c r="E217" s="157">
        <v>0</v>
      </c>
      <c r="F217" s="157">
        <v>2000000</v>
      </c>
      <c r="G217" s="157">
        <v>1500000</v>
      </c>
      <c r="H217" s="157">
        <v>1000000</v>
      </c>
      <c r="I217" s="157">
        <v>3000000</v>
      </c>
      <c r="J217" s="157">
        <v>500000</v>
      </c>
      <c r="K217" s="157">
        <v>600000</v>
      </c>
      <c r="L217" s="157">
        <v>1500000</v>
      </c>
      <c r="M217" s="157">
        <v>2500000</v>
      </c>
      <c r="N217" s="157">
        <v>700000</v>
      </c>
      <c r="O217" s="157">
        <v>2000000</v>
      </c>
      <c r="P217" s="157">
        <v>1000000</v>
      </c>
      <c r="Q217" s="157">
        <v>500000</v>
      </c>
      <c r="R217" s="157">
        <v>1000000</v>
      </c>
      <c r="S217" s="157">
        <v>1000000</v>
      </c>
      <c r="T217" s="157">
        <v>1000000</v>
      </c>
      <c r="U217" s="157">
        <v>1500000</v>
      </c>
      <c r="V217" s="157">
        <v>1000000</v>
      </c>
      <c r="W217" s="157">
        <v>1000000</v>
      </c>
      <c r="X217" s="157">
        <v>1000000</v>
      </c>
      <c r="Y217" s="157">
        <f>SUM(Z217:AD217)</f>
        <v>8500000</v>
      </c>
      <c r="Z217" s="157">
        <v>1000000</v>
      </c>
      <c r="AA217" s="157">
        <v>1500000</v>
      </c>
      <c r="AB217" s="157">
        <v>2500000</v>
      </c>
      <c r="AC217" s="157">
        <v>2500000</v>
      </c>
      <c r="AD217" s="157">
        <v>1000000</v>
      </c>
      <c r="AE217" s="157">
        <f>SUM(AF217:AI217)</f>
        <v>5500000</v>
      </c>
      <c r="AF217" s="157">
        <v>1000000</v>
      </c>
      <c r="AG217" s="157">
        <v>2000000</v>
      </c>
      <c r="AH217" s="157">
        <v>1000000</v>
      </c>
      <c r="AI217" s="157">
        <v>1500000</v>
      </c>
      <c r="AJ217" s="157">
        <f>SUM(AK217:AL217)</f>
        <v>9600000</v>
      </c>
      <c r="AK217" s="157">
        <v>6000000</v>
      </c>
      <c r="AL217" s="157">
        <f>SUM(AM217:AO217)</f>
        <v>3600000</v>
      </c>
      <c r="AM217" s="157">
        <v>600000</v>
      </c>
      <c r="AN217" s="157">
        <v>1500000</v>
      </c>
      <c r="AO217" s="158">
        <v>1500000</v>
      </c>
    </row>
    <row r="218" spans="1:92" x14ac:dyDescent="0.25">
      <c r="A218" s="160"/>
      <c r="B218" s="161"/>
      <c r="C218" s="157"/>
      <c r="D218" s="157"/>
      <c r="E218" s="157"/>
      <c r="F218" s="157"/>
      <c r="G218" s="157"/>
      <c r="H218" s="157"/>
      <c r="I218" s="157"/>
      <c r="J218" s="157"/>
      <c r="K218" s="157"/>
      <c r="L218" s="157"/>
      <c r="M218" s="157"/>
      <c r="N218" s="157"/>
      <c r="O218" s="157"/>
      <c r="P218" s="157"/>
      <c r="Q218" s="157"/>
      <c r="R218" s="157"/>
      <c r="S218" s="157"/>
      <c r="T218" s="157"/>
      <c r="U218" s="157"/>
      <c r="V218" s="157"/>
      <c r="W218" s="157"/>
      <c r="X218" s="157"/>
      <c r="Y218" s="157"/>
      <c r="Z218" s="157"/>
      <c r="AA218" s="157"/>
      <c r="AB218" s="157"/>
      <c r="AC218" s="157"/>
      <c r="AD218" s="157"/>
      <c r="AE218" s="157"/>
      <c r="AF218" s="157"/>
      <c r="AG218" s="157"/>
      <c r="AH218" s="157"/>
      <c r="AI218" s="157"/>
      <c r="AJ218" s="157"/>
      <c r="AK218" s="157"/>
      <c r="AL218" s="157"/>
      <c r="AM218" s="157"/>
      <c r="AN218" s="157"/>
      <c r="AO218" s="158"/>
    </row>
    <row r="219" spans="1:92" ht="26.4" x14ac:dyDescent="0.25">
      <c r="A219" s="176" t="s">
        <v>336</v>
      </c>
      <c r="B219" s="162" t="s">
        <v>337</v>
      </c>
      <c r="C219" s="148">
        <f>SUM(C220:C221)</f>
        <v>631831883</v>
      </c>
      <c r="D219" s="148">
        <f t="shared" ref="D219:AO219" si="87">SUM(D220:D221)</f>
        <v>375331883</v>
      </c>
      <c r="E219" s="148">
        <f t="shared" si="87"/>
        <v>0</v>
      </c>
      <c r="F219" s="148">
        <f t="shared" si="87"/>
        <v>0</v>
      </c>
      <c r="G219" s="148">
        <f t="shared" si="87"/>
        <v>0</v>
      </c>
      <c r="H219" s="148">
        <f t="shared" si="87"/>
        <v>0</v>
      </c>
      <c r="I219" s="148">
        <f t="shared" si="87"/>
        <v>0</v>
      </c>
      <c r="J219" s="148">
        <f t="shared" si="87"/>
        <v>0</v>
      </c>
      <c r="K219" s="148">
        <f t="shared" si="87"/>
        <v>0</v>
      </c>
      <c r="L219" s="148">
        <f t="shared" si="87"/>
        <v>0</v>
      </c>
      <c r="M219" s="148">
        <f t="shared" si="87"/>
        <v>150000000</v>
      </c>
      <c r="N219" s="148">
        <f t="shared" si="87"/>
        <v>0</v>
      </c>
      <c r="O219" s="148">
        <f t="shared" si="87"/>
        <v>1400000</v>
      </c>
      <c r="P219" s="148">
        <f t="shared" si="87"/>
        <v>223931883</v>
      </c>
      <c r="Q219" s="148">
        <f t="shared" si="87"/>
        <v>0</v>
      </c>
      <c r="R219" s="148">
        <f t="shared" si="87"/>
        <v>0</v>
      </c>
      <c r="S219" s="148">
        <f t="shared" si="87"/>
        <v>0</v>
      </c>
      <c r="T219" s="148">
        <f t="shared" si="87"/>
        <v>0</v>
      </c>
      <c r="U219" s="148">
        <f t="shared" si="87"/>
        <v>0</v>
      </c>
      <c r="V219" s="148">
        <f t="shared" si="87"/>
        <v>0</v>
      </c>
      <c r="W219" s="148">
        <f t="shared" si="87"/>
        <v>0</v>
      </c>
      <c r="X219" s="148">
        <f t="shared" si="87"/>
        <v>0</v>
      </c>
      <c r="Y219" s="148">
        <f t="shared" si="87"/>
        <v>0</v>
      </c>
      <c r="Z219" s="148">
        <f t="shared" si="87"/>
        <v>0</v>
      </c>
      <c r="AA219" s="148">
        <f t="shared" si="87"/>
        <v>0</v>
      </c>
      <c r="AB219" s="148">
        <f t="shared" si="87"/>
        <v>0</v>
      </c>
      <c r="AC219" s="148">
        <f t="shared" si="87"/>
        <v>0</v>
      </c>
      <c r="AD219" s="148">
        <f t="shared" si="87"/>
        <v>0</v>
      </c>
      <c r="AE219" s="148">
        <f t="shared" si="87"/>
        <v>2500000</v>
      </c>
      <c r="AF219" s="148">
        <f t="shared" si="87"/>
        <v>0</v>
      </c>
      <c r="AG219" s="148">
        <f t="shared" si="87"/>
        <v>0</v>
      </c>
      <c r="AH219" s="148">
        <f t="shared" si="87"/>
        <v>0</v>
      </c>
      <c r="AI219" s="148">
        <f t="shared" si="87"/>
        <v>2500000</v>
      </c>
      <c r="AJ219" s="148">
        <f t="shared" si="87"/>
        <v>254000000</v>
      </c>
      <c r="AK219" s="148">
        <f t="shared" si="87"/>
        <v>252000000</v>
      </c>
      <c r="AL219" s="148">
        <f t="shared" si="87"/>
        <v>2000000</v>
      </c>
      <c r="AM219" s="148">
        <f t="shared" si="87"/>
        <v>0</v>
      </c>
      <c r="AN219" s="148">
        <f t="shared" si="87"/>
        <v>0</v>
      </c>
      <c r="AO219" s="149">
        <f t="shared" si="87"/>
        <v>2000000</v>
      </c>
    </row>
    <row r="220" spans="1:92" x14ac:dyDescent="0.25">
      <c r="A220" s="167" t="s">
        <v>338</v>
      </c>
      <c r="B220" s="156" t="s">
        <v>339</v>
      </c>
      <c r="C220" s="157">
        <f>SUM(D220+Y220+AE220+AJ220)</f>
        <v>623931883</v>
      </c>
      <c r="D220" s="157">
        <f>SUM(E220:X220)</f>
        <v>373931883</v>
      </c>
      <c r="E220" s="157">
        <v>0</v>
      </c>
      <c r="F220" s="157">
        <v>0</v>
      </c>
      <c r="G220" s="157">
        <v>0</v>
      </c>
      <c r="H220" s="157">
        <v>0</v>
      </c>
      <c r="I220" s="157">
        <v>0</v>
      </c>
      <c r="J220" s="157">
        <v>0</v>
      </c>
      <c r="K220" s="157">
        <v>0</v>
      </c>
      <c r="L220" s="157">
        <v>0</v>
      </c>
      <c r="M220" s="157">
        <f>608867288-308867288-150000000</f>
        <v>150000000</v>
      </c>
      <c r="N220" s="157">
        <v>0</v>
      </c>
      <c r="O220" s="157">
        <v>0</v>
      </c>
      <c r="P220" s="157">
        <v>223931883</v>
      </c>
      <c r="Q220" s="157">
        <v>0</v>
      </c>
      <c r="R220" s="157">
        <v>0</v>
      </c>
      <c r="S220" s="157">
        <v>0</v>
      </c>
      <c r="T220" s="157">
        <v>0</v>
      </c>
      <c r="U220" s="157">
        <v>0</v>
      </c>
      <c r="V220" s="157">
        <v>0</v>
      </c>
      <c r="W220" s="157">
        <v>0</v>
      </c>
      <c r="X220" s="157">
        <v>0</v>
      </c>
      <c r="Y220" s="157">
        <f>SUM(Z220:AD220)</f>
        <v>0</v>
      </c>
      <c r="Z220" s="157">
        <v>0</v>
      </c>
      <c r="AA220" s="157">
        <v>0</v>
      </c>
      <c r="AB220" s="157">
        <v>0</v>
      </c>
      <c r="AC220" s="157">
        <v>0</v>
      </c>
      <c r="AD220" s="157">
        <v>0</v>
      </c>
      <c r="AE220" s="157">
        <f>SUM(AF220:AI220)</f>
        <v>0</v>
      </c>
      <c r="AF220" s="157">
        <v>0</v>
      </c>
      <c r="AG220" s="157">
        <v>0</v>
      </c>
      <c r="AH220" s="157">
        <v>0</v>
      </c>
      <c r="AI220" s="157">
        <v>0</v>
      </c>
      <c r="AJ220" s="157">
        <f>SUM(AK220:AL220)</f>
        <v>250000000</v>
      </c>
      <c r="AK220" s="157">
        <v>250000000</v>
      </c>
      <c r="AL220" s="157">
        <f>SUM(AM220:AO220)</f>
        <v>0</v>
      </c>
      <c r="AM220" s="157">
        <v>0</v>
      </c>
      <c r="AN220" s="157">
        <v>0</v>
      </c>
      <c r="AO220" s="158">
        <v>0</v>
      </c>
    </row>
    <row r="221" spans="1:92" x14ac:dyDescent="0.25">
      <c r="A221" s="167" t="s">
        <v>340</v>
      </c>
      <c r="B221" s="156" t="s">
        <v>341</v>
      </c>
      <c r="C221" s="157">
        <f>SUM(D221+Y221+AE221+AJ221)</f>
        <v>7900000</v>
      </c>
      <c r="D221" s="157">
        <f>SUM(E221:X221)</f>
        <v>1400000</v>
      </c>
      <c r="E221" s="157">
        <v>0</v>
      </c>
      <c r="F221" s="157">
        <v>0</v>
      </c>
      <c r="G221" s="157">
        <v>0</v>
      </c>
      <c r="H221" s="157">
        <v>0</v>
      </c>
      <c r="I221" s="157">
        <v>0</v>
      </c>
      <c r="J221" s="157">
        <v>0</v>
      </c>
      <c r="K221" s="157">
        <v>0</v>
      </c>
      <c r="L221" s="157">
        <v>0</v>
      </c>
      <c r="M221" s="157">
        <v>0</v>
      </c>
      <c r="N221" s="157">
        <v>0</v>
      </c>
      <c r="O221" s="157">
        <v>1400000</v>
      </c>
      <c r="P221" s="157">
        <v>0</v>
      </c>
      <c r="Q221" s="157">
        <v>0</v>
      </c>
      <c r="R221" s="157">
        <v>0</v>
      </c>
      <c r="S221" s="157">
        <v>0</v>
      </c>
      <c r="T221" s="157">
        <v>0</v>
      </c>
      <c r="U221" s="157">
        <v>0</v>
      </c>
      <c r="V221" s="157">
        <v>0</v>
      </c>
      <c r="W221" s="157">
        <v>0</v>
      </c>
      <c r="X221" s="157">
        <v>0</v>
      </c>
      <c r="Y221" s="157">
        <f>SUM(Z221:AD221)</f>
        <v>0</v>
      </c>
      <c r="Z221" s="157">
        <v>0</v>
      </c>
      <c r="AA221" s="157">
        <v>0</v>
      </c>
      <c r="AB221" s="157">
        <v>0</v>
      </c>
      <c r="AC221" s="157">
        <v>0</v>
      </c>
      <c r="AD221" s="157">
        <v>0</v>
      </c>
      <c r="AE221" s="157">
        <f>SUM(AF221:AI221)</f>
        <v>2500000</v>
      </c>
      <c r="AF221" s="157">
        <v>0</v>
      </c>
      <c r="AG221" s="157">
        <v>0</v>
      </c>
      <c r="AH221" s="157">
        <v>0</v>
      </c>
      <c r="AI221" s="157">
        <v>2500000</v>
      </c>
      <c r="AJ221" s="157">
        <f>SUM(AK221:AL221)</f>
        <v>4000000</v>
      </c>
      <c r="AK221" s="157">
        <v>2000000</v>
      </c>
      <c r="AL221" s="157">
        <f>SUM(AM221:AO221)</f>
        <v>2000000</v>
      </c>
      <c r="AM221" s="157">
        <v>0</v>
      </c>
      <c r="AN221" s="157">
        <v>0</v>
      </c>
      <c r="AO221" s="158">
        <v>2000000</v>
      </c>
    </row>
    <row r="222" spans="1:92" x14ac:dyDescent="0.25">
      <c r="A222" s="160"/>
      <c r="B222" s="161"/>
      <c r="C222" s="157"/>
      <c r="D222" s="157"/>
      <c r="E222" s="157"/>
      <c r="F222" s="157"/>
      <c r="G222" s="157"/>
      <c r="H222" s="157"/>
      <c r="I222" s="157"/>
      <c r="J222" s="157"/>
      <c r="K222" s="157"/>
      <c r="L222" s="157"/>
      <c r="M222" s="157"/>
      <c r="N222" s="157"/>
      <c r="O222" s="157"/>
      <c r="P222" s="157"/>
      <c r="Q222" s="157"/>
      <c r="R222" s="157"/>
      <c r="S222" s="157"/>
      <c r="T222" s="157"/>
      <c r="U222" s="157"/>
      <c r="V222" s="157"/>
      <c r="W222" s="157"/>
      <c r="X222" s="157"/>
      <c r="Y222" s="157"/>
      <c r="Z222" s="157"/>
      <c r="AA222" s="157"/>
      <c r="AB222" s="157"/>
      <c r="AC222" s="157"/>
      <c r="AD222" s="157"/>
      <c r="AE222" s="157"/>
      <c r="AF222" s="157"/>
      <c r="AG222" s="157"/>
      <c r="AH222" s="157"/>
      <c r="AI222" s="157"/>
      <c r="AJ222" s="157"/>
      <c r="AK222" s="157"/>
      <c r="AL222" s="157"/>
      <c r="AM222" s="157"/>
      <c r="AN222" s="157"/>
      <c r="AO222" s="158"/>
    </row>
    <row r="223" spans="1:92" x14ac:dyDescent="0.25">
      <c r="A223" s="178" t="s">
        <v>342</v>
      </c>
      <c r="B223" s="162" t="s">
        <v>343</v>
      </c>
      <c r="C223" s="148">
        <f>SUM(C224)</f>
        <v>40000000</v>
      </c>
      <c r="D223" s="148">
        <f t="shared" ref="D223:AO223" si="88">SUM(D224)</f>
        <v>40000000</v>
      </c>
      <c r="E223" s="148">
        <f t="shared" si="88"/>
        <v>0</v>
      </c>
      <c r="F223" s="148">
        <f t="shared" si="88"/>
        <v>0</v>
      </c>
      <c r="G223" s="148">
        <f t="shared" si="88"/>
        <v>0</v>
      </c>
      <c r="H223" s="148">
        <f t="shared" si="88"/>
        <v>0</v>
      </c>
      <c r="I223" s="148">
        <f t="shared" si="88"/>
        <v>0</v>
      </c>
      <c r="J223" s="148">
        <f t="shared" si="88"/>
        <v>0</v>
      </c>
      <c r="K223" s="148">
        <f t="shared" si="88"/>
        <v>0</v>
      </c>
      <c r="L223" s="148">
        <f t="shared" si="88"/>
        <v>0</v>
      </c>
      <c r="M223" s="148">
        <f t="shared" si="88"/>
        <v>0</v>
      </c>
      <c r="N223" s="148">
        <f t="shared" si="88"/>
        <v>0</v>
      </c>
      <c r="O223" s="148">
        <f t="shared" si="88"/>
        <v>0</v>
      </c>
      <c r="P223" s="148">
        <f t="shared" si="88"/>
        <v>0</v>
      </c>
      <c r="Q223" s="148">
        <f t="shared" si="88"/>
        <v>0</v>
      </c>
      <c r="R223" s="148">
        <f t="shared" si="88"/>
        <v>0</v>
      </c>
      <c r="S223" s="148">
        <f t="shared" si="88"/>
        <v>0</v>
      </c>
      <c r="T223" s="148">
        <f t="shared" si="88"/>
        <v>40000000</v>
      </c>
      <c r="U223" s="148">
        <f t="shared" si="88"/>
        <v>0</v>
      </c>
      <c r="V223" s="148">
        <f t="shared" si="88"/>
        <v>0</v>
      </c>
      <c r="W223" s="148">
        <f t="shared" si="88"/>
        <v>0</v>
      </c>
      <c r="X223" s="148">
        <f t="shared" si="88"/>
        <v>0</v>
      </c>
      <c r="Y223" s="148">
        <f t="shared" si="88"/>
        <v>0</v>
      </c>
      <c r="Z223" s="148">
        <f t="shared" si="88"/>
        <v>0</v>
      </c>
      <c r="AA223" s="148">
        <f t="shared" si="88"/>
        <v>0</v>
      </c>
      <c r="AB223" s="148">
        <f t="shared" si="88"/>
        <v>0</v>
      </c>
      <c r="AC223" s="148">
        <f t="shared" si="88"/>
        <v>0</v>
      </c>
      <c r="AD223" s="148">
        <f t="shared" si="88"/>
        <v>0</v>
      </c>
      <c r="AE223" s="148">
        <f t="shared" si="88"/>
        <v>0</v>
      </c>
      <c r="AF223" s="148">
        <f t="shared" si="88"/>
        <v>0</v>
      </c>
      <c r="AG223" s="148">
        <f t="shared" si="88"/>
        <v>0</v>
      </c>
      <c r="AH223" s="148">
        <f t="shared" si="88"/>
        <v>0</v>
      </c>
      <c r="AI223" s="148">
        <f t="shared" si="88"/>
        <v>0</v>
      </c>
      <c r="AJ223" s="148">
        <f t="shared" si="88"/>
        <v>0</v>
      </c>
      <c r="AK223" s="148">
        <f t="shared" si="88"/>
        <v>0</v>
      </c>
      <c r="AL223" s="148">
        <f t="shared" si="88"/>
        <v>0</v>
      </c>
      <c r="AM223" s="148">
        <f t="shared" si="88"/>
        <v>0</v>
      </c>
      <c r="AN223" s="148">
        <f t="shared" si="88"/>
        <v>0</v>
      </c>
      <c r="AO223" s="149">
        <f t="shared" si="88"/>
        <v>0</v>
      </c>
    </row>
    <row r="224" spans="1:92" x14ac:dyDescent="0.25">
      <c r="A224" s="167" t="s">
        <v>344</v>
      </c>
      <c r="B224" s="156" t="s">
        <v>345</v>
      </c>
      <c r="C224" s="157">
        <f>SUM(D224+Y224+AE224+AJ224)</f>
        <v>40000000</v>
      </c>
      <c r="D224" s="157">
        <f>SUM(E224:X224)</f>
        <v>40000000</v>
      </c>
      <c r="E224" s="157">
        <v>0</v>
      </c>
      <c r="F224" s="157">
        <v>0</v>
      </c>
      <c r="G224" s="157">
        <v>0</v>
      </c>
      <c r="H224" s="157">
        <v>0</v>
      </c>
      <c r="I224" s="157">
        <v>0</v>
      </c>
      <c r="J224" s="157">
        <v>0</v>
      </c>
      <c r="K224" s="157">
        <v>0</v>
      </c>
      <c r="L224" s="157">
        <v>0</v>
      </c>
      <c r="M224" s="157">
        <v>0</v>
      </c>
      <c r="N224" s="157">
        <v>0</v>
      </c>
      <c r="O224" s="157">
        <v>0</v>
      </c>
      <c r="P224" s="157">
        <v>0</v>
      </c>
      <c r="Q224" s="157">
        <v>0</v>
      </c>
      <c r="R224" s="157">
        <v>0</v>
      </c>
      <c r="S224" s="157">
        <v>0</v>
      </c>
      <c r="T224" s="157">
        <v>40000000</v>
      </c>
      <c r="U224" s="157">
        <v>0</v>
      </c>
      <c r="V224" s="157">
        <v>0</v>
      </c>
      <c r="W224" s="157">
        <v>0</v>
      </c>
      <c r="X224" s="157">
        <v>0</v>
      </c>
      <c r="Y224" s="157">
        <f>SUM(Z224:AD224)</f>
        <v>0</v>
      </c>
      <c r="Z224" s="157">
        <v>0</v>
      </c>
      <c r="AA224" s="157">
        <v>0</v>
      </c>
      <c r="AB224" s="157">
        <v>0</v>
      </c>
      <c r="AC224" s="157">
        <v>0</v>
      </c>
      <c r="AD224" s="157">
        <v>0</v>
      </c>
      <c r="AE224" s="157">
        <f>SUM(AF224:AI224)</f>
        <v>0</v>
      </c>
      <c r="AF224" s="157">
        <v>0</v>
      </c>
      <c r="AG224" s="157">
        <v>0</v>
      </c>
      <c r="AH224" s="157">
        <v>0</v>
      </c>
      <c r="AI224" s="157">
        <v>0</v>
      </c>
      <c r="AJ224" s="157">
        <f>SUM(AK224:AL224)</f>
        <v>0</v>
      </c>
      <c r="AK224" s="157">
        <v>0</v>
      </c>
      <c r="AL224" s="157">
        <f>SUM(AM224:AO224)</f>
        <v>0</v>
      </c>
      <c r="AM224" s="157">
        <v>0</v>
      </c>
      <c r="AN224" s="157">
        <v>0</v>
      </c>
      <c r="AO224" s="158">
        <v>0</v>
      </c>
    </row>
    <row r="225" spans="1:92" x14ac:dyDescent="0.25">
      <c r="A225" s="160"/>
      <c r="B225" s="161"/>
      <c r="C225" s="157"/>
      <c r="D225" s="157"/>
      <c r="E225" s="157"/>
      <c r="F225" s="157"/>
      <c r="G225" s="157"/>
      <c r="H225" s="157"/>
      <c r="I225" s="157"/>
      <c r="J225" s="157"/>
      <c r="K225" s="157"/>
      <c r="L225" s="157"/>
      <c r="M225" s="157"/>
      <c r="N225" s="157"/>
      <c r="O225" s="157"/>
      <c r="P225" s="157"/>
      <c r="Q225" s="157"/>
      <c r="R225" s="157"/>
      <c r="S225" s="157"/>
      <c r="T225" s="157"/>
      <c r="U225" s="157"/>
      <c r="V225" s="157"/>
      <c r="W225" s="157"/>
      <c r="X225" s="157"/>
      <c r="Y225" s="157"/>
      <c r="Z225" s="157"/>
      <c r="AA225" s="157"/>
      <c r="AB225" s="157"/>
      <c r="AC225" s="157"/>
      <c r="AD225" s="157"/>
      <c r="AE225" s="157"/>
      <c r="AF225" s="157"/>
      <c r="AG225" s="157"/>
      <c r="AH225" s="157"/>
      <c r="AI225" s="157"/>
      <c r="AJ225" s="157"/>
      <c r="AK225" s="157"/>
      <c r="AL225" s="157"/>
      <c r="AM225" s="157"/>
      <c r="AN225" s="157"/>
      <c r="AO225" s="158"/>
    </row>
    <row r="226" spans="1:92" s="145" customFormat="1" x14ac:dyDescent="0.25">
      <c r="A226" s="165">
        <v>7</v>
      </c>
      <c r="B226" s="169" t="s">
        <v>346</v>
      </c>
      <c r="C226" s="142">
        <f>SUM(C228+C231)</f>
        <v>2690307887</v>
      </c>
      <c r="D226" s="142">
        <f t="shared" ref="D226:AO226" si="89">SUM(D228+D231)</f>
        <v>0</v>
      </c>
      <c r="E226" s="142">
        <f t="shared" si="89"/>
        <v>0</v>
      </c>
      <c r="F226" s="142">
        <f t="shared" si="89"/>
        <v>0</v>
      </c>
      <c r="G226" s="142">
        <f t="shared" si="89"/>
        <v>0</v>
      </c>
      <c r="H226" s="142">
        <f t="shared" si="89"/>
        <v>0</v>
      </c>
      <c r="I226" s="142">
        <f t="shared" si="89"/>
        <v>0</v>
      </c>
      <c r="J226" s="142">
        <f t="shared" si="89"/>
        <v>0</v>
      </c>
      <c r="K226" s="142">
        <f t="shared" si="89"/>
        <v>0</v>
      </c>
      <c r="L226" s="142">
        <f t="shared" si="89"/>
        <v>0</v>
      </c>
      <c r="M226" s="142">
        <f t="shared" si="89"/>
        <v>0</v>
      </c>
      <c r="N226" s="142">
        <f t="shared" si="89"/>
        <v>0</v>
      </c>
      <c r="O226" s="142">
        <f t="shared" si="89"/>
        <v>0</v>
      </c>
      <c r="P226" s="142">
        <f t="shared" si="89"/>
        <v>0</v>
      </c>
      <c r="Q226" s="142">
        <f t="shared" si="89"/>
        <v>0</v>
      </c>
      <c r="R226" s="142">
        <f t="shared" si="89"/>
        <v>0</v>
      </c>
      <c r="S226" s="142">
        <f t="shared" si="89"/>
        <v>0</v>
      </c>
      <c r="T226" s="142">
        <f t="shared" si="89"/>
        <v>0</v>
      </c>
      <c r="U226" s="142">
        <f t="shared" si="89"/>
        <v>0</v>
      </c>
      <c r="V226" s="142">
        <f t="shared" si="89"/>
        <v>0</v>
      </c>
      <c r="W226" s="142">
        <f t="shared" si="89"/>
        <v>0</v>
      </c>
      <c r="X226" s="142">
        <f t="shared" si="89"/>
        <v>0</v>
      </c>
      <c r="Y226" s="142">
        <f t="shared" si="89"/>
        <v>0</v>
      </c>
      <c r="Z226" s="142">
        <f t="shared" si="89"/>
        <v>0</v>
      </c>
      <c r="AA226" s="142">
        <f t="shared" si="89"/>
        <v>0</v>
      </c>
      <c r="AB226" s="142">
        <f t="shared" si="89"/>
        <v>0</v>
      </c>
      <c r="AC226" s="142">
        <f t="shared" si="89"/>
        <v>0</v>
      </c>
      <c r="AD226" s="142">
        <f t="shared" si="89"/>
        <v>0</v>
      </c>
      <c r="AE226" s="142">
        <f t="shared" si="89"/>
        <v>2690307887</v>
      </c>
      <c r="AF226" s="142">
        <f t="shared" si="89"/>
        <v>0</v>
      </c>
      <c r="AG226" s="142">
        <f t="shared" si="89"/>
        <v>482797427</v>
      </c>
      <c r="AH226" s="142">
        <f t="shared" si="89"/>
        <v>2205010460</v>
      </c>
      <c r="AI226" s="142">
        <f t="shared" si="89"/>
        <v>2500000</v>
      </c>
      <c r="AJ226" s="142">
        <f t="shared" si="89"/>
        <v>0</v>
      </c>
      <c r="AK226" s="142">
        <f t="shared" si="89"/>
        <v>0</v>
      </c>
      <c r="AL226" s="142">
        <f t="shared" si="89"/>
        <v>0</v>
      </c>
      <c r="AM226" s="142">
        <f t="shared" si="89"/>
        <v>0</v>
      </c>
      <c r="AN226" s="142">
        <f t="shared" si="89"/>
        <v>0</v>
      </c>
      <c r="AO226" s="143">
        <f t="shared" si="89"/>
        <v>0</v>
      </c>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c r="CN226" s="144"/>
    </row>
    <row r="227" spans="1:92" s="145" customFormat="1" x14ac:dyDescent="0.25">
      <c r="A227" s="165"/>
      <c r="B227" s="169"/>
      <c r="C227" s="142"/>
      <c r="D227" s="142"/>
      <c r="E227" s="142"/>
      <c r="F227" s="142"/>
      <c r="G227" s="142"/>
      <c r="H227" s="142"/>
      <c r="I227" s="142"/>
      <c r="J227" s="142"/>
      <c r="K227" s="142"/>
      <c r="L227" s="142"/>
      <c r="M227" s="142"/>
      <c r="N227" s="142"/>
      <c r="O227" s="142"/>
      <c r="P227" s="142"/>
      <c r="Q227" s="142"/>
      <c r="R227" s="142"/>
      <c r="S227" s="142"/>
      <c r="T227" s="142"/>
      <c r="U227" s="142"/>
      <c r="V227" s="142"/>
      <c r="W227" s="142"/>
      <c r="X227" s="142"/>
      <c r="Y227" s="142"/>
      <c r="Z227" s="142"/>
      <c r="AA227" s="142"/>
      <c r="AB227" s="142"/>
      <c r="AC227" s="142"/>
      <c r="AD227" s="142"/>
      <c r="AE227" s="142"/>
      <c r="AF227" s="142"/>
      <c r="AG227" s="142"/>
      <c r="AH227" s="142"/>
      <c r="AI227" s="142"/>
      <c r="AJ227" s="142"/>
      <c r="AK227" s="142"/>
      <c r="AL227" s="142"/>
      <c r="AM227" s="142"/>
      <c r="AN227" s="142"/>
      <c r="AO227" s="143"/>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c r="CN227" s="144"/>
    </row>
    <row r="228" spans="1:92" s="145" customFormat="1" x14ac:dyDescent="0.25">
      <c r="A228" s="176" t="s">
        <v>347</v>
      </c>
      <c r="B228" s="162" t="s">
        <v>348</v>
      </c>
      <c r="C228" s="142">
        <f>SUM(C229)</f>
        <v>32500000</v>
      </c>
      <c r="D228" s="142">
        <f t="shared" ref="D228:AO228" si="90">SUM(D229)</f>
        <v>0</v>
      </c>
      <c r="E228" s="142">
        <f t="shared" si="90"/>
        <v>0</v>
      </c>
      <c r="F228" s="142">
        <f t="shared" si="90"/>
        <v>0</v>
      </c>
      <c r="G228" s="142">
        <f t="shared" si="90"/>
        <v>0</v>
      </c>
      <c r="H228" s="142">
        <f t="shared" si="90"/>
        <v>0</v>
      </c>
      <c r="I228" s="142">
        <f t="shared" si="90"/>
        <v>0</v>
      </c>
      <c r="J228" s="142">
        <f t="shared" si="90"/>
        <v>0</v>
      </c>
      <c r="K228" s="142">
        <f t="shared" si="90"/>
        <v>0</v>
      </c>
      <c r="L228" s="142">
        <f t="shared" si="90"/>
        <v>0</v>
      </c>
      <c r="M228" s="142">
        <f t="shared" si="90"/>
        <v>0</v>
      </c>
      <c r="N228" s="142">
        <f t="shared" si="90"/>
        <v>0</v>
      </c>
      <c r="O228" s="142">
        <f t="shared" si="90"/>
        <v>0</v>
      </c>
      <c r="P228" s="142">
        <f t="shared" si="90"/>
        <v>0</v>
      </c>
      <c r="Q228" s="142">
        <f t="shared" si="90"/>
        <v>0</v>
      </c>
      <c r="R228" s="142">
        <f t="shared" si="90"/>
        <v>0</v>
      </c>
      <c r="S228" s="142">
        <f t="shared" si="90"/>
        <v>0</v>
      </c>
      <c r="T228" s="142">
        <f t="shared" si="90"/>
        <v>0</v>
      </c>
      <c r="U228" s="142">
        <f t="shared" si="90"/>
        <v>0</v>
      </c>
      <c r="V228" s="142">
        <f t="shared" si="90"/>
        <v>0</v>
      </c>
      <c r="W228" s="142">
        <f t="shared" si="90"/>
        <v>0</v>
      </c>
      <c r="X228" s="142">
        <f t="shared" si="90"/>
        <v>0</v>
      </c>
      <c r="Y228" s="142">
        <f t="shared" si="90"/>
        <v>0</v>
      </c>
      <c r="Z228" s="142">
        <f t="shared" si="90"/>
        <v>0</v>
      </c>
      <c r="AA228" s="142">
        <f t="shared" si="90"/>
        <v>0</v>
      </c>
      <c r="AB228" s="142">
        <f t="shared" si="90"/>
        <v>0</v>
      </c>
      <c r="AC228" s="142">
        <f t="shared" si="90"/>
        <v>0</v>
      </c>
      <c r="AD228" s="142">
        <f t="shared" si="90"/>
        <v>0</v>
      </c>
      <c r="AE228" s="142">
        <f t="shared" si="90"/>
        <v>32500000</v>
      </c>
      <c r="AF228" s="142">
        <f t="shared" si="90"/>
        <v>0</v>
      </c>
      <c r="AG228" s="142">
        <f t="shared" si="90"/>
        <v>5000000</v>
      </c>
      <c r="AH228" s="142">
        <f t="shared" si="90"/>
        <v>25000000</v>
      </c>
      <c r="AI228" s="142">
        <f t="shared" si="90"/>
        <v>2500000</v>
      </c>
      <c r="AJ228" s="142">
        <f t="shared" si="90"/>
        <v>0</v>
      </c>
      <c r="AK228" s="142">
        <f t="shared" si="90"/>
        <v>0</v>
      </c>
      <c r="AL228" s="142">
        <f t="shared" si="90"/>
        <v>0</v>
      </c>
      <c r="AM228" s="142">
        <f t="shared" si="90"/>
        <v>0</v>
      </c>
      <c r="AN228" s="142">
        <f t="shared" si="90"/>
        <v>0</v>
      </c>
      <c r="AO228" s="143">
        <f t="shared" si="90"/>
        <v>0</v>
      </c>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c r="CN228" s="144"/>
    </row>
    <row r="229" spans="1:92" x14ac:dyDescent="0.25">
      <c r="A229" s="167" t="s">
        <v>349</v>
      </c>
      <c r="B229" s="183" t="s">
        <v>350</v>
      </c>
      <c r="C229" s="157">
        <f>SUM(D229+Y229+AE229+AJ229)</f>
        <v>32500000</v>
      </c>
      <c r="D229" s="157">
        <f>SUM(E229:X229)</f>
        <v>0</v>
      </c>
      <c r="E229" s="157">
        <v>0</v>
      </c>
      <c r="F229" s="157">
        <v>0</v>
      </c>
      <c r="G229" s="157">
        <v>0</v>
      </c>
      <c r="H229" s="157">
        <v>0</v>
      </c>
      <c r="I229" s="157">
        <v>0</v>
      </c>
      <c r="J229" s="157">
        <v>0</v>
      </c>
      <c r="K229" s="157">
        <v>0</v>
      </c>
      <c r="L229" s="157">
        <v>0</v>
      </c>
      <c r="M229" s="157">
        <v>0</v>
      </c>
      <c r="N229" s="157">
        <v>0</v>
      </c>
      <c r="O229" s="157">
        <v>0</v>
      </c>
      <c r="P229" s="157">
        <v>0</v>
      </c>
      <c r="Q229" s="157">
        <v>0</v>
      </c>
      <c r="R229" s="157">
        <v>0</v>
      </c>
      <c r="S229" s="157">
        <v>0</v>
      </c>
      <c r="T229" s="157">
        <v>0</v>
      </c>
      <c r="U229" s="157">
        <v>0</v>
      </c>
      <c r="V229" s="157">
        <v>0</v>
      </c>
      <c r="W229" s="157">
        <v>0</v>
      </c>
      <c r="X229" s="157">
        <v>0</v>
      </c>
      <c r="Y229" s="157">
        <f>SUM(Z229:AD229)</f>
        <v>0</v>
      </c>
      <c r="Z229" s="157">
        <v>0</v>
      </c>
      <c r="AA229" s="157">
        <v>0</v>
      </c>
      <c r="AB229" s="157">
        <v>0</v>
      </c>
      <c r="AC229" s="157">
        <v>0</v>
      </c>
      <c r="AD229" s="157">
        <v>0</v>
      </c>
      <c r="AE229" s="157">
        <f>SUM(AF229:AI229)</f>
        <v>32500000</v>
      </c>
      <c r="AF229" s="157">
        <v>0</v>
      </c>
      <c r="AG229" s="157">
        <v>5000000</v>
      </c>
      <c r="AH229" s="157">
        <f>5000000+20000000</f>
        <v>25000000</v>
      </c>
      <c r="AI229" s="157">
        <f>2500000</f>
        <v>2500000</v>
      </c>
      <c r="AJ229" s="157">
        <f>SUM(AK229:AL229)</f>
        <v>0</v>
      </c>
      <c r="AK229" s="157">
        <v>0</v>
      </c>
      <c r="AL229" s="157">
        <f>SUM(AM229:AO229)</f>
        <v>0</v>
      </c>
      <c r="AM229" s="157">
        <v>0</v>
      </c>
      <c r="AN229" s="157">
        <v>0</v>
      </c>
      <c r="AO229" s="158">
        <v>0</v>
      </c>
    </row>
    <row r="230" spans="1:92" x14ac:dyDescent="0.25">
      <c r="A230" s="160"/>
      <c r="B230" s="161"/>
      <c r="C230" s="157"/>
      <c r="D230" s="157"/>
      <c r="E230" s="157"/>
      <c r="F230" s="157"/>
      <c r="G230" s="157"/>
      <c r="H230" s="157"/>
      <c r="I230" s="157"/>
      <c r="J230" s="157"/>
      <c r="K230" s="157"/>
      <c r="L230" s="157"/>
      <c r="M230" s="157"/>
      <c r="N230" s="157"/>
      <c r="O230" s="157"/>
      <c r="P230" s="157"/>
      <c r="Q230" s="157"/>
      <c r="R230" s="157"/>
      <c r="S230" s="157"/>
      <c r="T230" s="157"/>
      <c r="U230" s="157"/>
      <c r="V230" s="157"/>
      <c r="W230" s="157"/>
      <c r="X230" s="157"/>
      <c r="Y230" s="157"/>
      <c r="Z230" s="157"/>
      <c r="AA230" s="157"/>
      <c r="AB230" s="157"/>
      <c r="AC230" s="157"/>
      <c r="AD230" s="157"/>
      <c r="AE230" s="157"/>
      <c r="AF230" s="157"/>
      <c r="AG230" s="157"/>
      <c r="AH230" s="157"/>
      <c r="AI230" s="157"/>
      <c r="AJ230" s="157"/>
      <c r="AK230" s="157"/>
      <c r="AL230" s="157"/>
      <c r="AM230" s="157"/>
      <c r="AN230" s="157"/>
      <c r="AO230" s="158"/>
    </row>
    <row r="231" spans="1:92" x14ac:dyDescent="0.25">
      <c r="A231" s="176" t="s">
        <v>351</v>
      </c>
      <c r="B231" s="162" t="s">
        <v>352</v>
      </c>
      <c r="C231" s="148">
        <f t="shared" ref="C231:AO231" si="91">SUM(C232:C234)</f>
        <v>2657807887</v>
      </c>
      <c r="D231" s="148">
        <f t="shared" si="91"/>
        <v>0</v>
      </c>
      <c r="E231" s="148">
        <f t="shared" si="91"/>
        <v>0</v>
      </c>
      <c r="F231" s="148">
        <f t="shared" si="91"/>
        <v>0</v>
      </c>
      <c r="G231" s="148">
        <f t="shared" si="91"/>
        <v>0</v>
      </c>
      <c r="H231" s="148">
        <f t="shared" si="91"/>
        <v>0</v>
      </c>
      <c r="I231" s="148">
        <f t="shared" si="91"/>
        <v>0</v>
      </c>
      <c r="J231" s="148">
        <f t="shared" si="91"/>
        <v>0</v>
      </c>
      <c r="K231" s="148">
        <f t="shared" si="91"/>
        <v>0</v>
      </c>
      <c r="L231" s="148">
        <f t="shared" si="91"/>
        <v>0</v>
      </c>
      <c r="M231" s="148">
        <f t="shared" si="91"/>
        <v>0</v>
      </c>
      <c r="N231" s="148">
        <f t="shared" si="91"/>
        <v>0</v>
      </c>
      <c r="O231" s="148">
        <f t="shared" si="91"/>
        <v>0</v>
      </c>
      <c r="P231" s="148">
        <f t="shared" si="91"/>
        <v>0</v>
      </c>
      <c r="Q231" s="148">
        <f t="shared" si="91"/>
        <v>0</v>
      </c>
      <c r="R231" s="148">
        <f t="shared" si="91"/>
        <v>0</v>
      </c>
      <c r="S231" s="148">
        <f t="shared" si="91"/>
        <v>0</v>
      </c>
      <c r="T231" s="148">
        <f t="shared" si="91"/>
        <v>0</v>
      </c>
      <c r="U231" s="148">
        <f t="shared" si="91"/>
        <v>0</v>
      </c>
      <c r="V231" s="148">
        <f t="shared" si="91"/>
        <v>0</v>
      </c>
      <c r="W231" s="148">
        <f t="shared" si="91"/>
        <v>0</v>
      </c>
      <c r="X231" s="148">
        <f t="shared" si="91"/>
        <v>0</v>
      </c>
      <c r="Y231" s="148">
        <f t="shared" si="91"/>
        <v>0</v>
      </c>
      <c r="Z231" s="148">
        <f t="shared" si="91"/>
        <v>0</v>
      </c>
      <c r="AA231" s="148">
        <f t="shared" si="91"/>
        <v>0</v>
      </c>
      <c r="AB231" s="148">
        <f t="shared" si="91"/>
        <v>0</v>
      </c>
      <c r="AC231" s="148">
        <f t="shared" si="91"/>
        <v>0</v>
      </c>
      <c r="AD231" s="148">
        <f t="shared" si="91"/>
        <v>0</v>
      </c>
      <c r="AE231" s="148">
        <f t="shared" si="91"/>
        <v>2657807887</v>
      </c>
      <c r="AF231" s="148">
        <f t="shared" si="91"/>
        <v>0</v>
      </c>
      <c r="AG231" s="148">
        <f t="shared" si="91"/>
        <v>477797427</v>
      </c>
      <c r="AH231" s="148">
        <f t="shared" si="91"/>
        <v>2180010460</v>
      </c>
      <c r="AI231" s="148">
        <f t="shared" si="91"/>
        <v>0</v>
      </c>
      <c r="AJ231" s="148">
        <f t="shared" si="91"/>
        <v>0</v>
      </c>
      <c r="AK231" s="148">
        <f t="shared" si="91"/>
        <v>0</v>
      </c>
      <c r="AL231" s="148">
        <f t="shared" si="91"/>
        <v>0</v>
      </c>
      <c r="AM231" s="148">
        <f t="shared" si="91"/>
        <v>0</v>
      </c>
      <c r="AN231" s="148">
        <f t="shared" si="91"/>
        <v>0</v>
      </c>
      <c r="AO231" s="149">
        <f t="shared" si="91"/>
        <v>0</v>
      </c>
    </row>
    <row r="232" spans="1:92" x14ac:dyDescent="0.25">
      <c r="A232" s="167" t="s">
        <v>353</v>
      </c>
      <c r="B232" s="156" t="s">
        <v>354</v>
      </c>
      <c r="C232" s="157">
        <f>SUM(D232+Y232+AE232+AJ232)</f>
        <v>339165212</v>
      </c>
      <c r="D232" s="157">
        <f>SUM(E232:X232)</f>
        <v>0</v>
      </c>
      <c r="E232" s="157">
        <v>0</v>
      </c>
      <c r="F232" s="157">
        <v>0</v>
      </c>
      <c r="G232" s="157">
        <v>0</v>
      </c>
      <c r="H232" s="157">
        <v>0</v>
      </c>
      <c r="I232" s="157">
        <v>0</v>
      </c>
      <c r="J232" s="157">
        <v>0</v>
      </c>
      <c r="K232" s="157">
        <v>0</v>
      </c>
      <c r="L232" s="157">
        <v>0</v>
      </c>
      <c r="M232" s="157">
        <v>0</v>
      </c>
      <c r="N232" s="157">
        <v>0</v>
      </c>
      <c r="O232" s="157">
        <v>0</v>
      </c>
      <c r="P232" s="157">
        <v>0</v>
      </c>
      <c r="Q232" s="157">
        <v>0</v>
      </c>
      <c r="R232" s="157">
        <v>0</v>
      </c>
      <c r="S232" s="157">
        <v>0</v>
      </c>
      <c r="T232" s="157">
        <v>0</v>
      </c>
      <c r="U232" s="157">
        <v>0</v>
      </c>
      <c r="V232" s="157">
        <v>0</v>
      </c>
      <c r="W232" s="157">
        <v>0</v>
      </c>
      <c r="X232" s="157">
        <v>0</v>
      </c>
      <c r="Y232" s="157">
        <f>SUM(Z232:AD232)</f>
        <v>0</v>
      </c>
      <c r="Z232" s="157">
        <v>0</v>
      </c>
      <c r="AA232" s="157">
        <v>0</v>
      </c>
      <c r="AB232" s="157">
        <v>0</v>
      </c>
      <c r="AC232" s="157">
        <v>0</v>
      </c>
      <c r="AD232" s="157">
        <v>0</v>
      </c>
      <c r="AE232" s="157">
        <f>SUM(AF232:AI232)</f>
        <v>339165212</v>
      </c>
      <c r="AF232" s="157">
        <v>0</v>
      </c>
      <c r="AG232" s="157">
        <v>0</v>
      </c>
      <c r="AH232" s="157">
        <f>15000000+324165212</f>
        <v>339165212</v>
      </c>
      <c r="AI232" s="157">
        <v>0</v>
      </c>
      <c r="AJ232" s="157">
        <f>SUM(AK232:AL232)</f>
        <v>0</v>
      </c>
      <c r="AK232" s="157">
        <v>0</v>
      </c>
      <c r="AL232" s="157">
        <f>SUM(AM232:AO232)</f>
        <v>0</v>
      </c>
      <c r="AM232" s="157">
        <v>0</v>
      </c>
      <c r="AN232" s="157">
        <v>0</v>
      </c>
      <c r="AO232" s="158">
        <v>0</v>
      </c>
    </row>
    <row r="233" spans="1:92" x14ac:dyDescent="0.25">
      <c r="A233" s="167" t="s">
        <v>355</v>
      </c>
      <c r="B233" s="156" t="s">
        <v>356</v>
      </c>
      <c r="C233" s="157">
        <f>SUM(D233+Y233+AE233+AJ233)</f>
        <v>1840845248</v>
      </c>
      <c r="D233" s="157">
        <f>SUM(E233:X233)</f>
        <v>0</v>
      </c>
      <c r="E233" s="157">
        <v>0</v>
      </c>
      <c r="F233" s="157">
        <v>0</v>
      </c>
      <c r="G233" s="157">
        <v>0</v>
      </c>
      <c r="H233" s="157">
        <v>0</v>
      </c>
      <c r="I233" s="157">
        <v>0</v>
      </c>
      <c r="J233" s="157">
        <v>0</v>
      </c>
      <c r="K233" s="157">
        <v>0</v>
      </c>
      <c r="L233" s="157">
        <v>0</v>
      </c>
      <c r="M233" s="157">
        <v>0</v>
      </c>
      <c r="N233" s="157">
        <v>0</v>
      </c>
      <c r="O233" s="157">
        <v>0</v>
      </c>
      <c r="P233" s="157">
        <v>0</v>
      </c>
      <c r="Q233" s="157">
        <v>0</v>
      </c>
      <c r="R233" s="157">
        <v>0</v>
      </c>
      <c r="S233" s="157">
        <v>0</v>
      </c>
      <c r="T233" s="157">
        <v>0</v>
      </c>
      <c r="U233" s="157">
        <v>0</v>
      </c>
      <c r="V233" s="157">
        <v>0</v>
      </c>
      <c r="W233" s="157">
        <v>0</v>
      </c>
      <c r="X233" s="157">
        <v>0</v>
      </c>
      <c r="Y233" s="157">
        <f>SUM(Z233:AD233)</f>
        <v>0</v>
      </c>
      <c r="Z233" s="157">
        <v>0</v>
      </c>
      <c r="AA233" s="157">
        <v>0</v>
      </c>
      <c r="AB233" s="157">
        <v>0</v>
      </c>
      <c r="AC233" s="157">
        <v>0</v>
      </c>
      <c r="AD233" s="157">
        <v>0</v>
      </c>
      <c r="AE233" s="157">
        <f>SUM(AF233:AI233)</f>
        <v>1840845248</v>
      </c>
      <c r="AF233" s="157">
        <v>0</v>
      </c>
      <c r="AG233" s="157">
        <v>0</v>
      </c>
      <c r="AH233" s="157">
        <f>30000000+1810845248</f>
        <v>1840845248</v>
      </c>
      <c r="AI233" s="157">
        <v>0</v>
      </c>
      <c r="AJ233" s="157">
        <f>SUM(AK233:AL233)</f>
        <v>0</v>
      </c>
      <c r="AK233" s="157">
        <v>0</v>
      </c>
      <c r="AL233" s="157">
        <f>SUM(AM233:AO233)</f>
        <v>0</v>
      </c>
      <c r="AM233" s="157">
        <v>0</v>
      </c>
      <c r="AN233" s="157">
        <v>0</v>
      </c>
      <c r="AO233" s="158">
        <v>0</v>
      </c>
    </row>
    <row r="234" spans="1:92" x14ac:dyDescent="0.25">
      <c r="A234" s="167" t="s">
        <v>357</v>
      </c>
      <c r="B234" s="161" t="s">
        <v>358</v>
      </c>
      <c r="C234" s="157">
        <f>SUM(D234+Y234+AE234+AJ234)</f>
        <v>477797427</v>
      </c>
      <c r="D234" s="157">
        <f>SUM(E234:X234)</f>
        <v>0</v>
      </c>
      <c r="E234" s="157">
        <v>0</v>
      </c>
      <c r="F234" s="157">
        <v>0</v>
      </c>
      <c r="G234" s="157">
        <v>0</v>
      </c>
      <c r="H234" s="157">
        <v>0</v>
      </c>
      <c r="I234" s="157">
        <v>0</v>
      </c>
      <c r="J234" s="157">
        <v>0</v>
      </c>
      <c r="K234" s="157">
        <v>0</v>
      </c>
      <c r="L234" s="157">
        <v>0</v>
      </c>
      <c r="M234" s="157">
        <v>0</v>
      </c>
      <c r="N234" s="157">
        <v>0</v>
      </c>
      <c r="O234" s="157">
        <v>0</v>
      </c>
      <c r="P234" s="157">
        <v>0</v>
      </c>
      <c r="Q234" s="157">
        <v>0</v>
      </c>
      <c r="R234" s="157">
        <v>0</v>
      </c>
      <c r="S234" s="157">
        <v>0</v>
      </c>
      <c r="T234" s="157">
        <v>0</v>
      </c>
      <c r="U234" s="157">
        <v>0</v>
      </c>
      <c r="V234" s="157">
        <v>0</v>
      </c>
      <c r="W234" s="157">
        <v>0</v>
      </c>
      <c r="X234" s="157">
        <v>0</v>
      </c>
      <c r="Y234" s="157">
        <f>SUM(Z234:AD234)</f>
        <v>0</v>
      </c>
      <c r="Z234" s="157">
        <v>0</v>
      </c>
      <c r="AA234" s="157">
        <v>0</v>
      </c>
      <c r="AB234" s="157">
        <v>0</v>
      </c>
      <c r="AC234" s="157">
        <v>0</v>
      </c>
      <c r="AD234" s="157">
        <v>0</v>
      </c>
      <c r="AE234" s="157">
        <f>SUM(AF234:AI234)</f>
        <v>477797427</v>
      </c>
      <c r="AF234" s="157">
        <v>0</v>
      </c>
      <c r="AG234" s="157">
        <v>477797427</v>
      </c>
      <c r="AH234" s="157">
        <v>0</v>
      </c>
      <c r="AI234" s="157">
        <v>0</v>
      </c>
      <c r="AJ234" s="157">
        <f>SUM(AK234:AL234)</f>
        <v>0</v>
      </c>
      <c r="AK234" s="157">
        <v>0</v>
      </c>
      <c r="AL234" s="157">
        <f>SUM(AM234:AO234)</f>
        <v>0</v>
      </c>
      <c r="AM234" s="157">
        <v>0</v>
      </c>
      <c r="AN234" s="157">
        <v>0</v>
      </c>
      <c r="AO234" s="158">
        <v>0</v>
      </c>
    </row>
    <row r="235" spans="1:92" x14ac:dyDescent="0.25">
      <c r="A235" s="160"/>
      <c r="B235" s="161"/>
      <c r="C235" s="157"/>
      <c r="D235" s="157"/>
      <c r="E235" s="157"/>
      <c r="F235" s="157"/>
      <c r="G235" s="157"/>
      <c r="H235" s="157"/>
      <c r="I235" s="157"/>
      <c r="J235" s="157"/>
      <c r="K235" s="157"/>
      <c r="L235" s="157"/>
      <c r="M235" s="157"/>
      <c r="N235" s="157"/>
      <c r="O235" s="157"/>
      <c r="P235" s="157"/>
      <c r="Q235" s="157"/>
      <c r="R235" s="157"/>
      <c r="S235" s="157"/>
      <c r="T235" s="157"/>
      <c r="U235" s="157"/>
      <c r="V235" s="157"/>
      <c r="W235" s="157"/>
      <c r="X235" s="157"/>
      <c r="Y235" s="157"/>
      <c r="Z235" s="157"/>
      <c r="AA235" s="157"/>
      <c r="AB235" s="157"/>
      <c r="AC235" s="157"/>
      <c r="AD235" s="157"/>
      <c r="AE235" s="157"/>
      <c r="AF235" s="157"/>
      <c r="AG235" s="157"/>
      <c r="AH235" s="157"/>
      <c r="AI235" s="157"/>
      <c r="AJ235" s="157"/>
      <c r="AK235" s="157"/>
      <c r="AL235" s="157"/>
      <c r="AM235" s="157"/>
      <c r="AN235" s="157"/>
      <c r="AO235" s="158"/>
    </row>
    <row r="236" spans="1:92" s="145" customFormat="1" x14ac:dyDescent="0.25">
      <c r="A236" s="178">
        <v>8</v>
      </c>
      <c r="B236" s="184" t="s">
        <v>359</v>
      </c>
      <c r="C236" s="142">
        <f>SUM(C237)</f>
        <v>11046250706</v>
      </c>
      <c r="D236" s="142">
        <f t="shared" ref="D236:AO236" si="92">SUM(D237)</f>
        <v>0</v>
      </c>
      <c r="E236" s="142">
        <f t="shared" si="92"/>
        <v>0</v>
      </c>
      <c r="F236" s="142">
        <f t="shared" si="92"/>
        <v>0</v>
      </c>
      <c r="G236" s="142">
        <f t="shared" si="92"/>
        <v>0</v>
      </c>
      <c r="H236" s="142">
        <f t="shared" si="92"/>
        <v>0</v>
      </c>
      <c r="I236" s="142">
        <f t="shared" si="92"/>
        <v>0</v>
      </c>
      <c r="J236" s="142">
        <f t="shared" si="92"/>
        <v>0</v>
      </c>
      <c r="K236" s="142">
        <f t="shared" si="92"/>
        <v>0</v>
      </c>
      <c r="L236" s="142">
        <f t="shared" si="92"/>
        <v>0</v>
      </c>
      <c r="M236" s="142">
        <f t="shared" si="92"/>
        <v>0</v>
      </c>
      <c r="N236" s="142">
        <f t="shared" si="92"/>
        <v>0</v>
      </c>
      <c r="O236" s="142">
        <f t="shared" si="92"/>
        <v>0</v>
      </c>
      <c r="P236" s="142">
        <f t="shared" si="92"/>
        <v>0</v>
      </c>
      <c r="Q236" s="142">
        <f t="shared" si="92"/>
        <v>0</v>
      </c>
      <c r="R236" s="142">
        <f t="shared" si="92"/>
        <v>0</v>
      </c>
      <c r="S236" s="142">
        <f t="shared" si="92"/>
        <v>0</v>
      </c>
      <c r="T236" s="142">
        <f t="shared" si="92"/>
        <v>0</v>
      </c>
      <c r="U236" s="142">
        <f t="shared" si="92"/>
        <v>0</v>
      </c>
      <c r="V236" s="142">
        <f t="shared" si="92"/>
        <v>0</v>
      </c>
      <c r="W236" s="142">
        <f t="shared" si="92"/>
        <v>0</v>
      </c>
      <c r="X236" s="142">
        <f t="shared" si="92"/>
        <v>0</v>
      </c>
      <c r="Y236" s="142">
        <f t="shared" si="92"/>
        <v>0</v>
      </c>
      <c r="Z236" s="142">
        <f t="shared" si="92"/>
        <v>0</v>
      </c>
      <c r="AA236" s="142">
        <f t="shared" si="92"/>
        <v>0</v>
      </c>
      <c r="AB236" s="142">
        <f t="shared" si="92"/>
        <v>0</v>
      </c>
      <c r="AC236" s="142">
        <f t="shared" si="92"/>
        <v>0</v>
      </c>
      <c r="AD236" s="142">
        <f t="shared" si="92"/>
        <v>0</v>
      </c>
      <c r="AE236" s="142">
        <f t="shared" si="92"/>
        <v>0</v>
      </c>
      <c r="AF236" s="142">
        <f t="shared" si="92"/>
        <v>0</v>
      </c>
      <c r="AG236" s="142">
        <f t="shared" si="92"/>
        <v>0</v>
      </c>
      <c r="AH236" s="142">
        <f t="shared" si="92"/>
        <v>0</v>
      </c>
      <c r="AI236" s="142">
        <f t="shared" si="92"/>
        <v>0</v>
      </c>
      <c r="AJ236" s="142">
        <f t="shared" si="92"/>
        <v>11046250706</v>
      </c>
      <c r="AK236" s="142">
        <f t="shared" si="92"/>
        <v>11046250706</v>
      </c>
      <c r="AL236" s="142">
        <f t="shared" si="92"/>
        <v>0</v>
      </c>
      <c r="AM236" s="142">
        <f t="shared" si="92"/>
        <v>0</v>
      </c>
      <c r="AN236" s="142">
        <f t="shared" si="92"/>
        <v>0</v>
      </c>
      <c r="AO236" s="143">
        <f t="shared" si="92"/>
        <v>0</v>
      </c>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c r="CN236" s="144"/>
    </row>
    <row r="237" spans="1:92" s="145" customFormat="1" x14ac:dyDescent="0.25">
      <c r="A237" s="176" t="s">
        <v>360</v>
      </c>
      <c r="B237" s="184" t="s">
        <v>361</v>
      </c>
      <c r="C237" s="142">
        <f>SUM(C238:C239)</f>
        <v>11046250706</v>
      </c>
      <c r="D237" s="142">
        <f t="shared" ref="D237:AO237" si="93">SUM(D238:D239)</f>
        <v>0</v>
      </c>
      <c r="E237" s="142">
        <f t="shared" si="93"/>
        <v>0</v>
      </c>
      <c r="F237" s="142">
        <f t="shared" si="93"/>
        <v>0</v>
      </c>
      <c r="G237" s="142">
        <f t="shared" si="93"/>
        <v>0</v>
      </c>
      <c r="H237" s="142">
        <f t="shared" si="93"/>
        <v>0</v>
      </c>
      <c r="I237" s="142">
        <f t="shared" si="93"/>
        <v>0</v>
      </c>
      <c r="J237" s="142">
        <f t="shared" si="93"/>
        <v>0</v>
      </c>
      <c r="K237" s="142">
        <f t="shared" si="93"/>
        <v>0</v>
      </c>
      <c r="L237" s="142">
        <f t="shared" si="93"/>
        <v>0</v>
      </c>
      <c r="M237" s="142">
        <f t="shared" si="93"/>
        <v>0</v>
      </c>
      <c r="N237" s="142">
        <f t="shared" si="93"/>
        <v>0</v>
      </c>
      <c r="O237" s="142">
        <f t="shared" si="93"/>
        <v>0</v>
      </c>
      <c r="P237" s="142">
        <f t="shared" si="93"/>
        <v>0</v>
      </c>
      <c r="Q237" s="142">
        <f t="shared" si="93"/>
        <v>0</v>
      </c>
      <c r="R237" s="142">
        <f t="shared" si="93"/>
        <v>0</v>
      </c>
      <c r="S237" s="142">
        <f t="shared" si="93"/>
        <v>0</v>
      </c>
      <c r="T237" s="142">
        <f t="shared" si="93"/>
        <v>0</v>
      </c>
      <c r="U237" s="142">
        <f t="shared" si="93"/>
        <v>0</v>
      </c>
      <c r="V237" s="142">
        <f t="shared" si="93"/>
        <v>0</v>
      </c>
      <c r="W237" s="142">
        <f t="shared" si="93"/>
        <v>0</v>
      </c>
      <c r="X237" s="142">
        <f t="shared" si="93"/>
        <v>0</v>
      </c>
      <c r="Y237" s="142">
        <f t="shared" si="93"/>
        <v>0</v>
      </c>
      <c r="Z237" s="142">
        <f t="shared" si="93"/>
        <v>0</v>
      </c>
      <c r="AA237" s="142">
        <f t="shared" si="93"/>
        <v>0</v>
      </c>
      <c r="AB237" s="142">
        <f t="shared" si="93"/>
        <v>0</v>
      </c>
      <c r="AC237" s="142">
        <f t="shared" si="93"/>
        <v>0</v>
      </c>
      <c r="AD237" s="142">
        <f t="shared" si="93"/>
        <v>0</v>
      </c>
      <c r="AE237" s="142">
        <f t="shared" si="93"/>
        <v>0</v>
      </c>
      <c r="AF237" s="142">
        <f t="shared" si="93"/>
        <v>0</v>
      </c>
      <c r="AG237" s="142">
        <f t="shared" si="93"/>
        <v>0</v>
      </c>
      <c r="AH237" s="142">
        <f t="shared" si="93"/>
        <v>0</v>
      </c>
      <c r="AI237" s="142">
        <f t="shared" si="93"/>
        <v>0</v>
      </c>
      <c r="AJ237" s="142">
        <f t="shared" si="93"/>
        <v>11046250706</v>
      </c>
      <c r="AK237" s="142">
        <f t="shared" si="93"/>
        <v>11046250706</v>
      </c>
      <c r="AL237" s="142">
        <f t="shared" si="93"/>
        <v>0</v>
      </c>
      <c r="AM237" s="142">
        <f t="shared" si="93"/>
        <v>0</v>
      </c>
      <c r="AN237" s="142">
        <f t="shared" si="93"/>
        <v>0</v>
      </c>
      <c r="AO237" s="143">
        <f t="shared" si="93"/>
        <v>0</v>
      </c>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c r="CN237" s="144"/>
    </row>
    <row r="238" spans="1:92" x14ac:dyDescent="0.25">
      <c r="A238" s="160" t="s">
        <v>362</v>
      </c>
      <c r="B238" s="161" t="s">
        <v>363</v>
      </c>
      <c r="C238" s="157">
        <f>SUM(D238+Y238+AE238+AJ238)</f>
        <v>2519414838</v>
      </c>
      <c r="D238" s="157">
        <f>SUM(E238:X238)</f>
        <v>0</v>
      </c>
      <c r="E238" s="157">
        <v>0</v>
      </c>
      <c r="F238" s="157">
        <v>0</v>
      </c>
      <c r="G238" s="157">
        <v>0</v>
      </c>
      <c r="H238" s="157">
        <v>0</v>
      </c>
      <c r="I238" s="157">
        <v>0</v>
      </c>
      <c r="J238" s="157">
        <v>0</v>
      </c>
      <c r="K238" s="157">
        <v>0</v>
      </c>
      <c r="L238" s="157">
        <v>0</v>
      </c>
      <c r="M238" s="157">
        <v>0</v>
      </c>
      <c r="N238" s="157">
        <v>0</v>
      </c>
      <c r="O238" s="157">
        <v>0</v>
      </c>
      <c r="P238" s="157">
        <v>0</v>
      </c>
      <c r="Q238" s="157">
        <v>0</v>
      </c>
      <c r="R238" s="157">
        <v>0</v>
      </c>
      <c r="S238" s="157">
        <v>0</v>
      </c>
      <c r="T238" s="157">
        <v>0</v>
      </c>
      <c r="U238" s="157">
        <v>0</v>
      </c>
      <c r="V238" s="157">
        <v>0</v>
      </c>
      <c r="W238" s="157">
        <v>0</v>
      </c>
      <c r="X238" s="157">
        <v>0</v>
      </c>
      <c r="Y238" s="157">
        <f>SUM(Z238:AD238)</f>
        <v>0</v>
      </c>
      <c r="Z238" s="157">
        <v>0</v>
      </c>
      <c r="AA238" s="157">
        <v>0</v>
      </c>
      <c r="AB238" s="157">
        <v>0</v>
      </c>
      <c r="AC238" s="157">
        <v>0</v>
      </c>
      <c r="AD238" s="157">
        <v>0</v>
      </c>
      <c r="AE238" s="157">
        <f>SUM(AF238:AI238)</f>
        <v>0</v>
      </c>
      <c r="AF238" s="157">
        <v>0</v>
      </c>
      <c r="AG238" s="157">
        <v>0</v>
      </c>
      <c r="AH238" s="157">
        <v>0</v>
      </c>
      <c r="AI238" s="157">
        <v>0</v>
      </c>
      <c r="AJ238" s="157">
        <f>SUM(AK238:AL238)</f>
        <v>2519414838</v>
      </c>
      <c r="AK238" s="157">
        <v>2519414838</v>
      </c>
      <c r="AL238" s="157">
        <f>SUM(AM238:AO238)</f>
        <v>0</v>
      </c>
      <c r="AM238" s="157">
        <v>0</v>
      </c>
      <c r="AN238" s="157">
        <v>0</v>
      </c>
      <c r="AO238" s="158">
        <v>0</v>
      </c>
    </row>
    <row r="239" spans="1:92" x14ac:dyDescent="0.25">
      <c r="A239" s="160" t="s">
        <v>364</v>
      </c>
      <c r="B239" s="161" t="s">
        <v>365</v>
      </c>
      <c r="C239" s="157">
        <f>SUM(D239+Y239+AE239+AJ239)</f>
        <v>8526835868</v>
      </c>
      <c r="D239" s="157">
        <f>SUM(E239:X239)</f>
        <v>0</v>
      </c>
      <c r="E239" s="157">
        <v>0</v>
      </c>
      <c r="F239" s="157">
        <v>0</v>
      </c>
      <c r="G239" s="157">
        <v>0</v>
      </c>
      <c r="H239" s="157">
        <v>0</v>
      </c>
      <c r="I239" s="157">
        <v>0</v>
      </c>
      <c r="J239" s="157">
        <v>0</v>
      </c>
      <c r="K239" s="157">
        <v>0</v>
      </c>
      <c r="L239" s="157">
        <v>0</v>
      </c>
      <c r="M239" s="157">
        <v>0</v>
      </c>
      <c r="N239" s="157">
        <v>0</v>
      </c>
      <c r="O239" s="157">
        <v>0</v>
      </c>
      <c r="P239" s="157">
        <v>0</v>
      </c>
      <c r="Q239" s="157">
        <v>0</v>
      </c>
      <c r="R239" s="157">
        <v>0</v>
      </c>
      <c r="S239" s="157">
        <v>0</v>
      </c>
      <c r="T239" s="157">
        <v>0</v>
      </c>
      <c r="U239" s="157">
        <v>0</v>
      </c>
      <c r="V239" s="157">
        <v>0</v>
      </c>
      <c r="W239" s="157">
        <v>0</v>
      </c>
      <c r="X239" s="157">
        <v>0</v>
      </c>
      <c r="Y239" s="157">
        <f>SUM(Z239:AD239)</f>
        <v>0</v>
      </c>
      <c r="Z239" s="157">
        <v>0</v>
      </c>
      <c r="AA239" s="157">
        <v>0</v>
      </c>
      <c r="AB239" s="157">
        <v>0</v>
      </c>
      <c r="AC239" s="157">
        <v>0</v>
      </c>
      <c r="AD239" s="157">
        <v>0</v>
      </c>
      <c r="AE239" s="157">
        <f>SUM(AF239:AI239)</f>
        <v>0</v>
      </c>
      <c r="AF239" s="157">
        <v>0</v>
      </c>
      <c r="AG239" s="157">
        <v>0</v>
      </c>
      <c r="AH239" s="157">
        <v>0</v>
      </c>
      <c r="AI239" s="157">
        <v>0</v>
      </c>
      <c r="AJ239" s="157">
        <f>SUM(AK239:AL239)</f>
        <v>8526835868</v>
      </c>
      <c r="AK239" s="157">
        <v>8526835868</v>
      </c>
      <c r="AL239" s="157">
        <f>SUM(AM239:AO239)</f>
        <v>0</v>
      </c>
      <c r="AM239" s="157">
        <v>0</v>
      </c>
      <c r="AN239" s="157">
        <v>0</v>
      </c>
      <c r="AO239" s="158">
        <v>0</v>
      </c>
    </row>
    <row r="240" spans="1:92" ht="13.8" thickBot="1" x14ac:dyDescent="0.3">
      <c r="A240" s="185"/>
      <c r="B240" s="186"/>
      <c r="C240" s="174"/>
      <c r="D240" s="174"/>
      <c r="E240" s="174"/>
      <c r="F240" s="174"/>
      <c r="G240" s="174"/>
      <c r="H240" s="174"/>
      <c r="I240" s="174"/>
      <c r="J240" s="174"/>
      <c r="K240" s="174"/>
      <c r="L240" s="174"/>
      <c r="M240" s="174"/>
      <c r="N240" s="174"/>
      <c r="O240" s="174"/>
      <c r="P240" s="174"/>
      <c r="Q240" s="174"/>
      <c r="R240" s="174"/>
      <c r="S240" s="174"/>
      <c r="T240" s="174"/>
      <c r="U240" s="174"/>
      <c r="V240" s="174"/>
      <c r="W240" s="174"/>
      <c r="X240" s="174"/>
      <c r="Y240" s="174"/>
      <c r="Z240" s="174"/>
      <c r="AA240" s="174"/>
      <c r="AB240" s="174"/>
      <c r="AC240" s="174"/>
      <c r="AD240" s="174"/>
      <c r="AE240" s="174"/>
      <c r="AF240" s="174"/>
      <c r="AG240" s="174"/>
      <c r="AH240" s="174"/>
      <c r="AI240" s="174"/>
      <c r="AJ240" s="174"/>
      <c r="AK240" s="174"/>
      <c r="AL240" s="174"/>
      <c r="AM240" s="174"/>
      <c r="AN240" s="174"/>
      <c r="AO240" s="175"/>
    </row>
    <row r="242" spans="1:1" x14ac:dyDescent="0.25">
      <c r="A242" s="44" t="s">
        <v>737</v>
      </c>
    </row>
  </sheetData>
  <mergeCells count="1">
    <mergeCell ref="A1:AO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872D7-3577-4D48-9996-7FE88A52C8DC}">
  <sheetPr>
    <tabColor theme="6" tint="0.39997558519241921"/>
  </sheetPr>
  <dimension ref="A1:Q58"/>
  <sheetViews>
    <sheetView topLeftCell="F1" zoomScale="70" zoomScaleNormal="70" workbookViewId="0">
      <selection activeCell="L9" sqref="L9:L14"/>
    </sheetView>
  </sheetViews>
  <sheetFormatPr baseColWidth="10" defaultColWidth="12.109375" defaultRowHeight="13.2" x14ac:dyDescent="0.3"/>
  <cols>
    <col min="1" max="1" width="18.109375" style="40" hidden="1" customWidth="1"/>
    <col min="2" max="2" width="29.109375" style="16" customWidth="1"/>
    <col min="3" max="3" width="37.109375" style="2" customWidth="1"/>
    <col min="4" max="4" width="34.5546875" style="2" customWidth="1"/>
    <col min="5" max="5" width="18.21875" style="2" customWidth="1"/>
    <col min="6" max="6" width="42.6640625" style="16" customWidth="1"/>
    <col min="7" max="10" width="13.21875" style="1" customWidth="1"/>
    <col min="11" max="11" width="34.88671875" style="1" hidden="1" customWidth="1"/>
    <col min="12" max="12" width="34.88671875" style="1" customWidth="1"/>
    <col min="13" max="13" width="43.44140625" style="2" customWidth="1"/>
    <col min="14" max="14" width="24.33203125" style="2" customWidth="1"/>
    <col min="15" max="15" width="100.5546875" style="16" customWidth="1"/>
    <col min="16" max="16" width="12.109375" style="2"/>
    <col min="17" max="17" width="21.5546875" style="2" customWidth="1"/>
    <col min="18" max="18" width="18.21875" style="2" bestFit="1" customWidth="1"/>
    <col min="19" max="16384" width="12.109375" style="2"/>
  </cols>
  <sheetData>
    <row r="1" spans="1:17" s="115" customFormat="1" ht="20.399999999999999" customHeight="1" x14ac:dyDescent="0.3">
      <c r="A1" s="189"/>
      <c r="B1" s="189"/>
      <c r="C1" s="189"/>
      <c r="D1" s="189"/>
      <c r="E1" s="189"/>
      <c r="F1" s="189"/>
      <c r="G1" s="189"/>
      <c r="H1" s="189"/>
      <c r="I1" s="189"/>
      <c r="J1" s="189"/>
      <c r="K1" s="189"/>
      <c r="L1" s="189"/>
      <c r="M1" s="189"/>
      <c r="N1" s="189"/>
      <c r="O1" s="189"/>
    </row>
    <row r="2" spans="1:17" s="115" customFormat="1" ht="20.399999999999999" customHeight="1" x14ac:dyDescent="0.3">
      <c r="A2" s="189" t="s">
        <v>485</v>
      </c>
      <c r="B2" s="189"/>
      <c r="C2" s="189"/>
      <c r="D2" s="189"/>
      <c r="E2" s="189"/>
      <c r="F2" s="189"/>
      <c r="G2" s="189"/>
      <c r="H2" s="189"/>
      <c r="I2" s="189"/>
      <c r="J2" s="189"/>
      <c r="K2" s="189"/>
      <c r="L2" s="189"/>
      <c r="M2" s="189"/>
      <c r="N2" s="189"/>
      <c r="O2" s="189"/>
    </row>
    <row r="3" spans="1:17" s="115" customFormat="1" ht="20.399999999999999" customHeight="1" x14ac:dyDescent="0.3">
      <c r="A3" s="199" t="s">
        <v>486</v>
      </c>
      <c r="B3" s="199"/>
      <c r="C3" s="199"/>
      <c r="D3" s="199"/>
      <c r="E3" s="199"/>
      <c r="F3" s="199"/>
      <c r="G3" s="199"/>
      <c r="H3" s="199"/>
      <c r="I3" s="199"/>
      <c r="J3" s="199"/>
      <c r="K3" s="199"/>
      <c r="L3" s="199"/>
      <c r="M3" s="199"/>
      <c r="N3" s="199"/>
      <c r="O3" s="199"/>
    </row>
    <row r="4" spans="1:17" s="115" customFormat="1" ht="20.399999999999999" customHeight="1" x14ac:dyDescent="0.3">
      <c r="A4" s="199"/>
      <c r="B4" s="199"/>
      <c r="C4" s="199"/>
      <c r="D4" s="199"/>
      <c r="E4" s="199"/>
      <c r="F4" s="199"/>
      <c r="G4" s="199"/>
      <c r="H4" s="199"/>
      <c r="I4" s="199"/>
      <c r="J4" s="199"/>
      <c r="K4" s="199"/>
      <c r="L4" s="199"/>
      <c r="M4" s="199"/>
      <c r="N4" s="199"/>
      <c r="O4" s="199"/>
    </row>
    <row r="5" spans="1:17" ht="20.399999999999999" customHeight="1" thickBot="1" x14ac:dyDescent="0.35">
      <c r="A5" s="238"/>
      <c r="B5" s="238"/>
      <c r="C5" s="238"/>
      <c r="D5" s="238"/>
      <c r="E5" s="238"/>
      <c r="F5" s="238"/>
      <c r="G5" s="238"/>
      <c r="H5" s="238"/>
      <c r="I5" s="238"/>
      <c r="J5" s="238"/>
      <c r="K5" s="238"/>
      <c r="L5" s="238"/>
      <c r="M5" s="238"/>
      <c r="N5" s="238"/>
      <c r="O5" s="238"/>
    </row>
    <row r="6" spans="1:17" s="1" customFormat="1" ht="29.4" customHeight="1" x14ac:dyDescent="0.3">
      <c r="A6" s="200" t="s">
        <v>487</v>
      </c>
      <c r="B6" s="192" t="s">
        <v>488</v>
      </c>
      <c r="C6" s="202" t="s">
        <v>489</v>
      </c>
      <c r="D6" s="204" t="s">
        <v>490</v>
      </c>
      <c r="E6" s="192" t="s">
        <v>697</v>
      </c>
      <c r="F6" s="192" t="s">
        <v>491</v>
      </c>
      <c r="G6" s="192" t="s">
        <v>492</v>
      </c>
      <c r="H6" s="192"/>
      <c r="I6" s="192"/>
      <c r="J6" s="192"/>
      <c r="K6" s="192" t="s">
        <v>493</v>
      </c>
      <c r="L6" s="192" t="s">
        <v>698</v>
      </c>
      <c r="M6" s="192" t="s">
        <v>494</v>
      </c>
      <c r="N6" s="192" t="s">
        <v>495</v>
      </c>
      <c r="O6" s="194" t="s">
        <v>496</v>
      </c>
    </row>
    <row r="7" spans="1:17" s="1" customFormat="1" ht="29.4" customHeight="1" thickBot="1" x14ac:dyDescent="0.35">
      <c r="A7" s="201"/>
      <c r="B7" s="193"/>
      <c r="C7" s="203"/>
      <c r="D7" s="205"/>
      <c r="E7" s="193"/>
      <c r="F7" s="193"/>
      <c r="G7" s="117" t="s">
        <v>497</v>
      </c>
      <c r="H7" s="117" t="s">
        <v>498</v>
      </c>
      <c r="I7" s="117" t="s">
        <v>499</v>
      </c>
      <c r="J7" s="117" t="s">
        <v>500</v>
      </c>
      <c r="K7" s="193"/>
      <c r="L7" s="193"/>
      <c r="M7" s="193"/>
      <c r="N7" s="193"/>
      <c r="O7" s="195"/>
    </row>
    <row r="8" spans="1:17" s="1" customFormat="1" ht="31.8" customHeight="1" thickBot="1" x14ac:dyDescent="0.35">
      <c r="A8" s="196" t="s">
        <v>501</v>
      </c>
      <c r="B8" s="197"/>
      <c r="C8" s="197"/>
      <c r="D8" s="197"/>
      <c r="E8" s="197"/>
      <c r="F8" s="197"/>
      <c r="G8" s="197"/>
      <c r="H8" s="197"/>
      <c r="I8" s="197"/>
      <c r="J8" s="197"/>
      <c r="K8" s="197"/>
      <c r="L8" s="197"/>
      <c r="M8" s="197"/>
      <c r="N8" s="197"/>
      <c r="O8" s="198"/>
    </row>
    <row r="9" spans="1:17" ht="76.8" customHeight="1" x14ac:dyDescent="0.3">
      <c r="A9" s="208" t="s">
        <v>502</v>
      </c>
      <c r="B9" s="211" t="s">
        <v>503</v>
      </c>
      <c r="C9" s="211" t="s">
        <v>504</v>
      </c>
      <c r="D9" s="7" t="s">
        <v>505</v>
      </c>
      <c r="E9" s="7" t="s">
        <v>506</v>
      </c>
      <c r="F9" s="118" t="s">
        <v>507</v>
      </c>
      <c r="G9" s="9"/>
      <c r="H9" s="10"/>
      <c r="I9" s="9"/>
      <c r="J9" s="10">
        <v>1</v>
      </c>
      <c r="K9" s="206"/>
      <c r="L9" s="207" t="s">
        <v>508</v>
      </c>
      <c r="M9" s="7" t="s">
        <v>509</v>
      </c>
      <c r="N9" s="7" t="s">
        <v>0</v>
      </c>
      <c r="O9" s="13" t="s">
        <v>510</v>
      </c>
      <c r="Q9" s="5"/>
    </row>
    <row r="10" spans="1:17" ht="76.8" customHeight="1" x14ac:dyDescent="0.3">
      <c r="A10" s="209"/>
      <c r="B10" s="211"/>
      <c r="C10" s="211"/>
      <c r="D10" s="7" t="s">
        <v>511</v>
      </c>
      <c r="E10" s="7" t="s">
        <v>506</v>
      </c>
      <c r="F10" s="8" t="s">
        <v>512</v>
      </c>
      <c r="G10" s="9"/>
      <c r="H10" s="10">
        <v>0.75</v>
      </c>
      <c r="I10" s="7"/>
      <c r="J10" s="10">
        <v>0.75</v>
      </c>
      <c r="K10" s="206"/>
      <c r="L10" s="207"/>
      <c r="M10" s="7" t="s">
        <v>513</v>
      </c>
      <c r="N10" s="7" t="s">
        <v>514</v>
      </c>
      <c r="O10" s="13"/>
    </row>
    <row r="11" spans="1:17" ht="76.8" customHeight="1" x14ac:dyDescent="0.3">
      <c r="A11" s="209"/>
      <c r="B11" s="211"/>
      <c r="C11" s="211"/>
      <c r="D11" s="7" t="s">
        <v>515</v>
      </c>
      <c r="E11" s="7" t="s">
        <v>506</v>
      </c>
      <c r="F11" s="8" t="s">
        <v>516</v>
      </c>
      <c r="G11" s="9"/>
      <c r="H11" s="10">
        <v>0.8</v>
      </c>
      <c r="I11" s="7"/>
      <c r="J11" s="10">
        <v>0.8</v>
      </c>
      <c r="K11" s="206"/>
      <c r="L11" s="207"/>
      <c r="M11" s="7" t="s">
        <v>513</v>
      </c>
      <c r="N11" s="7" t="s">
        <v>514</v>
      </c>
      <c r="O11" s="13" t="s">
        <v>517</v>
      </c>
    </row>
    <row r="12" spans="1:17" ht="76.8" customHeight="1" x14ac:dyDescent="0.3">
      <c r="A12" s="209"/>
      <c r="B12" s="211"/>
      <c r="C12" s="211"/>
      <c r="D12" s="7" t="s">
        <v>518</v>
      </c>
      <c r="E12" s="7" t="s">
        <v>506</v>
      </c>
      <c r="F12" s="8" t="s">
        <v>519</v>
      </c>
      <c r="G12" s="12"/>
      <c r="H12" s="10"/>
      <c r="I12" s="12"/>
      <c r="J12" s="10">
        <v>0.03</v>
      </c>
      <c r="K12" s="206"/>
      <c r="L12" s="207"/>
      <c r="M12" s="7" t="s">
        <v>520</v>
      </c>
      <c r="N12" s="7" t="s">
        <v>521</v>
      </c>
      <c r="O12" s="13" t="s">
        <v>522</v>
      </c>
    </row>
    <row r="13" spans="1:17" ht="76.8" customHeight="1" x14ac:dyDescent="0.3">
      <c r="A13" s="209"/>
      <c r="B13" s="211"/>
      <c r="C13" s="211"/>
      <c r="D13" s="7" t="s">
        <v>523</v>
      </c>
      <c r="E13" s="7" t="s">
        <v>524</v>
      </c>
      <c r="F13" s="13" t="s">
        <v>525</v>
      </c>
      <c r="G13" s="9"/>
      <c r="H13" s="9">
        <v>1</v>
      </c>
      <c r="I13" s="9">
        <v>1</v>
      </c>
      <c r="J13" s="9">
        <v>1</v>
      </c>
      <c r="K13" s="206"/>
      <c r="L13" s="207"/>
      <c r="M13" s="7"/>
      <c r="N13" s="7" t="s">
        <v>526</v>
      </c>
      <c r="O13" s="13" t="s">
        <v>527</v>
      </c>
    </row>
    <row r="14" spans="1:17" ht="76.8" customHeight="1" thickBot="1" x14ac:dyDescent="0.35">
      <c r="A14" s="210"/>
      <c r="B14" s="211"/>
      <c r="C14" s="211"/>
      <c r="D14" s="7" t="s">
        <v>528</v>
      </c>
      <c r="E14" s="7" t="s">
        <v>506</v>
      </c>
      <c r="F14" s="13" t="s">
        <v>529</v>
      </c>
      <c r="G14" s="9"/>
      <c r="H14" s="9"/>
      <c r="I14" s="9"/>
      <c r="J14" s="28">
        <v>0.25</v>
      </c>
      <c r="K14" s="206"/>
      <c r="L14" s="207"/>
      <c r="M14" s="7" t="s">
        <v>530</v>
      </c>
      <c r="N14" s="7" t="s">
        <v>531</v>
      </c>
      <c r="O14" s="13" t="s">
        <v>527</v>
      </c>
    </row>
    <row r="15" spans="1:17" s="115" customFormat="1" ht="22.8" customHeight="1" thickBot="1" x14ac:dyDescent="0.35">
      <c r="A15" s="119"/>
      <c r="B15" s="119"/>
      <c r="C15" s="119"/>
      <c r="F15" s="116"/>
      <c r="G15" s="114"/>
      <c r="H15" s="114"/>
      <c r="I15" s="114"/>
      <c r="J15" s="120"/>
      <c r="K15" s="121"/>
      <c r="L15" s="122"/>
      <c r="O15" s="116"/>
    </row>
    <row r="16" spans="1:17" ht="30.6" customHeight="1" x14ac:dyDescent="0.3">
      <c r="A16" s="123"/>
      <c r="B16" s="192" t="s">
        <v>488</v>
      </c>
      <c r="C16" s="202" t="s">
        <v>489</v>
      </c>
      <c r="D16" s="204" t="s">
        <v>490</v>
      </c>
      <c r="E16" s="192" t="s">
        <v>697</v>
      </c>
      <c r="F16" s="192" t="s">
        <v>491</v>
      </c>
      <c r="G16" s="215" t="s">
        <v>492</v>
      </c>
      <c r="H16" s="215"/>
      <c r="I16" s="215"/>
      <c r="J16" s="215"/>
      <c r="K16" s="192" t="s">
        <v>493</v>
      </c>
      <c r="L16" s="192" t="s">
        <v>698</v>
      </c>
      <c r="M16" s="192" t="s">
        <v>494</v>
      </c>
      <c r="N16" s="192" t="s">
        <v>495</v>
      </c>
      <c r="O16" s="194" t="s">
        <v>496</v>
      </c>
    </row>
    <row r="17" spans="1:17" ht="30.6" customHeight="1" thickBot="1" x14ac:dyDescent="0.35">
      <c r="A17" s="123"/>
      <c r="B17" s="193"/>
      <c r="C17" s="203"/>
      <c r="D17" s="205"/>
      <c r="E17" s="193"/>
      <c r="F17" s="193"/>
      <c r="G17" s="117" t="s">
        <v>497</v>
      </c>
      <c r="H17" s="117" t="s">
        <v>498</v>
      </c>
      <c r="I17" s="117" t="s">
        <v>499</v>
      </c>
      <c r="J17" s="117" t="s">
        <v>500</v>
      </c>
      <c r="K17" s="193"/>
      <c r="L17" s="193"/>
      <c r="M17" s="193"/>
      <c r="N17" s="193"/>
      <c r="O17" s="195"/>
    </row>
    <row r="18" spans="1:17" s="16" customFormat="1" ht="29.4" customHeight="1" thickBot="1" x14ac:dyDescent="0.35">
      <c r="A18" s="212" t="s">
        <v>532</v>
      </c>
      <c r="B18" s="197"/>
      <c r="C18" s="197"/>
      <c r="D18" s="197"/>
      <c r="E18" s="197"/>
      <c r="F18" s="197"/>
      <c r="G18" s="197"/>
      <c r="H18" s="197"/>
      <c r="I18" s="197"/>
      <c r="J18" s="197"/>
      <c r="K18" s="197"/>
      <c r="L18" s="197"/>
      <c r="M18" s="197"/>
      <c r="N18" s="197"/>
      <c r="O18" s="198"/>
    </row>
    <row r="19" spans="1:17" ht="76.8" customHeight="1" x14ac:dyDescent="0.3">
      <c r="A19" s="208" t="s">
        <v>533</v>
      </c>
      <c r="B19" s="211" t="s">
        <v>534</v>
      </c>
      <c r="C19" s="13" t="s">
        <v>535</v>
      </c>
      <c r="D19" s="19" t="s">
        <v>536</v>
      </c>
      <c r="E19" s="19" t="s">
        <v>506</v>
      </c>
      <c r="F19" s="20" t="s">
        <v>537</v>
      </c>
      <c r="G19" s="21"/>
      <c r="H19" s="22">
        <v>0.65</v>
      </c>
      <c r="I19" s="23"/>
      <c r="J19" s="22">
        <v>0.35</v>
      </c>
      <c r="K19" s="207"/>
      <c r="L19" s="207" t="s">
        <v>538</v>
      </c>
      <c r="M19" s="25" t="s">
        <v>539</v>
      </c>
      <c r="N19" s="13" t="s">
        <v>540</v>
      </c>
      <c r="O19" s="25" t="s">
        <v>541</v>
      </c>
      <c r="Q19" s="18"/>
    </row>
    <row r="20" spans="1:17" ht="76.8" customHeight="1" x14ac:dyDescent="0.3">
      <c r="A20" s="209"/>
      <c r="B20" s="211"/>
      <c r="C20" s="7" t="s">
        <v>542</v>
      </c>
      <c r="D20" s="19" t="s">
        <v>543</v>
      </c>
      <c r="E20" s="19" t="s">
        <v>506</v>
      </c>
      <c r="F20" s="20" t="s">
        <v>544</v>
      </c>
      <c r="G20" s="21"/>
      <c r="H20" s="22"/>
      <c r="I20" s="23"/>
      <c r="J20" s="22">
        <v>0.5</v>
      </c>
      <c r="K20" s="207"/>
      <c r="L20" s="207"/>
      <c r="M20" s="19" t="s">
        <v>545</v>
      </c>
      <c r="N20" s="19" t="s">
        <v>546</v>
      </c>
      <c r="O20" s="25"/>
      <c r="Q20" s="18"/>
    </row>
    <row r="21" spans="1:17" ht="76.8" customHeight="1" x14ac:dyDescent="0.3">
      <c r="A21" s="209"/>
      <c r="B21" s="211"/>
      <c r="C21" s="7" t="s">
        <v>547</v>
      </c>
      <c r="D21" s="19" t="s">
        <v>548</v>
      </c>
      <c r="E21" s="19" t="s">
        <v>506</v>
      </c>
      <c r="F21" s="20" t="s">
        <v>549</v>
      </c>
      <c r="G21" s="21"/>
      <c r="H21" s="22"/>
      <c r="I21" s="23"/>
      <c r="J21" s="22">
        <v>0.6</v>
      </c>
      <c r="K21" s="207"/>
      <c r="L21" s="207"/>
      <c r="M21" s="19" t="s">
        <v>550</v>
      </c>
      <c r="N21" s="19" t="s">
        <v>540</v>
      </c>
      <c r="O21" s="25"/>
      <c r="Q21" s="18"/>
    </row>
    <row r="22" spans="1:17" ht="76.8" customHeight="1" x14ac:dyDescent="0.3">
      <c r="A22" s="209"/>
      <c r="B22" s="211"/>
      <c r="C22" s="213" t="s">
        <v>551</v>
      </c>
      <c r="D22" s="19" t="s">
        <v>552</v>
      </c>
      <c r="E22" s="19" t="s">
        <v>506</v>
      </c>
      <c r="F22" s="26" t="s">
        <v>553</v>
      </c>
      <c r="G22" s="27"/>
      <c r="H22" s="27">
        <v>1</v>
      </c>
      <c r="I22" s="27"/>
      <c r="J22" s="27"/>
      <c r="K22" s="207"/>
      <c r="L22" s="207"/>
      <c r="M22" s="19" t="s">
        <v>554</v>
      </c>
      <c r="N22" s="213" t="s">
        <v>546</v>
      </c>
      <c r="O22" s="25" t="s">
        <v>555</v>
      </c>
    </row>
    <row r="23" spans="1:17" ht="76.8" customHeight="1" x14ac:dyDescent="0.3">
      <c r="A23" s="209"/>
      <c r="B23" s="211"/>
      <c r="C23" s="213"/>
      <c r="D23" s="19" t="s">
        <v>556</v>
      </c>
      <c r="E23" s="19" t="s">
        <v>506</v>
      </c>
      <c r="F23" s="26" t="s">
        <v>557</v>
      </c>
      <c r="G23" s="27"/>
      <c r="H23" s="27">
        <v>0.88</v>
      </c>
      <c r="I23" s="27"/>
      <c r="J23" s="27">
        <v>1</v>
      </c>
      <c r="K23" s="207"/>
      <c r="L23" s="207"/>
      <c r="M23" s="19" t="s">
        <v>558</v>
      </c>
      <c r="N23" s="213"/>
      <c r="O23" s="25" t="s">
        <v>559</v>
      </c>
    </row>
    <row r="24" spans="1:17" ht="76.8" customHeight="1" x14ac:dyDescent="0.3">
      <c r="A24" s="209"/>
      <c r="B24" s="211"/>
      <c r="C24" s="7" t="s">
        <v>560</v>
      </c>
      <c r="D24" s="19" t="s">
        <v>561</v>
      </c>
      <c r="E24" s="19" t="s">
        <v>562</v>
      </c>
      <c r="F24" s="20" t="s">
        <v>563</v>
      </c>
      <c r="G24" s="9">
        <v>1.5</v>
      </c>
      <c r="H24" s="9">
        <v>1.5</v>
      </c>
      <c r="I24" s="9">
        <v>1.5</v>
      </c>
      <c r="J24" s="9">
        <v>1.5</v>
      </c>
      <c r="K24" s="207"/>
      <c r="L24" s="207"/>
      <c r="M24" s="25" t="s">
        <v>564</v>
      </c>
      <c r="N24" s="19" t="s">
        <v>546</v>
      </c>
      <c r="O24" s="13"/>
    </row>
    <row r="25" spans="1:17" ht="76.8" customHeight="1" x14ac:dyDescent="0.3">
      <c r="A25" s="209"/>
      <c r="B25" s="211"/>
      <c r="C25" s="13" t="s">
        <v>565</v>
      </c>
      <c r="D25" s="19" t="s">
        <v>566</v>
      </c>
      <c r="E25" s="19" t="s">
        <v>524</v>
      </c>
      <c r="F25" s="25" t="s">
        <v>567</v>
      </c>
      <c r="G25" s="9"/>
      <c r="H25" s="9">
        <v>3</v>
      </c>
      <c r="I25" s="9">
        <v>3</v>
      </c>
      <c r="J25" s="9">
        <v>3</v>
      </c>
      <c r="K25" s="207"/>
      <c r="L25" s="207"/>
      <c r="M25" s="19" t="s">
        <v>568</v>
      </c>
      <c r="N25" s="19" t="s">
        <v>546</v>
      </c>
      <c r="O25" s="25" t="s">
        <v>569</v>
      </c>
    </row>
    <row r="26" spans="1:17" ht="76.8" customHeight="1" x14ac:dyDescent="0.3">
      <c r="A26" s="209"/>
      <c r="B26" s="211"/>
      <c r="C26" s="25" t="s">
        <v>570</v>
      </c>
      <c r="D26" s="25" t="s">
        <v>571</v>
      </c>
      <c r="E26" s="19" t="s">
        <v>506</v>
      </c>
      <c r="F26" s="25" t="s">
        <v>572</v>
      </c>
      <c r="G26" s="28">
        <v>1</v>
      </c>
      <c r="H26" s="28">
        <v>1</v>
      </c>
      <c r="I26" s="28">
        <v>1</v>
      </c>
      <c r="J26" s="28">
        <v>1</v>
      </c>
      <c r="K26" s="207"/>
      <c r="L26" s="207"/>
      <c r="M26" s="19" t="s">
        <v>573</v>
      </c>
      <c r="N26" s="19" t="s">
        <v>574</v>
      </c>
      <c r="O26" s="25"/>
    </row>
    <row r="27" spans="1:17" ht="76.8" customHeight="1" x14ac:dyDescent="0.3">
      <c r="A27" s="209"/>
      <c r="B27" s="211"/>
      <c r="C27" s="7" t="s">
        <v>575</v>
      </c>
      <c r="D27" s="7" t="s">
        <v>576</v>
      </c>
      <c r="E27" s="19" t="s">
        <v>562</v>
      </c>
      <c r="F27" s="13" t="s">
        <v>577</v>
      </c>
      <c r="G27" s="9" t="s">
        <v>578</v>
      </c>
      <c r="H27" s="9" t="s">
        <v>578</v>
      </c>
      <c r="I27" s="9" t="s">
        <v>578</v>
      </c>
      <c r="J27" s="9" t="s">
        <v>578</v>
      </c>
      <c r="K27" s="207"/>
      <c r="L27" s="207"/>
      <c r="M27" s="19" t="s">
        <v>579</v>
      </c>
      <c r="N27" s="29" t="s">
        <v>546</v>
      </c>
      <c r="O27" s="13" t="s">
        <v>580</v>
      </c>
    </row>
    <row r="28" spans="1:17" ht="76.8" customHeight="1" x14ac:dyDescent="0.3">
      <c r="A28" s="209"/>
      <c r="B28" s="13" t="s">
        <v>581</v>
      </c>
      <c r="C28" s="7" t="s">
        <v>582</v>
      </c>
      <c r="D28" s="7" t="s">
        <v>583</v>
      </c>
      <c r="E28" s="19" t="s">
        <v>562</v>
      </c>
      <c r="F28" s="13" t="s">
        <v>584</v>
      </c>
      <c r="G28" s="9">
        <v>15</v>
      </c>
      <c r="H28" s="9">
        <v>15</v>
      </c>
      <c r="I28" s="9">
        <v>15</v>
      </c>
      <c r="J28" s="9">
        <v>15</v>
      </c>
      <c r="K28" s="207"/>
      <c r="L28" s="207"/>
      <c r="M28" s="7" t="s">
        <v>585</v>
      </c>
      <c r="N28" s="7" t="s">
        <v>586</v>
      </c>
      <c r="O28" s="13" t="s">
        <v>587</v>
      </c>
    </row>
    <row r="29" spans="1:17" ht="76.8" customHeight="1" x14ac:dyDescent="0.3">
      <c r="A29" s="209"/>
      <c r="B29" s="214" t="s">
        <v>588</v>
      </c>
      <c r="C29" s="7" t="s">
        <v>589</v>
      </c>
      <c r="D29" s="7" t="s">
        <v>590</v>
      </c>
      <c r="E29" s="19" t="s">
        <v>524</v>
      </c>
      <c r="F29" s="13" t="s">
        <v>591</v>
      </c>
      <c r="G29" s="9">
        <v>5</v>
      </c>
      <c r="H29" s="9">
        <v>5</v>
      </c>
      <c r="I29" s="9">
        <v>6</v>
      </c>
      <c r="J29" s="9">
        <v>6</v>
      </c>
      <c r="K29" s="207"/>
      <c r="L29" s="207"/>
      <c r="M29" s="7" t="s">
        <v>592</v>
      </c>
      <c r="N29" s="7" t="s">
        <v>593</v>
      </c>
      <c r="O29" s="13" t="s">
        <v>594</v>
      </c>
    </row>
    <row r="30" spans="1:17" ht="76.8" customHeight="1" x14ac:dyDescent="0.3">
      <c r="A30" s="209"/>
      <c r="B30" s="214"/>
      <c r="C30" s="7" t="s">
        <v>595</v>
      </c>
      <c r="D30" s="7" t="s">
        <v>596</v>
      </c>
      <c r="E30" s="19" t="s">
        <v>524</v>
      </c>
      <c r="F30" s="13" t="s">
        <v>597</v>
      </c>
      <c r="G30" s="9"/>
      <c r="H30" s="9">
        <v>1</v>
      </c>
      <c r="I30" s="9"/>
      <c r="J30" s="9">
        <v>1</v>
      </c>
      <c r="K30" s="207"/>
      <c r="L30" s="207"/>
      <c r="M30" s="7" t="s">
        <v>598</v>
      </c>
      <c r="N30" s="7" t="s">
        <v>593</v>
      </c>
      <c r="O30" s="13" t="s">
        <v>599</v>
      </c>
    </row>
    <row r="31" spans="1:17" ht="76.8" customHeight="1" thickBot="1" x14ac:dyDescent="0.35">
      <c r="A31" s="210"/>
      <c r="B31" s="214"/>
      <c r="C31" s="7" t="s">
        <v>600</v>
      </c>
      <c r="D31" s="7" t="s">
        <v>601</v>
      </c>
      <c r="E31" s="7" t="s">
        <v>506</v>
      </c>
      <c r="F31" s="124" t="s">
        <v>602</v>
      </c>
      <c r="G31" s="28">
        <v>1</v>
      </c>
      <c r="H31" s="28">
        <v>1</v>
      </c>
      <c r="I31" s="28">
        <v>1</v>
      </c>
      <c r="J31" s="28">
        <v>1</v>
      </c>
      <c r="K31" s="207"/>
      <c r="L31" s="207"/>
      <c r="M31" s="7" t="s">
        <v>603</v>
      </c>
      <c r="N31" s="7" t="s">
        <v>593</v>
      </c>
      <c r="O31" s="13" t="s">
        <v>604</v>
      </c>
    </row>
    <row r="32" spans="1:17" s="115" customFormat="1" ht="24.6" customHeight="1" x14ac:dyDescent="0.3">
      <c r="A32" s="119"/>
      <c r="B32" s="116"/>
      <c r="F32" s="125"/>
      <c r="G32" s="120"/>
      <c r="H32" s="120"/>
      <c r="I32" s="120"/>
      <c r="J32" s="120"/>
      <c r="K32" s="122"/>
      <c r="L32" s="122"/>
      <c r="O32" s="116"/>
    </row>
    <row r="33" spans="1:17" ht="30.6" customHeight="1" x14ac:dyDescent="0.3">
      <c r="A33" s="6"/>
      <c r="B33" s="216" t="s">
        <v>488</v>
      </c>
      <c r="C33" s="216" t="s">
        <v>489</v>
      </c>
      <c r="D33" s="216" t="s">
        <v>490</v>
      </c>
      <c r="E33" s="216" t="s">
        <v>697</v>
      </c>
      <c r="F33" s="216" t="s">
        <v>491</v>
      </c>
      <c r="G33" s="216" t="s">
        <v>492</v>
      </c>
      <c r="H33" s="216"/>
      <c r="I33" s="216"/>
      <c r="J33" s="216"/>
      <c r="K33" s="216" t="s">
        <v>493</v>
      </c>
      <c r="L33" s="216" t="s">
        <v>698</v>
      </c>
      <c r="M33" s="216" t="s">
        <v>494</v>
      </c>
      <c r="N33" s="216" t="s">
        <v>495</v>
      </c>
      <c r="O33" s="216" t="s">
        <v>496</v>
      </c>
    </row>
    <row r="34" spans="1:17" ht="30.6" customHeight="1" x14ac:dyDescent="0.3">
      <c r="A34" s="6"/>
      <c r="B34" s="216"/>
      <c r="C34" s="216"/>
      <c r="D34" s="216"/>
      <c r="E34" s="216"/>
      <c r="F34" s="216"/>
      <c r="G34" s="126" t="s">
        <v>497</v>
      </c>
      <c r="H34" s="126" t="s">
        <v>498</v>
      </c>
      <c r="I34" s="126" t="s">
        <v>499</v>
      </c>
      <c r="J34" s="126" t="s">
        <v>500</v>
      </c>
      <c r="K34" s="216"/>
      <c r="L34" s="216"/>
      <c r="M34" s="216"/>
      <c r="N34" s="216"/>
      <c r="O34" s="216"/>
    </row>
    <row r="35" spans="1:17" s="16" customFormat="1" ht="30" customHeight="1" x14ac:dyDescent="0.3">
      <c r="A35" s="217" t="s">
        <v>605</v>
      </c>
      <c r="B35" s="217"/>
      <c r="C35" s="217"/>
      <c r="D35" s="217"/>
      <c r="E35" s="217"/>
      <c r="F35" s="217"/>
      <c r="G35" s="217"/>
      <c r="H35" s="217"/>
      <c r="I35" s="217"/>
      <c r="J35" s="217"/>
      <c r="K35" s="217"/>
      <c r="L35" s="217"/>
      <c r="M35" s="217"/>
      <c r="N35" s="217"/>
      <c r="O35" s="217"/>
    </row>
    <row r="36" spans="1:17" ht="95.4" customHeight="1" x14ac:dyDescent="0.3">
      <c r="A36" s="211" t="s">
        <v>606</v>
      </c>
      <c r="B36" s="211" t="s">
        <v>607</v>
      </c>
      <c r="C36" s="7" t="s">
        <v>608</v>
      </c>
      <c r="D36" s="7" t="s">
        <v>609</v>
      </c>
      <c r="E36" s="7" t="s">
        <v>506</v>
      </c>
      <c r="F36" s="13" t="s">
        <v>610</v>
      </c>
      <c r="G36" s="33"/>
      <c r="H36" s="31"/>
      <c r="I36" s="31"/>
      <c r="J36" s="31">
        <v>1</v>
      </c>
      <c r="K36" s="24"/>
      <c r="L36" s="207" t="s">
        <v>611</v>
      </c>
      <c r="M36" s="7" t="s">
        <v>612</v>
      </c>
      <c r="N36" s="7" t="s">
        <v>613</v>
      </c>
      <c r="O36" s="13" t="s">
        <v>614</v>
      </c>
      <c r="Q36" s="5"/>
    </row>
    <row r="37" spans="1:17" ht="79.2" customHeight="1" x14ac:dyDescent="0.3">
      <c r="A37" s="211"/>
      <c r="B37" s="211"/>
      <c r="C37" s="7" t="s">
        <v>615</v>
      </c>
      <c r="D37" s="7" t="s">
        <v>616</v>
      </c>
      <c r="E37" s="7" t="s">
        <v>524</v>
      </c>
      <c r="F37" s="13" t="s">
        <v>617</v>
      </c>
      <c r="G37" s="31"/>
      <c r="H37" s="31">
        <v>2</v>
      </c>
      <c r="I37" s="9"/>
      <c r="J37" s="32"/>
      <c r="K37" s="28"/>
      <c r="L37" s="207"/>
      <c r="M37" s="7" t="s">
        <v>618</v>
      </c>
      <c r="N37" s="7" t="s">
        <v>619</v>
      </c>
      <c r="O37" s="13" t="s">
        <v>620</v>
      </c>
    </row>
    <row r="38" spans="1:17" ht="107.4" customHeight="1" x14ac:dyDescent="0.3">
      <c r="A38" s="211"/>
      <c r="B38" s="211"/>
      <c r="C38" s="7" t="s">
        <v>621</v>
      </c>
      <c r="D38" s="7" t="s">
        <v>622</v>
      </c>
      <c r="E38" s="7" t="s">
        <v>524</v>
      </c>
      <c r="F38" s="13" t="s">
        <v>623</v>
      </c>
      <c r="G38" s="28"/>
      <c r="H38" s="28"/>
      <c r="I38" s="31"/>
      <c r="J38" s="31">
        <v>7</v>
      </c>
      <c r="K38" s="24"/>
      <c r="L38" s="207"/>
      <c r="M38" s="7" t="s">
        <v>624</v>
      </c>
      <c r="N38" s="7" t="s">
        <v>619</v>
      </c>
      <c r="O38" s="13" t="s">
        <v>625</v>
      </c>
    </row>
    <row r="39" spans="1:17" ht="118.2" customHeight="1" x14ac:dyDescent="0.3">
      <c r="A39" s="211"/>
      <c r="B39" s="211"/>
      <c r="C39" s="7" t="s">
        <v>626</v>
      </c>
      <c r="D39" s="7" t="s">
        <v>627</v>
      </c>
      <c r="E39" s="7" t="s">
        <v>506</v>
      </c>
      <c r="F39" s="13" t="s">
        <v>628</v>
      </c>
      <c r="G39" s="28"/>
      <c r="H39" s="28"/>
      <c r="I39" s="28"/>
      <c r="J39" s="28">
        <v>0.15</v>
      </c>
      <c r="K39" s="24"/>
      <c r="L39" s="207"/>
      <c r="M39" s="7" t="s">
        <v>629</v>
      </c>
      <c r="N39" s="7" t="s">
        <v>619</v>
      </c>
      <c r="O39" s="13" t="s">
        <v>630</v>
      </c>
    </row>
    <row r="40" spans="1:17" ht="118.2" customHeight="1" x14ac:dyDescent="0.3">
      <c r="A40" s="211"/>
      <c r="B40" s="211"/>
      <c r="C40" s="7" t="s">
        <v>631</v>
      </c>
      <c r="D40" s="7" t="s">
        <v>632</v>
      </c>
      <c r="E40" s="7" t="s">
        <v>524</v>
      </c>
      <c r="F40" s="13" t="s">
        <v>633</v>
      </c>
      <c r="G40" s="28"/>
      <c r="H40" s="28"/>
      <c r="I40" s="31">
        <v>4</v>
      </c>
      <c r="J40" s="28"/>
      <c r="K40" s="24"/>
      <c r="L40" s="207"/>
      <c r="M40" s="7" t="s">
        <v>634</v>
      </c>
      <c r="N40" s="7" t="s">
        <v>619</v>
      </c>
      <c r="O40" s="13" t="s">
        <v>635</v>
      </c>
    </row>
    <row r="41" spans="1:17" ht="79.2" customHeight="1" x14ac:dyDescent="0.3">
      <c r="A41" s="211"/>
      <c r="B41" s="211"/>
      <c r="C41" s="7" t="s">
        <v>636</v>
      </c>
      <c r="D41" s="7" t="s">
        <v>637</v>
      </c>
      <c r="E41" s="7" t="s">
        <v>638</v>
      </c>
      <c r="F41" s="13" t="s">
        <v>639</v>
      </c>
      <c r="G41" s="7"/>
      <c r="H41" s="7"/>
      <c r="I41" s="33">
        <v>680</v>
      </c>
      <c r="J41" s="33"/>
      <c r="K41" s="24"/>
      <c r="L41" s="207"/>
      <c r="M41" s="7" t="s">
        <v>640</v>
      </c>
      <c r="N41" s="7" t="s">
        <v>641</v>
      </c>
      <c r="O41" s="13" t="s">
        <v>642</v>
      </c>
    </row>
    <row r="42" spans="1:17" ht="79.2" customHeight="1" x14ac:dyDescent="0.3">
      <c r="A42" s="211"/>
      <c r="B42" s="211"/>
      <c r="C42" s="13" t="s">
        <v>643</v>
      </c>
      <c r="D42" s="7" t="s">
        <v>644</v>
      </c>
      <c r="E42" s="7" t="s">
        <v>524</v>
      </c>
      <c r="F42" s="13" t="s">
        <v>645</v>
      </c>
      <c r="G42" s="9">
        <v>510</v>
      </c>
      <c r="H42" s="9">
        <v>510</v>
      </c>
      <c r="I42" s="9">
        <v>510</v>
      </c>
      <c r="J42" s="9">
        <v>510</v>
      </c>
      <c r="K42" s="24"/>
      <c r="L42" s="207"/>
      <c r="M42" s="13" t="s">
        <v>646</v>
      </c>
      <c r="N42" s="13" t="s">
        <v>647</v>
      </c>
      <c r="O42" s="124" t="s">
        <v>648</v>
      </c>
    </row>
    <row r="43" spans="1:17" ht="165" customHeight="1" x14ac:dyDescent="0.3">
      <c r="A43" s="211"/>
      <c r="B43" s="211"/>
      <c r="C43" s="7" t="s">
        <v>649</v>
      </c>
      <c r="D43" s="7" t="s">
        <v>650</v>
      </c>
      <c r="E43" s="7" t="s">
        <v>638</v>
      </c>
      <c r="F43" s="13" t="s">
        <v>651</v>
      </c>
      <c r="G43" s="12">
        <v>54</v>
      </c>
      <c r="H43" s="12">
        <v>54</v>
      </c>
      <c r="I43" s="12">
        <v>54</v>
      </c>
      <c r="J43" s="12">
        <v>54</v>
      </c>
      <c r="K43" s="24"/>
      <c r="L43" s="207"/>
      <c r="M43" s="7" t="s">
        <v>652</v>
      </c>
      <c r="N43" s="7" t="s">
        <v>641</v>
      </c>
      <c r="O43" s="13" t="s">
        <v>653</v>
      </c>
    </row>
    <row r="44" spans="1:17" ht="153" customHeight="1" x14ac:dyDescent="0.3">
      <c r="A44" s="211"/>
      <c r="B44" s="211"/>
      <c r="C44" s="7" t="s">
        <v>654</v>
      </c>
      <c r="D44" s="7" t="s">
        <v>655</v>
      </c>
      <c r="E44" s="7" t="s">
        <v>524</v>
      </c>
      <c r="F44" s="13" t="s">
        <v>656</v>
      </c>
      <c r="G44" s="12">
        <v>40</v>
      </c>
      <c r="H44" s="12">
        <v>40</v>
      </c>
      <c r="I44" s="12">
        <v>40</v>
      </c>
      <c r="J44" s="12">
        <v>40</v>
      </c>
      <c r="K44" s="24"/>
      <c r="L44" s="207"/>
      <c r="M44" s="7" t="s">
        <v>657</v>
      </c>
      <c r="N44" s="7" t="s">
        <v>641</v>
      </c>
      <c r="O44" s="13" t="s">
        <v>658</v>
      </c>
    </row>
    <row r="45" spans="1:17" ht="79.2" customHeight="1" x14ac:dyDescent="0.3">
      <c r="A45" s="211"/>
      <c r="B45" s="211"/>
      <c r="C45" s="214" t="s">
        <v>659</v>
      </c>
      <c r="D45" s="7" t="s">
        <v>660</v>
      </c>
      <c r="E45" s="7" t="s">
        <v>638</v>
      </c>
      <c r="F45" s="34" t="s">
        <v>661</v>
      </c>
      <c r="G45" s="12">
        <v>533.75</v>
      </c>
      <c r="H45" s="12">
        <v>533.75</v>
      </c>
      <c r="I45" s="12">
        <v>533.75</v>
      </c>
      <c r="J45" s="12">
        <v>533.75</v>
      </c>
      <c r="K45" s="24"/>
      <c r="L45" s="207"/>
      <c r="M45" s="7" t="s">
        <v>662</v>
      </c>
      <c r="N45" s="7" t="s">
        <v>663</v>
      </c>
      <c r="O45" s="13" t="s">
        <v>664</v>
      </c>
    </row>
    <row r="46" spans="1:17" ht="79.2" customHeight="1" x14ac:dyDescent="0.3">
      <c r="A46" s="211"/>
      <c r="B46" s="211"/>
      <c r="C46" s="214"/>
      <c r="D46" s="7" t="s">
        <v>665</v>
      </c>
      <c r="E46" s="7"/>
      <c r="F46" s="124" t="s">
        <v>666</v>
      </c>
      <c r="G46" s="9" t="s">
        <v>667</v>
      </c>
      <c r="H46" s="9" t="s">
        <v>667</v>
      </c>
      <c r="I46" s="9" t="s">
        <v>667</v>
      </c>
      <c r="J46" s="9" t="s">
        <v>667</v>
      </c>
      <c r="K46" s="24"/>
      <c r="L46" s="207"/>
      <c r="M46" s="7" t="s">
        <v>668</v>
      </c>
      <c r="N46" s="7" t="s">
        <v>663</v>
      </c>
      <c r="O46" s="13" t="s">
        <v>669</v>
      </c>
    </row>
    <row r="47" spans="1:17" ht="19.8" customHeight="1" x14ac:dyDescent="0.3">
      <c r="A47" s="127"/>
      <c r="B47" s="127"/>
      <c r="C47" s="16"/>
      <c r="F47" s="128"/>
      <c r="K47" s="129"/>
      <c r="L47" s="129"/>
    </row>
    <row r="48" spans="1:17" ht="31.2" customHeight="1" x14ac:dyDescent="0.3">
      <c r="A48" s="123"/>
      <c r="B48" s="215" t="s">
        <v>488</v>
      </c>
      <c r="C48" s="221" t="s">
        <v>489</v>
      </c>
      <c r="D48" s="222" t="s">
        <v>490</v>
      </c>
      <c r="E48" s="215" t="s">
        <v>697</v>
      </c>
      <c r="F48" s="215" t="s">
        <v>491</v>
      </c>
      <c r="G48" s="215" t="s">
        <v>492</v>
      </c>
      <c r="H48" s="215"/>
      <c r="I48" s="215"/>
      <c r="J48" s="215"/>
      <c r="K48" s="215" t="s">
        <v>493</v>
      </c>
      <c r="L48" s="215" t="s">
        <v>698</v>
      </c>
      <c r="M48" s="215" t="s">
        <v>494</v>
      </c>
      <c r="N48" s="215" t="s">
        <v>495</v>
      </c>
      <c r="O48" s="218" t="s">
        <v>496</v>
      </c>
    </row>
    <row r="49" spans="1:17" ht="31.2" customHeight="1" thickBot="1" x14ac:dyDescent="0.35">
      <c r="A49" s="123"/>
      <c r="B49" s="193"/>
      <c r="C49" s="203"/>
      <c r="D49" s="205"/>
      <c r="E49" s="193"/>
      <c r="F49" s="193"/>
      <c r="G49" s="117" t="s">
        <v>497</v>
      </c>
      <c r="H49" s="117" t="s">
        <v>498</v>
      </c>
      <c r="I49" s="117" t="s">
        <v>499</v>
      </c>
      <c r="J49" s="117" t="s">
        <v>500</v>
      </c>
      <c r="K49" s="193"/>
      <c r="L49" s="193"/>
      <c r="M49" s="193"/>
      <c r="N49" s="193"/>
      <c r="O49" s="195"/>
    </row>
    <row r="50" spans="1:17" ht="27" customHeight="1" thickBot="1" x14ac:dyDescent="0.35">
      <c r="A50" s="196" t="s">
        <v>670</v>
      </c>
      <c r="B50" s="219"/>
      <c r="C50" s="219"/>
      <c r="D50" s="219"/>
      <c r="E50" s="219"/>
      <c r="F50" s="219"/>
      <c r="G50" s="219"/>
      <c r="H50" s="219"/>
      <c r="I50" s="219"/>
      <c r="J50" s="219"/>
      <c r="K50" s="219"/>
      <c r="L50" s="219"/>
      <c r="M50" s="219"/>
      <c r="N50" s="219"/>
      <c r="O50" s="220"/>
    </row>
    <row r="51" spans="1:17" ht="87" customHeight="1" x14ac:dyDescent="0.3">
      <c r="A51" s="208" t="s">
        <v>671</v>
      </c>
      <c r="B51" s="226" t="s">
        <v>672</v>
      </c>
      <c r="C51" s="223" t="s">
        <v>673</v>
      </c>
      <c r="D51" s="3" t="s">
        <v>674</v>
      </c>
      <c r="E51" s="3" t="s">
        <v>638</v>
      </c>
      <c r="F51" s="35" t="s">
        <v>675</v>
      </c>
      <c r="G51" s="30">
        <v>22075</v>
      </c>
      <c r="H51" s="30">
        <v>22075</v>
      </c>
      <c r="I51" s="30">
        <v>22075</v>
      </c>
      <c r="J51" s="30">
        <v>22075</v>
      </c>
      <c r="K51" s="229"/>
      <c r="L51" s="231" t="s">
        <v>676</v>
      </c>
      <c r="M51" s="17" t="s">
        <v>677</v>
      </c>
      <c r="N51" s="223" t="s">
        <v>678</v>
      </c>
      <c r="O51" s="4" t="s">
        <v>679</v>
      </c>
      <c r="Q51" s="36"/>
    </row>
    <row r="52" spans="1:17" ht="63.6" customHeight="1" x14ac:dyDescent="0.3">
      <c r="A52" s="209"/>
      <c r="B52" s="227"/>
      <c r="C52" s="211"/>
      <c r="D52" s="7" t="s">
        <v>680</v>
      </c>
      <c r="E52" s="7" t="s">
        <v>506</v>
      </c>
      <c r="F52" s="34" t="s">
        <v>681</v>
      </c>
      <c r="G52" s="10">
        <v>0.03</v>
      </c>
      <c r="H52" s="10">
        <v>0.03</v>
      </c>
      <c r="I52" s="10">
        <v>0.03</v>
      </c>
      <c r="J52" s="10">
        <v>0.03</v>
      </c>
      <c r="K52" s="207"/>
      <c r="L52" s="232"/>
      <c r="M52" s="7" t="s">
        <v>682</v>
      </c>
      <c r="N52" s="211"/>
      <c r="O52" s="11"/>
      <c r="Q52" s="36"/>
    </row>
    <row r="53" spans="1:17" ht="59.4" customHeight="1" x14ac:dyDescent="0.3">
      <c r="A53" s="209"/>
      <c r="B53" s="227"/>
      <c r="C53" s="211"/>
      <c r="D53" s="7" t="s">
        <v>683</v>
      </c>
      <c r="E53" s="7" t="s">
        <v>524</v>
      </c>
      <c r="F53" s="34" t="s">
        <v>684</v>
      </c>
      <c r="G53" s="31">
        <v>174</v>
      </c>
      <c r="H53" s="31">
        <v>174</v>
      </c>
      <c r="I53" s="31">
        <v>174</v>
      </c>
      <c r="J53" s="31">
        <v>175</v>
      </c>
      <c r="K53" s="207"/>
      <c r="L53" s="232"/>
      <c r="M53" s="7" t="s">
        <v>685</v>
      </c>
      <c r="N53" s="211"/>
      <c r="O53" s="11" t="s">
        <v>686</v>
      </c>
    </row>
    <row r="54" spans="1:17" ht="59.4" customHeight="1" x14ac:dyDescent="0.3">
      <c r="A54" s="209"/>
      <c r="B54" s="227"/>
      <c r="C54" s="211"/>
      <c r="D54" s="7" t="s">
        <v>687</v>
      </c>
      <c r="E54" s="7" t="s">
        <v>562</v>
      </c>
      <c r="F54" s="13" t="s">
        <v>688</v>
      </c>
      <c r="G54" s="9"/>
      <c r="H54" s="9">
        <v>25</v>
      </c>
      <c r="I54" s="9"/>
      <c r="J54" s="9">
        <v>25</v>
      </c>
      <c r="K54" s="207"/>
      <c r="L54" s="232"/>
      <c r="M54" s="7" t="s">
        <v>689</v>
      </c>
      <c r="N54" s="211"/>
      <c r="O54" s="11" t="s">
        <v>690</v>
      </c>
    </row>
    <row r="55" spans="1:17" ht="59.4" customHeight="1" x14ac:dyDescent="0.3">
      <c r="A55" s="225"/>
      <c r="B55" s="227"/>
      <c r="C55" s="211"/>
      <c r="D55" s="7" t="s">
        <v>691</v>
      </c>
      <c r="E55" s="7" t="s">
        <v>524</v>
      </c>
      <c r="F55" s="34" t="s">
        <v>692</v>
      </c>
      <c r="G55" s="31">
        <v>9</v>
      </c>
      <c r="H55" s="31">
        <v>9</v>
      </c>
      <c r="I55" s="31">
        <v>9</v>
      </c>
      <c r="J55" s="31">
        <v>8</v>
      </c>
      <c r="K55" s="207"/>
      <c r="L55" s="232"/>
      <c r="M55" s="7" t="s">
        <v>685</v>
      </c>
      <c r="N55" s="211"/>
      <c r="O55" s="11" t="s">
        <v>693</v>
      </c>
    </row>
    <row r="56" spans="1:17" ht="56.4" customHeight="1" thickBot="1" x14ac:dyDescent="0.35">
      <c r="A56" s="210"/>
      <c r="B56" s="228"/>
      <c r="C56" s="224"/>
      <c r="D56" s="14" t="s">
        <v>694</v>
      </c>
      <c r="E56" s="14" t="s">
        <v>506</v>
      </c>
      <c r="F56" s="37" t="s">
        <v>695</v>
      </c>
      <c r="G56" s="38"/>
      <c r="H56" s="38"/>
      <c r="I56" s="38"/>
      <c r="J56" s="39">
        <v>1E-3</v>
      </c>
      <c r="K56" s="230"/>
      <c r="L56" s="233"/>
      <c r="M56" s="14" t="s">
        <v>696</v>
      </c>
      <c r="N56" s="224"/>
      <c r="O56" s="15"/>
    </row>
    <row r="58" spans="1:17" x14ac:dyDescent="0.25">
      <c r="B58" s="44" t="s">
        <v>737</v>
      </c>
    </row>
  </sheetData>
  <mergeCells count="74">
    <mergeCell ref="A3:O5"/>
    <mergeCell ref="A2:O2"/>
    <mergeCell ref="A1:O1"/>
    <mergeCell ref="A51:A56"/>
    <mergeCell ref="B51:B56"/>
    <mergeCell ref="C51:C56"/>
    <mergeCell ref="K51:K56"/>
    <mergeCell ref="L51:L56"/>
    <mergeCell ref="N51:N56"/>
    <mergeCell ref="K48:K49"/>
    <mergeCell ref="L48:L49"/>
    <mergeCell ref="M48:M49"/>
    <mergeCell ref="N48:N49"/>
    <mergeCell ref="O48:O49"/>
    <mergeCell ref="A50:O50"/>
    <mergeCell ref="B48:B49"/>
    <mergeCell ref="C48:C49"/>
    <mergeCell ref="D48:D49"/>
    <mergeCell ref="E48:E49"/>
    <mergeCell ref="F48:F49"/>
    <mergeCell ref="G48:J48"/>
    <mergeCell ref="O33:O34"/>
    <mergeCell ref="A35:O35"/>
    <mergeCell ref="A36:A46"/>
    <mergeCell ref="B36:B46"/>
    <mergeCell ref="L36:L46"/>
    <mergeCell ref="C45:C46"/>
    <mergeCell ref="F33:F34"/>
    <mergeCell ref="G33:J33"/>
    <mergeCell ref="K33:K34"/>
    <mergeCell ref="L33:L34"/>
    <mergeCell ref="M33:M34"/>
    <mergeCell ref="N33:N34"/>
    <mergeCell ref="B33:B34"/>
    <mergeCell ref="C33:C34"/>
    <mergeCell ref="D33:D34"/>
    <mergeCell ref="E33:E34"/>
    <mergeCell ref="N16:N17"/>
    <mergeCell ref="O16:O17"/>
    <mergeCell ref="A18:O18"/>
    <mergeCell ref="A19:A31"/>
    <mergeCell ref="B19:B27"/>
    <mergeCell ref="K19:K31"/>
    <mergeCell ref="L19:L31"/>
    <mergeCell ref="C22:C23"/>
    <mergeCell ref="N22:N23"/>
    <mergeCell ref="B29:B31"/>
    <mergeCell ref="E16:E17"/>
    <mergeCell ref="F16:F17"/>
    <mergeCell ref="G16:J16"/>
    <mergeCell ref="K16:K17"/>
    <mergeCell ref="L16:L17"/>
    <mergeCell ref="M16:M17"/>
    <mergeCell ref="B16:B17"/>
    <mergeCell ref="C16:C17"/>
    <mergeCell ref="D16:D17"/>
    <mergeCell ref="A9:A14"/>
    <mergeCell ref="B9:B14"/>
    <mergeCell ref="C9:C14"/>
    <mergeCell ref="K9:K14"/>
    <mergeCell ref="L9:L14"/>
    <mergeCell ref="K6:K7"/>
    <mergeCell ref="L6:L7"/>
    <mergeCell ref="M6:M7"/>
    <mergeCell ref="N6:N7"/>
    <mergeCell ref="O6:O7"/>
    <mergeCell ref="A8:O8"/>
    <mergeCell ref="A6:A7"/>
    <mergeCell ref="B6:B7"/>
    <mergeCell ref="C6:C7"/>
    <mergeCell ref="D6:D7"/>
    <mergeCell ref="E6:E7"/>
    <mergeCell ref="F6:F7"/>
    <mergeCell ref="G6:J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Ingresos 2023</vt:lpstr>
      <vt:lpstr>Egresos 2023</vt:lpstr>
      <vt:lpstr>Indicadores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Navarro Obando</dc:creator>
  <cp:lastModifiedBy>Marlen Salazar Zamora</cp:lastModifiedBy>
  <dcterms:created xsi:type="dcterms:W3CDTF">2025-07-04T17:10:07Z</dcterms:created>
  <dcterms:modified xsi:type="dcterms:W3CDTF">2025-07-10T17:13:06Z</dcterms:modified>
</cp:coreProperties>
</file>