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invucr-my.sharepoint.com/personal/msalazar_invu_go_cr/Documents/PLANIFICACION/2025/Públicaciones en el Web/Pendiente de VB para subir a la Web presupuesto 2021-2025/"/>
    </mc:Choice>
  </mc:AlternateContent>
  <xr:revisionPtr revIDLastSave="19" documentId="8_{0F9D18BC-8490-403C-9E3A-48EC54E0F71B}" xr6:coauthVersionLast="47" xr6:coauthVersionMax="47" xr10:uidLastSave="{78A410A2-CD27-496B-9836-EDAE84DEC789}"/>
  <bookViews>
    <workbookView xWindow="-108" yWindow="-108" windowWidth="23256" windowHeight="13896" activeTab="2" xr2:uid="{E56D8ECF-6E3C-4A1A-8432-FB4D2CAE5EDF}"/>
  </bookViews>
  <sheets>
    <sheet name="Ingresos 2024" sheetId="1" r:id="rId1"/>
    <sheet name="Egresos 2024" sheetId="2" r:id="rId2"/>
    <sheet name="Indicadores" sheetId="6" r:id="rId3"/>
  </sheets>
  <externalReferences>
    <externalReference r:id="rId4"/>
    <externalReference r:id="rId5"/>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 i="6" l="1"/>
  <c r="Q62" i="6"/>
  <c r="AL250" i="2"/>
  <c r="AK250" i="2"/>
  <c r="AK248" i="2" s="1"/>
  <c r="AK247" i="2" s="1"/>
  <c r="AE250" i="2"/>
  <c r="Y250" i="2"/>
  <c r="D250" i="2"/>
  <c r="AL249" i="2"/>
  <c r="AJ249" i="2" s="1"/>
  <c r="AE249" i="2"/>
  <c r="Y249" i="2"/>
  <c r="D249" i="2"/>
  <c r="AO248" i="2"/>
  <c r="AO247" i="2" s="1"/>
  <c r="AN248" i="2"/>
  <c r="AN247" i="2" s="1"/>
  <c r="AM248" i="2"/>
  <c r="AM247" i="2" s="1"/>
  <c r="AI248" i="2"/>
  <c r="AI247" i="2" s="1"/>
  <c r="AH248" i="2"/>
  <c r="AH247" i="2" s="1"/>
  <c r="AG248" i="2"/>
  <c r="AG247" i="2" s="1"/>
  <c r="AF248" i="2"/>
  <c r="AF247" i="2" s="1"/>
  <c r="AD248" i="2"/>
  <c r="AD247" i="2" s="1"/>
  <c r="AC248" i="2"/>
  <c r="AC247" i="2" s="1"/>
  <c r="AB248" i="2"/>
  <c r="AB247" i="2" s="1"/>
  <c r="AA248" i="2"/>
  <c r="AA247" i="2" s="1"/>
  <c r="Z248" i="2"/>
  <c r="Z247" i="2" s="1"/>
  <c r="X248" i="2"/>
  <c r="X247" i="2" s="1"/>
  <c r="W248" i="2"/>
  <c r="W247" i="2" s="1"/>
  <c r="V248" i="2"/>
  <c r="V247" i="2" s="1"/>
  <c r="U248" i="2"/>
  <c r="U247" i="2" s="1"/>
  <c r="T248" i="2"/>
  <c r="T247" i="2" s="1"/>
  <c r="S248" i="2"/>
  <c r="S247" i="2" s="1"/>
  <c r="R248" i="2"/>
  <c r="R247" i="2" s="1"/>
  <c r="Q248" i="2"/>
  <c r="Q247" i="2" s="1"/>
  <c r="P248" i="2"/>
  <c r="P247" i="2" s="1"/>
  <c r="O248" i="2"/>
  <c r="O247" i="2" s="1"/>
  <c r="N248" i="2"/>
  <c r="N247" i="2" s="1"/>
  <c r="M248" i="2"/>
  <c r="M247" i="2" s="1"/>
  <c r="L248" i="2"/>
  <c r="L247" i="2" s="1"/>
  <c r="K248" i="2"/>
  <c r="K247" i="2" s="1"/>
  <c r="J248" i="2"/>
  <c r="J247" i="2" s="1"/>
  <c r="I248" i="2"/>
  <c r="I247" i="2" s="1"/>
  <c r="H248" i="2"/>
  <c r="H247" i="2" s="1"/>
  <c r="G248" i="2"/>
  <c r="G247" i="2" s="1"/>
  <c r="F248" i="2"/>
  <c r="F247" i="2" s="1"/>
  <c r="E248" i="2"/>
  <c r="E247" i="2" s="1"/>
  <c r="AE245" i="2"/>
  <c r="C245" i="2" s="1"/>
  <c r="AE244" i="2"/>
  <c r="C244" i="2"/>
  <c r="AL243" i="2"/>
  <c r="AJ243" i="2" s="1"/>
  <c r="AG243" i="2"/>
  <c r="AG239" i="2" s="1"/>
  <c r="Y243" i="2"/>
  <c r="D243" i="2"/>
  <c r="AL242" i="2"/>
  <c r="AJ242" i="2" s="1"/>
  <c r="AE242" i="2"/>
  <c r="Y242" i="2"/>
  <c r="D242" i="2"/>
  <c r="AL241" i="2"/>
  <c r="AJ241" i="2" s="1"/>
  <c r="AH241" i="2"/>
  <c r="Y241" i="2"/>
  <c r="D241" i="2"/>
  <c r="AL240" i="2"/>
  <c r="AJ240" i="2" s="1"/>
  <c r="AH240" i="2"/>
  <c r="AE240" i="2" s="1"/>
  <c r="Y240" i="2"/>
  <c r="D240" i="2"/>
  <c r="AO239" i="2"/>
  <c r="AN239" i="2"/>
  <c r="AM239" i="2"/>
  <c r="AK239" i="2"/>
  <c r="AI239" i="2"/>
  <c r="AF239" i="2"/>
  <c r="AD239" i="2"/>
  <c r="AC239" i="2"/>
  <c r="AB239" i="2"/>
  <c r="AA239" i="2"/>
  <c r="Z239" i="2"/>
  <c r="X239" i="2"/>
  <c r="W239" i="2"/>
  <c r="V239" i="2"/>
  <c r="U239" i="2"/>
  <c r="T239" i="2"/>
  <c r="S239" i="2"/>
  <c r="R239" i="2"/>
  <c r="Q239" i="2"/>
  <c r="P239" i="2"/>
  <c r="O239" i="2"/>
  <c r="N239" i="2"/>
  <c r="M239" i="2"/>
  <c r="L239" i="2"/>
  <c r="K239" i="2"/>
  <c r="J239" i="2"/>
  <c r="I239" i="2"/>
  <c r="H239" i="2"/>
  <c r="G239" i="2"/>
  <c r="F239" i="2"/>
  <c r="E239" i="2"/>
  <c r="AL237" i="2"/>
  <c r="AL236" i="2" s="1"/>
  <c r="AH237" i="2"/>
  <c r="Y237" i="2"/>
  <c r="Y236" i="2" s="1"/>
  <c r="D237" i="2"/>
  <c r="D236" i="2" s="1"/>
  <c r="AO236" i="2"/>
  <c r="AN236" i="2"/>
  <c r="AM236" i="2"/>
  <c r="AK236" i="2"/>
  <c r="AI236" i="2"/>
  <c r="AG236" i="2"/>
  <c r="AF236" i="2"/>
  <c r="AD236" i="2"/>
  <c r="AC236" i="2"/>
  <c r="AB236" i="2"/>
  <c r="AA236" i="2"/>
  <c r="Z236" i="2"/>
  <c r="X236" i="2"/>
  <c r="W236" i="2"/>
  <c r="V236" i="2"/>
  <c r="U236" i="2"/>
  <c r="T236" i="2"/>
  <c r="S236" i="2"/>
  <c r="R236" i="2"/>
  <c r="Q236" i="2"/>
  <c r="P236" i="2"/>
  <c r="O236" i="2"/>
  <c r="N236" i="2"/>
  <c r="M236" i="2"/>
  <c r="L236" i="2"/>
  <c r="K236" i="2"/>
  <c r="J236" i="2"/>
  <c r="I236" i="2"/>
  <c r="H236" i="2"/>
  <c r="G236" i="2"/>
  <c r="F236" i="2"/>
  <c r="E236" i="2"/>
  <c r="AL232" i="2"/>
  <c r="AJ232" i="2" s="1"/>
  <c r="AJ231" i="2" s="1"/>
  <c r="AE232" i="2"/>
  <c r="AE231" i="2" s="1"/>
  <c r="Y232" i="2"/>
  <c r="D232" i="2"/>
  <c r="D231" i="2" s="1"/>
  <c r="AO231" i="2"/>
  <c r="AN231" i="2"/>
  <c r="AM231" i="2"/>
  <c r="AK231" i="2"/>
  <c r="AI231" i="2"/>
  <c r="AH231" i="2"/>
  <c r="AG231" i="2"/>
  <c r="AF231" i="2"/>
  <c r="AD231" i="2"/>
  <c r="AC231" i="2"/>
  <c r="AB231" i="2"/>
  <c r="AA231" i="2"/>
  <c r="Z231" i="2"/>
  <c r="X231" i="2"/>
  <c r="W231" i="2"/>
  <c r="V231" i="2"/>
  <c r="U231" i="2"/>
  <c r="T231" i="2"/>
  <c r="S231" i="2"/>
  <c r="R231" i="2"/>
  <c r="Q231" i="2"/>
  <c r="P231" i="2"/>
  <c r="O231" i="2"/>
  <c r="N231" i="2"/>
  <c r="M231" i="2"/>
  <c r="L231" i="2"/>
  <c r="K231" i="2"/>
  <c r="J231" i="2"/>
  <c r="I231" i="2"/>
  <c r="H231" i="2"/>
  <c r="G231" i="2"/>
  <c r="F231" i="2"/>
  <c r="E231" i="2"/>
  <c r="AL229" i="2"/>
  <c r="AJ229" i="2" s="1"/>
  <c r="AE229" i="2"/>
  <c r="Y229" i="2"/>
  <c r="D229" i="2"/>
  <c r="AL228" i="2"/>
  <c r="AJ228" i="2" s="1"/>
  <c r="AE228" i="2"/>
  <c r="AE227" i="2" s="1"/>
  <c r="Y228" i="2"/>
  <c r="P228" i="2"/>
  <c r="P227" i="2" s="1"/>
  <c r="AO227" i="2"/>
  <c r="AN227" i="2"/>
  <c r="AM227" i="2"/>
  <c r="AK227" i="2"/>
  <c r="AI227" i="2"/>
  <c r="AH227" i="2"/>
  <c r="AG227" i="2"/>
  <c r="AF227" i="2"/>
  <c r="AD227" i="2"/>
  <c r="AC227" i="2"/>
  <c r="AB227" i="2"/>
  <c r="AA227" i="2"/>
  <c r="Z227" i="2"/>
  <c r="X227" i="2"/>
  <c r="W227" i="2"/>
  <c r="V227" i="2"/>
  <c r="U227" i="2"/>
  <c r="T227" i="2"/>
  <c r="S227" i="2"/>
  <c r="R227" i="2"/>
  <c r="Q227" i="2"/>
  <c r="O227" i="2"/>
  <c r="N227" i="2"/>
  <c r="M227" i="2"/>
  <c r="L227" i="2"/>
  <c r="K227" i="2"/>
  <c r="J227" i="2"/>
  <c r="I227" i="2"/>
  <c r="H227" i="2"/>
  <c r="G227" i="2"/>
  <c r="F227" i="2"/>
  <c r="E227" i="2"/>
  <c r="AL225" i="2"/>
  <c r="AJ225" i="2" s="1"/>
  <c r="AE225" i="2"/>
  <c r="Y225" i="2"/>
  <c r="D225" i="2"/>
  <c r="AL224" i="2"/>
  <c r="AJ224" i="2"/>
  <c r="AE224" i="2"/>
  <c r="Y224" i="2"/>
  <c r="D224" i="2"/>
  <c r="C224" i="2" s="1"/>
  <c r="AO223" i="2"/>
  <c r="AN223" i="2"/>
  <c r="AM223" i="2"/>
  <c r="AK223" i="2"/>
  <c r="AI223" i="2"/>
  <c r="AH223" i="2"/>
  <c r="AG223" i="2"/>
  <c r="AF223" i="2"/>
  <c r="AD223" i="2"/>
  <c r="AC223" i="2"/>
  <c r="AB223" i="2"/>
  <c r="AA223" i="2"/>
  <c r="Z223" i="2"/>
  <c r="X223" i="2"/>
  <c r="W223" i="2"/>
  <c r="V223" i="2"/>
  <c r="U223" i="2"/>
  <c r="T223" i="2"/>
  <c r="S223" i="2"/>
  <c r="R223" i="2"/>
  <c r="Q223" i="2"/>
  <c r="P223" i="2"/>
  <c r="O223" i="2"/>
  <c r="N223" i="2"/>
  <c r="M223" i="2"/>
  <c r="L223" i="2"/>
  <c r="K223" i="2"/>
  <c r="J223" i="2"/>
  <c r="I223" i="2"/>
  <c r="H223" i="2"/>
  <c r="G223" i="2"/>
  <c r="F223" i="2"/>
  <c r="E223" i="2"/>
  <c r="AL221" i="2"/>
  <c r="AJ221" i="2" s="1"/>
  <c r="AE221" i="2"/>
  <c r="Y221" i="2"/>
  <c r="D221" i="2"/>
  <c r="AL220" i="2"/>
  <c r="AK220" i="2"/>
  <c r="AE220" i="2"/>
  <c r="Y220" i="2"/>
  <c r="H220" i="2"/>
  <c r="D220" i="2" s="1"/>
  <c r="AL219" i="2"/>
  <c r="AE219" i="2"/>
  <c r="Y219" i="2"/>
  <c r="D219" i="2"/>
  <c r="AO218" i="2"/>
  <c r="AN218" i="2"/>
  <c r="AM218" i="2"/>
  <c r="AI218" i="2"/>
  <c r="AH218" i="2"/>
  <c r="AG218" i="2"/>
  <c r="AF218" i="2"/>
  <c r="AD218" i="2"/>
  <c r="AC218" i="2"/>
  <c r="AB218" i="2"/>
  <c r="AA218" i="2"/>
  <c r="Z218" i="2"/>
  <c r="X218" i="2"/>
  <c r="W218" i="2"/>
  <c r="V218" i="2"/>
  <c r="U218" i="2"/>
  <c r="T218" i="2"/>
  <c r="S218" i="2"/>
  <c r="R218" i="2"/>
  <c r="Q218" i="2"/>
  <c r="P218" i="2"/>
  <c r="O218" i="2"/>
  <c r="N218" i="2"/>
  <c r="M218" i="2"/>
  <c r="L218" i="2"/>
  <c r="K218" i="2"/>
  <c r="J218" i="2"/>
  <c r="I218" i="2"/>
  <c r="G218" i="2"/>
  <c r="F218" i="2"/>
  <c r="E218" i="2"/>
  <c r="AL216" i="2"/>
  <c r="AL215" i="2" s="1"/>
  <c r="AE216" i="2"/>
  <c r="AE215" i="2" s="1"/>
  <c r="Y216" i="2"/>
  <c r="Y215" i="2" s="1"/>
  <c r="D216" i="2"/>
  <c r="D215" i="2" s="1"/>
  <c r="AO215" i="2"/>
  <c r="AN215" i="2"/>
  <c r="AM215" i="2"/>
  <c r="AK215" i="2"/>
  <c r="AI215" i="2"/>
  <c r="AH215" i="2"/>
  <c r="AG215" i="2"/>
  <c r="AF215" i="2"/>
  <c r="AD215" i="2"/>
  <c r="AC215" i="2"/>
  <c r="AB215" i="2"/>
  <c r="AA215" i="2"/>
  <c r="Z215" i="2"/>
  <c r="X215" i="2"/>
  <c r="W215" i="2"/>
  <c r="V215" i="2"/>
  <c r="U215" i="2"/>
  <c r="T215" i="2"/>
  <c r="S215" i="2"/>
  <c r="R215" i="2"/>
  <c r="Q215" i="2"/>
  <c r="P215" i="2"/>
  <c r="O215" i="2"/>
  <c r="N215" i="2"/>
  <c r="M215" i="2"/>
  <c r="L215" i="2"/>
  <c r="K215" i="2"/>
  <c r="J215" i="2"/>
  <c r="I215" i="2"/>
  <c r="H215" i="2"/>
  <c r="G215" i="2"/>
  <c r="F215" i="2"/>
  <c r="E215" i="2"/>
  <c r="AL211" i="2"/>
  <c r="AL210" i="2" s="1"/>
  <c r="AK211" i="2"/>
  <c r="AK210" i="2" s="1"/>
  <c r="AE211" i="2"/>
  <c r="AE210" i="2" s="1"/>
  <c r="Y211" i="2"/>
  <c r="Y210" i="2" s="1"/>
  <c r="I211" i="2"/>
  <c r="AO210" i="2"/>
  <c r="AN210" i="2"/>
  <c r="AM210" i="2"/>
  <c r="AI210" i="2"/>
  <c r="AH210" i="2"/>
  <c r="AG210" i="2"/>
  <c r="AF210" i="2"/>
  <c r="AD210" i="2"/>
  <c r="AC210" i="2"/>
  <c r="AB210" i="2"/>
  <c r="AA210" i="2"/>
  <c r="Z210" i="2"/>
  <c r="X210" i="2"/>
  <c r="W210" i="2"/>
  <c r="V210" i="2"/>
  <c r="U210" i="2"/>
  <c r="T210" i="2"/>
  <c r="S210" i="2"/>
  <c r="R210" i="2"/>
  <c r="Q210" i="2"/>
  <c r="P210" i="2"/>
  <c r="O210" i="2"/>
  <c r="N210" i="2"/>
  <c r="M210" i="2"/>
  <c r="L210" i="2"/>
  <c r="K210" i="2"/>
  <c r="J210" i="2"/>
  <c r="H210" i="2"/>
  <c r="G210" i="2"/>
  <c r="F210" i="2"/>
  <c r="E210" i="2"/>
  <c r="AL208" i="2"/>
  <c r="AE208" i="2"/>
  <c r="AE207" i="2" s="1"/>
  <c r="Y208" i="2"/>
  <c r="D208" i="2"/>
  <c r="D207" i="2" s="1"/>
  <c r="AO207" i="2"/>
  <c r="AN207" i="2"/>
  <c r="AM207" i="2"/>
  <c r="AK207" i="2"/>
  <c r="AI207" i="2"/>
  <c r="AH207" i="2"/>
  <c r="AG207" i="2"/>
  <c r="AF207" i="2"/>
  <c r="AD207" i="2"/>
  <c r="AC207" i="2"/>
  <c r="AB207" i="2"/>
  <c r="AA207" i="2"/>
  <c r="Z207" i="2"/>
  <c r="X207" i="2"/>
  <c r="W207" i="2"/>
  <c r="V207" i="2"/>
  <c r="U207" i="2"/>
  <c r="T207" i="2"/>
  <c r="S207" i="2"/>
  <c r="R207" i="2"/>
  <c r="Q207" i="2"/>
  <c r="P207" i="2"/>
  <c r="O207" i="2"/>
  <c r="N207" i="2"/>
  <c r="M207" i="2"/>
  <c r="L207" i="2"/>
  <c r="K207" i="2"/>
  <c r="J207" i="2"/>
  <c r="I207" i="2"/>
  <c r="H207" i="2"/>
  <c r="G207" i="2"/>
  <c r="F207" i="2"/>
  <c r="E207" i="2"/>
  <c r="AL205" i="2"/>
  <c r="AJ205" i="2" s="1"/>
  <c r="AE205" i="2"/>
  <c r="Y205" i="2"/>
  <c r="D205" i="2"/>
  <c r="D204" i="2"/>
  <c r="AL203" i="2"/>
  <c r="AJ203" i="2" s="1"/>
  <c r="AE203" i="2"/>
  <c r="Y203" i="2"/>
  <c r="D203" i="2"/>
  <c r="AE202" i="2"/>
  <c r="D202" i="2"/>
  <c r="AL201" i="2"/>
  <c r="AJ201" i="2" s="1"/>
  <c r="AE201" i="2"/>
  <c r="Y201" i="2"/>
  <c r="D201" i="2"/>
  <c r="AE200" i="2"/>
  <c r="C200" i="2" s="1"/>
  <c r="AE199" i="2"/>
  <c r="C199" i="2" s="1"/>
  <c r="AE198" i="2"/>
  <c r="AO197" i="2"/>
  <c r="AN197" i="2"/>
  <c r="AM197" i="2"/>
  <c r="AK197" i="2"/>
  <c r="AI197" i="2"/>
  <c r="AH197" i="2"/>
  <c r="AG197" i="2"/>
  <c r="AF197" i="2"/>
  <c r="AD197" i="2"/>
  <c r="AC197" i="2"/>
  <c r="AB197" i="2"/>
  <c r="AA197" i="2"/>
  <c r="Z197" i="2"/>
  <c r="X197" i="2"/>
  <c r="W197" i="2"/>
  <c r="V197" i="2"/>
  <c r="U197" i="2"/>
  <c r="T197" i="2"/>
  <c r="S197" i="2"/>
  <c r="R197" i="2"/>
  <c r="Q197" i="2"/>
  <c r="P197" i="2"/>
  <c r="O197" i="2"/>
  <c r="N197" i="2"/>
  <c r="M197" i="2"/>
  <c r="L197" i="2"/>
  <c r="K197" i="2"/>
  <c r="J197" i="2"/>
  <c r="I197" i="2"/>
  <c r="H197" i="2"/>
  <c r="G197" i="2"/>
  <c r="F197" i="2"/>
  <c r="E197" i="2"/>
  <c r="AL195" i="2"/>
  <c r="AL194" i="2" s="1"/>
  <c r="AK195" i="2"/>
  <c r="AJ195" i="2" s="1"/>
  <c r="AJ194" i="2" s="1"/>
  <c r="AE195" i="2"/>
  <c r="AE194" i="2" s="1"/>
  <c r="Y195" i="2"/>
  <c r="Y194" i="2" s="1"/>
  <c r="O195" i="2"/>
  <c r="AO194" i="2"/>
  <c r="AN194" i="2"/>
  <c r="AM194" i="2"/>
  <c r="AI194" i="2"/>
  <c r="AH194" i="2"/>
  <c r="AG194" i="2"/>
  <c r="AF194" i="2"/>
  <c r="AD194" i="2"/>
  <c r="AC194" i="2"/>
  <c r="AB194" i="2"/>
  <c r="AA194" i="2"/>
  <c r="Z194" i="2"/>
  <c r="X194" i="2"/>
  <c r="W194" i="2"/>
  <c r="V194" i="2"/>
  <c r="U194" i="2"/>
  <c r="T194" i="2"/>
  <c r="S194" i="2"/>
  <c r="R194" i="2"/>
  <c r="Q194" i="2"/>
  <c r="P194" i="2"/>
  <c r="N194" i="2"/>
  <c r="M194" i="2"/>
  <c r="L194" i="2"/>
  <c r="K194" i="2"/>
  <c r="J194" i="2"/>
  <c r="I194" i="2"/>
  <c r="H194" i="2"/>
  <c r="G194" i="2"/>
  <c r="F194" i="2"/>
  <c r="E194" i="2"/>
  <c r="AL192" i="2"/>
  <c r="AJ192" i="2" s="1"/>
  <c r="AE192" i="2"/>
  <c r="Y192" i="2"/>
  <c r="D192" i="2"/>
  <c r="AL191" i="2"/>
  <c r="AK191" i="2"/>
  <c r="AE191" i="2"/>
  <c r="Y191" i="2"/>
  <c r="I191" i="2"/>
  <c r="AL190" i="2"/>
  <c r="AJ190" i="2" s="1"/>
  <c r="AE190" i="2"/>
  <c r="Y190" i="2"/>
  <c r="D190" i="2"/>
  <c r="AL189" i="2"/>
  <c r="AK189" i="2"/>
  <c r="AE189" i="2"/>
  <c r="Y189" i="2"/>
  <c r="O189" i="2"/>
  <c r="D189" i="2" s="1"/>
  <c r="AL188" i="2"/>
  <c r="AE188" i="2"/>
  <c r="Y188" i="2"/>
  <c r="D188" i="2"/>
  <c r="AO187" i="2"/>
  <c r="AN187" i="2"/>
  <c r="AM187" i="2"/>
  <c r="AI187" i="2"/>
  <c r="AH187" i="2"/>
  <c r="AG187" i="2"/>
  <c r="AF187" i="2"/>
  <c r="AD187" i="2"/>
  <c r="AC187" i="2"/>
  <c r="AB187" i="2"/>
  <c r="AA187" i="2"/>
  <c r="Z187" i="2"/>
  <c r="X187" i="2"/>
  <c r="W187" i="2"/>
  <c r="V187" i="2"/>
  <c r="U187" i="2"/>
  <c r="T187" i="2"/>
  <c r="S187" i="2"/>
  <c r="R187" i="2"/>
  <c r="Q187" i="2"/>
  <c r="P187" i="2"/>
  <c r="N187" i="2"/>
  <c r="M187" i="2"/>
  <c r="L187" i="2"/>
  <c r="K187" i="2"/>
  <c r="J187" i="2"/>
  <c r="H187" i="2"/>
  <c r="G187" i="2"/>
  <c r="F187" i="2"/>
  <c r="E187" i="2"/>
  <c r="AL183" i="2"/>
  <c r="AJ183" i="2" s="1"/>
  <c r="AE183" i="2"/>
  <c r="Y183" i="2"/>
  <c r="D183" i="2"/>
  <c r="AL182" i="2"/>
  <c r="AK182" i="2"/>
  <c r="AK181" i="2" s="1"/>
  <c r="AE182" i="2"/>
  <c r="Y182" i="2"/>
  <c r="D182" i="2"/>
  <c r="AO181" i="2"/>
  <c r="AN181" i="2"/>
  <c r="AM181" i="2"/>
  <c r="AI181" i="2"/>
  <c r="AH181" i="2"/>
  <c r="AG181" i="2"/>
  <c r="AF181" i="2"/>
  <c r="AD181" i="2"/>
  <c r="AC181" i="2"/>
  <c r="AB181" i="2"/>
  <c r="AA181" i="2"/>
  <c r="Z181" i="2"/>
  <c r="X181" i="2"/>
  <c r="W181" i="2"/>
  <c r="V181" i="2"/>
  <c r="U181" i="2"/>
  <c r="T181" i="2"/>
  <c r="S181" i="2"/>
  <c r="R181" i="2"/>
  <c r="Q181" i="2"/>
  <c r="P181" i="2"/>
  <c r="O181" i="2"/>
  <c r="N181" i="2"/>
  <c r="M181" i="2"/>
  <c r="L181" i="2"/>
  <c r="K181" i="2"/>
  <c r="J181" i="2"/>
  <c r="I181" i="2"/>
  <c r="H181" i="2"/>
  <c r="G181" i="2"/>
  <c r="F181" i="2"/>
  <c r="E181" i="2"/>
  <c r="AL179" i="2"/>
  <c r="AL178" i="2" s="1"/>
  <c r="AL177" i="2" s="1"/>
  <c r="AE179" i="2"/>
  <c r="AE178" i="2" s="1"/>
  <c r="AE177" i="2" s="1"/>
  <c r="Y179" i="2"/>
  <c r="Y178" i="2" s="1"/>
  <c r="Y177" i="2" s="1"/>
  <c r="D179" i="2"/>
  <c r="D178" i="2" s="1"/>
  <c r="D177" i="2" s="1"/>
  <c r="AO178" i="2"/>
  <c r="AO177" i="2" s="1"/>
  <c r="AN178" i="2"/>
  <c r="AN177" i="2" s="1"/>
  <c r="AM178" i="2"/>
  <c r="AM177" i="2" s="1"/>
  <c r="AK178" i="2"/>
  <c r="AK177" i="2" s="1"/>
  <c r="AI178" i="2"/>
  <c r="AI177" i="2" s="1"/>
  <c r="AH178" i="2"/>
  <c r="AH177" i="2" s="1"/>
  <c r="AG178" i="2"/>
  <c r="AG177" i="2" s="1"/>
  <c r="AF178" i="2"/>
  <c r="AF177" i="2" s="1"/>
  <c r="AD178" i="2"/>
  <c r="AD177" i="2" s="1"/>
  <c r="AC178" i="2"/>
  <c r="AC177" i="2" s="1"/>
  <c r="AB178" i="2"/>
  <c r="AA178" i="2"/>
  <c r="AA177" i="2" s="1"/>
  <c r="Z178" i="2"/>
  <c r="Z177" i="2" s="1"/>
  <c r="X178" i="2"/>
  <c r="X177" i="2" s="1"/>
  <c r="W178" i="2"/>
  <c r="W177" i="2" s="1"/>
  <c r="V178" i="2"/>
  <c r="V177" i="2" s="1"/>
  <c r="U178" i="2"/>
  <c r="U177" i="2" s="1"/>
  <c r="T178" i="2"/>
  <c r="T177" i="2" s="1"/>
  <c r="S178" i="2"/>
  <c r="S177" i="2" s="1"/>
  <c r="R178" i="2"/>
  <c r="R177" i="2" s="1"/>
  <c r="Q178" i="2"/>
  <c r="Q177" i="2" s="1"/>
  <c r="P178" i="2"/>
  <c r="P177" i="2" s="1"/>
  <c r="O178" i="2"/>
  <c r="O177" i="2" s="1"/>
  <c r="N178" i="2"/>
  <c r="N177" i="2" s="1"/>
  <c r="M178" i="2"/>
  <c r="M177" i="2" s="1"/>
  <c r="L178" i="2"/>
  <c r="L177" i="2" s="1"/>
  <c r="K178" i="2"/>
  <c r="K177" i="2" s="1"/>
  <c r="J178" i="2"/>
  <c r="J177" i="2" s="1"/>
  <c r="I178" i="2"/>
  <c r="I177" i="2" s="1"/>
  <c r="H178" i="2"/>
  <c r="H177" i="2" s="1"/>
  <c r="G178" i="2"/>
  <c r="G177" i="2" s="1"/>
  <c r="F178" i="2"/>
  <c r="F177" i="2" s="1"/>
  <c r="E178" i="2"/>
  <c r="E177" i="2" s="1"/>
  <c r="AB177" i="2"/>
  <c r="AL175" i="2"/>
  <c r="AJ175" i="2" s="1"/>
  <c r="AE175" i="2"/>
  <c r="Y175" i="2"/>
  <c r="D175" i="2"/>
  <c r="AL174" i="2"/>
  <c r="AJ174" i="2" s="1"/>
  <c r="AE174" i="2"/>
  <c r="Y174" i="2"/>
  <c r="D174" i="2"/>
  <c r="AL173" i="2"/>
  <c r="AJ173" i="2" s="1"/>
  <c r="AE173" i="2"/>
  <c r="Y173" i="2"/>
  <c r="D173" i="2"/>
  <c r="AL172" i="2"/>
  <c r="AJ172" i="2" s="1"/>
  <c r="AE172" i="2"/>
  <c r="Y172" i="2"/>
  <c r="D172" i="2"/>
  <c r="AL171" i="2"/>
  <c r="AJ171" i="2" s="1"/>
  <c r="AE171" i="2"/>
  <c r="Y171" i="2"/>
  <c r="D171" i="2"/>
  <c r="AM170" i="2"/>
  <c r="AL170" i="2" s="1"/>
  <c r="AJ170" i="2" s="1"/>
  <c r="AE170" i="2"/>
  <c r="Y170" i="2"/>
  <c r="P170" i="2"/>
  <c r="D170" i="2" s="1"/>
  <c r="AL169" i="2"/>
  <c r="AJ169" i="2" s="1"/>
  <c r="AE169" i="2"/>
  <c r="Y169" i="2"/>
  <c r="D169" i="2"/>
  <c r="AO168" i="2"/>
  <c r="AN168" i="2"/>
  <c r="AN167" i="2" s="1"/>
  <c r="AM168" i="2"/>
  <c r="AE168" i="2"/>
  <c r="Y168" i="2"/>
  <c r="W168" i="2"/>
  <c r="W167" i="2" s="1"/>
  <c r="T168" i="2"/>
  <c r="T167" i="2" s="1"/>
  <c r="P168" i="2"/>
  <c r="M168" i="2"/>
  <c r="M167" i="2" s="1"/>
  <c r="AK167" i="2"/>
  <c r="AI167" i="2"/>
  <c r="AH167" i="2"/>
  <c r="AG167" i="2"/>
  <c r="AF167" i="2"/>
  <c r="AD167" i="2"/>
  <c r="AC167" i="2"/>
  <c r="AB167" i="2"/>
  <c r="AA167" i="2"/>
  <c r="Z167" i="2"/>
  <c r="X167" i="2"/>
  <c r="V167" i="2"/>
  <c r="U167" i="2"/>
  <c r="S167" i="2"/>
  <c r="R167" i="2"/>
  <c r="Q167" i="2"/>
  <c r="O167" i="2"/>
  <c r="N167" i="2"/>
  <c r="L167" i="2"/>
  <c r="K167" i="2"/>
  <c r="J167" i="2"/>
  <c r="I167" i="2"/>
  <c r="H167" i="2"/>
  <c r="G167" i="2"/>
  <c r="F167" i="2"/>
  <c r="E167" i="2"/>
  <c r="AL165" i="2"/>
  <c r="AJ165" i="2" s="1"/>
  <c r="AE165" i="2"/>
  <c r="Y165" i="2"/>
  <c r="D165" i="2"/>
  <c r="AL164" i="2"/>
  <c r="AE164" i="2"/>
  <c r="Y164" i="2"/>
  <c r="D164" i="2"/>
  <c r="AO163" i="2"/>
  <c r="AN163" i="2"/>
  <c r="AM163" i="2"/>
  <c r="AK163" i="2"/>
  <c r="AI163" i="2"/>
  <c r="AH163" i="2"/>
  <c r="AG163" i="2"/>
  <c r="AF163" i="2"/>
  <c r="AD163" i="2"/>
  <c r="AC163" i="2"/>
  <c r="AB163" i="2"/>
  <c r="AA163" i="2"/>
  <c r="Z163" i="2"/>
  <c r="X163" i="2"/>
  <c r="W163" i="2"/>
  <c r="V163" i="2"/>
  <c r="U163" i="2"/>
  <c r="T163" i="2"/>
  <c r="S163" i="2"/>
  <c r="R163" i="2"/>
  <c r="Q163" i="2"/>
  <c r="P163" i="2"/>
  <c r="O163" i="2"/>
  <c r="N163" i="2"/>
  <c r="M163" i="2"/>
  <c r="L163" i="2"/>
  <c r="K163" i="2"/>
  <c r="J163" i="2"/>
  <c r="I163" i="2"/>
  <c r="H163" i="2"/>
  <c r="G163" i="2"/>
  <c r="F163" i="2"/>
  <c r="E163" i="2"/>
  <c r="AL161" i="2"/>
  <c r="AJ161" i="2" s="1"/>
  <c r="AE161" i="2"/>
  <c r="Y161" i="2"/>
  <c r="D161" i="2"/>
  <c r="AL160" i="2"/>
  <c r="AJ160" i="2" s="1"/>
  <c r="AE160" i="2"/>
  <c r="Y160" i="2"/>
  <c r="D160" i="2"/>
  <c r="AL159" i="2"/>
  <c r="AJ159" i="2" s="1"/>
  <c r="AE159" i="2"/>
  <c r="Y159" i="2"/>
  <c r="D159" i="2"/>
  <c r="AN158" i="2"/>
  <c r="AL158" i="2" s="1"/>
  <c r="AK158" i="2"/>
  <c r="AE158" i="2"/>
  <c r="Y158" i="2"/>
  <c r="V158" i="2"/>
  <c r="V154" i="2" s="1"/>
  <c r="T158" i="2"/>
  <c r="T154" i="2" s="1"/>
  <c r="R158" i="2"/>
  <c r="R154" i="2" s="1"/>
  <c r="O158" i="2"/>
  <c r="N158" i="2"/>
  <c r="N154" i="2" s="1"/>
  <c r="M158" i="2"/>
  <c r="M154" i="2" s="1"/>
  <c r="I158" i="2"/>
  <c r="AL157" i="2"/>
  <c r="AK157" i="2"/>
  <c r="AE157" i="2"/>
  <c r="Y157" i="2"/>
  <c r="O157" i="2"/>
  <c r="D157" i="2" s="1"/>
  <c r="AL156" i="2"/>
  <c r="AK156" i="2"/>
  <c r="AE156" i="2"/>
  <c r="Y156" i="2"/>
  <c r="O156" i="2"/>
  <c r="D156" i="2" s="1"/>
  <c r="AL155" i="2"/>
  <c r="AK155" i="2"/>
  <c r="AE155" i="2"/>
  <c r="Y155" i="2"/>
  <c r="O155" i="2"/>
  <c r="D155" i="2" s="1"/>
  <c r="AO154" i="2"/>
  <c r="AM154" i="2"/>
  <c r="AI154" i="2"/>
  <c r="AH154" i="2"/>
  <c r="AG154" i="2"/>
  <c r="AF154" i="2"/>
  <c r="AD154" i="2"/>
  <c r="AC154" i="2"/>
  <c r="AB154" i="2"/>
  <c r="AA154" i="2"/>
  <c r="Z154" i="2"/>
  <c r="X154" i="2"/>
  <c r="W154" i="2"/>
  <c r="U154" i="2"/>
  <c r="S154" i="2"/>
  <c r="Q154" i="2"/>
  <c r="P154" i="2"/>
  <c r="L154" i="2"/>
  <c r="K154" i="2"/>
  <c r="J154" i="2"/>
  <c r="H154" i="2"/>
  <c r="G154" i="2"/>
  <c r="F154" i="2"/>
  <c r="E154" i="2"/>
  <c r="AL152" i="2"/>
  <c r="AJ152" i="2" s="1"/>
  <c r="AE152" i="2"/>
  <c r="Y152" i="2"/>
  <c r="D152" i="2"/>
  <c r="AL151" i="2"/>
  <c r="AJ151" i="2" s="1"/>
  <c r="AE151" i="2"/>
  <c r="Y151" i="2"/>
  <c r="D151" i="2"/>
  <c r="AO150" i="2"/>
  <c r="AN150" i="2"/>
  <c r="AM150" i="2"/>
  <c r="AK150" i="2"/>
  <c r="AI150" i="2"/>
  <c r="AH150" i="2"/>
  <c r="AG150" i="2"/>
  <c r="AF150" i="2"/>
  <c r="AD150" i="2"/>
  <c r="AC150" i="2"/>
  <c r="AB150" i="2"/>
  <c r="AA150" i="2"/>
  <c r="Z150" i="2"/>
  <c r="X150" i="2"/>
  <c r="W150" i="2"/>
  <c r="V150" i="2"/>
  <c r="U150" i="2"/>
  <c r="T150" i="2"/>
  <c r="S150" i="2"/>
  <c r="R150" i="2"/>
  <c r="Q150" i="2"/>
  <c r="P150" i="2"/>
  <c r="O150" i="2"/>
  <c r="N150" i="2"/>
  <c r="M150" i="2"/>
  <c r="L150" i="2"/>
  <c r="K150" i="2"/>
  <c r="J150" i="2"/>
  <c r="I150" i="2"/>
  <c r="H150" i="2"/>
  <c r="G150" i="2"/>
  <c r="F150" i="2"/>
  <c r="E150" i="2"/>
  <c r="AL148" i="2"/>
  <c r="AJ148" i="2" s="1"/>
  <c r="AE148" i="2"/>
  <c r="Y148" i="2"/>
  <c r="D148" i="2"/>
  <c r="AL147" i="2"/>
  <c r="AJ147" i="2" s="1"/>
  <c r="AE147" i="2"/>
  <c r="Y147" i="2"/>
  <c r="D147" i="2"/>
  <c r="AL146" i="2"/>
  <c r="AJ146" i="2" s="1"/>
  <c r="AE146" i="2"/>
  <c r="Y146" i="2"/>
  <c r="D146" i="2"/>
  <c r="AL145" i="2"/>
  <c r="AJ145" i="2" s="1"/>
  <c r="AE145" i="2"/>
  <c r="Y145" i="2"/>
  <c r="D145" i="2"/>
  <c r="AL144" i="2"/>
  <c r="AK144" i="2"/>
  <c r="AK143" i="2" s="1"/>
  <c r="AE144" i="2"/>
  <c r="Y144" i="2"/>
  <c r="O144" i="2"/>
  <c r="AO143" i="2"/>
  <c r="AN143" i="2"/>
  <c r="AM143" i="2"/>
  <c r="AI143" i="2"/>
  <c r="AH143" i="2"/>
  <c r="AG143" i="2"/>
  <c r="AF143" i="2"/>
  <c r="AD143" i="2"/>
  <c r="AC143" i="2"/>
  <c r="AB143" i="2"/>
  <c r="AA143" i="2"/>
  <c r="Z143" i="2"/>
  <c r="X143" i="2"/>
  <c r="W143" i="2"/>
  <c r="V143" i="2"/>
  <c r="U143" i="2"/>
  <c r="T143" i="2"/>
  <c r="S143" i="2"/>
  <c r="R143" i="2"/>
  <c r="Q143" i="2"/>
  <c r="P143" i="2"/>
  <c r="N143" i="2"/>
  <c r="M143" i="2"/>
  <c r="L143" i="2"/>
  <c r="K143" i="2"/>
  <c r="J143" i="2"/>
  <c r="I143" i="2"/>
  <c r="H143" i="2"/>
  <c r="G143" i="2"/>
  <c r="F143" i="2"/>
  <c r="E143" i="2"/>
  <c r="AL139" i="2"/>
  <c r="AJ139" i="2" s="1"/>
  <c r="AE139" i="2"/>
  <c r="Y139" i="2"/>
  <c r="D139" i="2"/>
  <c r="AL138" i="2"/>
  <c r="AJ138" i="2" s="1"/>
  <c r="AE138" i="2"/>
  <c r="Y138" i="2"/>
  <c r="D138" i="2"/>
  <c r="AL137" i="2"/>
  <c r="AJ137" i="2" s="1"/>
  <c r="AE137" i="2"/>
  <c r="Y137" i="2"/>
  <c r="D137" i="2"/>
  <c r="AO136" i="2"/>
  <c r="AN136" i="2"/>
  <c r="AM136" i="2"/>
  <c r="AK136" i="2"/>
  <c r="AI136" i="2"/>
  <c r="AH136" i="2"/>
  <c r="AG136" i="2"/>
  <c r="AF136" i="2"/>
  <c r="AD136" i="2"/>
  <c r="AC136" i="2"/>
  <c r="AB136" i="2"/>
  <c r="AA136" i="2"/>
  <c r="Z136" i="2"/>
  <c r="X136" i="2"/>
  <c r="W136" i="2"/>
  <c r="V136" i="2"/>
  <c r="U136" i="2"/>
  <c r="T136" i="2"/>
  <c r="S136" i="2"/>
  <c r="R136" i="2"/>
  <c r="Q136" i="2"/>
  <c r="P136" i="2"/>
  <c r="O136" i="2"/>
  <c r="N136" i="2"/>
  <c r="M136" i="2"/>
  <c r="L136" i="2"/>
  <c r="K136" i="2"/>
  <c r="J136" i="2"/>
  <c r="I136" i="2"/>
  <c r="H136" i="2"/>
  <c r="G136" i="2"/>
  <c r="F136" i="2"/>
  <c r="E136" i="2"/>
  <c r="AL134" i="2"/>
  <c r="AJ134" i="2" s="1"/>
  <c r="AJ133" i="2" s="1"/>
  <c r="AE134" i="2"/>
  <c r="AE133" i="2" s="1"/>
  <c r="Y134" i="2"/>
  <c r="Y133" i="2" s="1"/>
  <c r="D134" i="2"/>
  <c r="D133" i="2" s="1"/>
  <c r="AO133" i="2"/>
  <c r="AN133" i="2"/>
  <c r="AM133" i="2"/>
  <c r="AK133" i="2"/>
  <c r="AI133" i="2"/>
  <c r="AH133" i="2"/>
  <c r="AG133" i="2"/>
  <c r="AF133" i="2"/>
  <c r="AD133" i="2"/>
  <c r="AC133" i="2"/>
  <c r="AB133" i="2"/>
  <c r="AA133" i="2"/>
  <c r="Z133" i="2"/>
  <c r="X133" i="2"/>
  <c r="W133" i="2"/>
  <c r="V133" i="2"/>
  <c r="U133" i="2"/>
  <c r="T133" i="2"/>
  <c r="S133" i="2"/>
  <c r="R133" i="2"/>
  <c r="Q133" i="2"/>
  <c r="P133" i="2"/>
  <c r="O133" i="2"/>
  <c r="N133" i="2"/>
  <c r="M133" i="2"/>
  <c r="L133" i="2"/>
  <c r="K133" i="2"/>
  <c r="J133" i="2"/>
  <c r="I133" i="2"/>
  <c r="H133" i="2"/>
  <c r="G133" i="2"/>
  <c r="F133" i="2"/>
  <c r="E133" i="2"/>
  <c r="AL131" i="2"/>
  <c r="AJ131" i="2" s="1"/>
  <c r="AE131" i="2"/>
  <c r="Y131" i="2"/>
  <c r="D131" i="2"/>
  <c r="AL130" i="2"/>
  <c r="AK130" i="2"/>
  <c r="AE130" i="2"/>
  <c r="Y130" i="2"/>
  <c r="I130" i="2"/>
  <c r="D130" i="2" s="1"/>
  <c r="AL129" i="2"/>
  <c r="AK129" i="2"/>
  <c r="AE129" i="2"/>
  <c r="Y129" i="2"/>
  <c r="O129" i="2"/>
  <c r="D129" i="2" s="1"/>
  <c r="AL128" i="2"/>
  <c r="AK128" i="2"/>
  <c r="AE128" i="2"/>
  <c r="Y128" i="2"/>
  <c r="O128" i="2"/>
  <c r="D128" i="2" s="1"/>
  <c r="AL127" i="2"/>
  <c r="AJ127" i="2" s="1"/>
  <c r="AE127" i="2"/>
  <c r="Y127" i="2"/>
  <c r="D127" i="2"/>
  <c r="AL126" i="2"/>
  <c r="AJ126" i="2" s="1"/>
  <c r="AE126" i="2"/>
  <c r="Y126" i="2"/>
  <c r="D126" i="2"/>
  <c r="AL125" i="2"/>
  <c r="AK125" i="2"/>
  <c r="AE125" i="2"/>
  <c r="Y125" i="2"/>
  <c r="O125" i="2"/>
  <c r="D125" i="2" s="1"/>
  <c r="AO124" i="2"/>
  <c r="AN124" i="2"/>
  <c r="AM124" i="2"/>
  <c r="AI124" i="2"/>
  <c r="AH124" i="2"/>
  <c r="AG124" i="2"/>
  <c r="AF124" i="2"/>
  <c r="AD124" i="2"/>
  <c r="AC124" i="2"/>
  <c r="AB124" i="2"/>
  <c r="AA124" i="2"/>
  <c r="Z124" i="2"/>
  <c r="X124" i="2"/>
  <c r="W124" i="2"/>
  <c r="V124" i="2"/>
  <c r="U124" i="2"/>
  <c r="T124" i="2"/>
  <c r="S124" i="2"/>
  <c r="R124" i="2"/>
  <c r="Q124" i="2"/>
  <c r="P124" i="2"/>
  <c r="N124" i="2"/>
  <c r="M124" i="2"/>
  <c r="L124" i="2"/>
  <c r="K124" i="2"/>
  <c r="J124" i="2"/>
  <c r="H124" i="2"/>
  <c r="G124" i="2"/>
  <c r="F124" i="2"/>
  <c r="E124" i="2"/>
  <c r="AL122" i="2"/>
  <c r="AJ122" i="2" s="1"/>
  <c r="AE122" i="2"/>
  <c r="Y122" i="2"/>
  <c r="D122" i="2"/>
  <c r="AL121" i="2"/>
  <c r="AK121" i="2"/>
  <c r="AK120" i="2" s="1"/>
  <c r="AE121" i="2"/>
  <c r="Y121" i="2"/>
  <c r="P121" i="2"/>
  <c r="D121" i="2" s="1"/>
  <c r="AO120" i="2"/>
  <c r="AN120" i="2"/>
  <c r="AM120" i="2"/>
  <c r="AI120" i="2"/>
  <c r="AH120" i="2"/>
  <c r="AG120" i="2"/>
  <c r="AF120" i="2"/>
  <c r="AD120" i="2"/>
  <c r="AC120" i="2"/>
  <c r="AB120" i="2"/>
  <c r="AA120" i="2"/>
  <c r="Z120" i="2"/>
  <c r="X120" i="2"/>
  <c r="W120" i="2"/>
  <c r="V120" i="2"/>
  <c r="U120" i="2"/>
  <c r="T120" i="2"/>
  <c r="S120" i="2"/>
  <c r="R120" i="2"/>
  <c r="Q120" i="2"/>
  <c r="O120" i="2"/>
  <c r="N120" i="2"/>
  <c r="M120" i="2"/>
  <c r="L120" i="2"/>
  <c r="K120" i="2"/>
  <c r="J120" i="2"/>
  <c r="I120" i="2"/>
  <c r="H120" i="2"/>
  <c r="G120" i="2"/>
  <c r="F120" i="2"/>
  <c r="E120" i="2"/>
  <c r="AL118" i="2"/>
  <c r="AJ118" i="2" s="1"/>
  <c r="AE118" i="2"/>
  <c r="Y118" i="2"/>
  <c r="D118" i="2"/>
  <c r="AL117" i="2"/>
  <c r="AJ117" i="2" s="1"/>
  <c r="AE117" i="2"/>
  <c r="Y117" i="2"/>
  <c r="D117" i="2"/>
  <c r="AE116" i="2"/>
  <c r="C116" i="2" s="1"/>
  <c r="AL115" i="2"/>
  <c r="AJ115" i="2" s="1"/>
  <c r="AE115" i="2"/>
  <c r="Y115" i="2"/>
  <c r="D115" i="2"/>
  <c r="AL114" i="2"/>
  <c r="AK114" i="2"/>
  <c r="AE114" i="2"/>
  <c r="Y114" i="2"/>
  <c r="D114" i="2"/>
  <c r="AL113" i="2"/>
  <c r="AK113" i="2"/>
  <c r="AE113" i="2"/>
  <c r="Y113" i="2"/>
  <c r="P113" i="2"/>
  <c r="P112" i="2" s="1"/>
  <c r="O113" i="2"/>
  <c r="O112" i="2" s="1"/>
  <c r="AO112" i="2"/>
  <c r="AN112" i="2"/>
  <c r="AM112" i="2"/>
  <c r="AI112" i="2"/>
  <c r="AH112" i="2"/>
  <c r="AG112" i="2"/>
  <c r="AF112" i="2"/>
  <c r="AD112" i="2"/>
  <c r="AC112" i="2"/>
  <c r="AB112" i="2"/>
  <c r="AA112" i="2"/>
  <c r="Z112" i="2"/>
  <c r="X112" i="2"/>
  <c r="W112" i="2"/>
  <c r="V112" i="2"/>
  <c r="U112" i="2"/>
  <c r="T112" i="2"/>
  <c r="S112" i="2"/>
  <c r="R112" i="2"/>
  <c r="Q112" i="2"/>
  <c r="N112" i="2"/>
  <c r="M112" i="2"/>
  <c r="L112" i="2"/>
  <c r="K112" i="2"/>
  <c r="J112" i="2"/>
  <c r="I112" i="2"/>
  <c r="H112" i="2"/>
  <c r="G112" i="2"/>
  <c r="F112" i="2"/>
  <c r="E112" i="2"/>
  <c r="AL110" i="2"/>
  <c r="AJ110" i="2" s="1"/>
  <c r="AE110" i="2"/>
  <c r="Y110" i="2"/>
  <c r="D110" i="2"/>
  <c r="AL109" i="2"/>
  <c r="AJ109" i="2" s="1"/>
  <c r="AE109" i="2"/>
  <c r="AE108" i="2" s="1"/>
  <c r="Y109" i="2"/>
  <c r="D109" i="2"/>
  <c r="AO108" i="2"/>
  <c r="AN108" i="2"/>
  <c r="AM108" i="2"/>
  <c r="AK108" i="2"/>
  <c r="AI108" i="2"/>
  <c r="AH108" i="2"/>
  <c r="AG108" i="2"/>
  <c r="AF108" i="2"/>
  <c r="AD108" i="2"/>
  <c r="AC108" i="2"/>
  <c r="AB108" i="2"/>
  <c r="AA108" i="2"/>
  <c r="Z108" i="2"/>
  <c r="X108" i="2"/>
  <c r="W108" i="2"/>
  <c r="V108" i="2"/>
  <c r="U108" i="2"/>
  <c r="T108" i="2"/>
  <c r="S108" i="2"/>
  <c r="R108" i="2"/>
  <c r="Q108" i="2"/>
  <c r="P108" i="2"/>
  <c r="O108" i="2"/>
  <c r="N108" i="2"/>
  <c r="M108" i="2"/>
  <c r="L108" i="2"/>
  <c r="K108" i="2"/>
  <c r="J108" i="2"/>
  <c r="I108" i="2"/>
  <c r="H108" i="2"/>
  <c r="G108" i="2"/>
  <c r="F108" i="2"/>
  <c r="E108" i="2"/>
  <c r="AL106" i="2"/>
  <c r="AK106" i="2"/>
  <c r="AE106" i="2"/>
  <c r="Y106" i="2"/>
  <c r="O106" i="2"/>
  <c r="D106" i="2" s="1"/>
  <c r="AL105" i="2"/>
  <c r="AK105" i="2"/>
  <c r="AJ105" i="2" s="1"/>
  <c r="AE105" i="2"/>
  <c r="Y105" i="2"/>
  <c r="O105" i="2"/>
  <c r="D105" i="2" s="1"/>
  <c r="AL104" i="2"/>
  <c r="AK104" i="2"/>
  <c r="AJ104" i="2"/>
  <c r="AE104" i="2"/>
  <c r="Y104" i="2"/>
  <c r="I104" i="2"/>
  <c r="D104" i="2" s="1"/>
  <c r="AL102" i="2"/>
  <c r="AJ102" i="2" s="1"/>
  <c r="AE102" i="2"/>
  <c r="Y102" i="2"/>
  <c r="D102" i="2"/>
  <c r="AL101" i="2"/>
  <c r="AJ101" i="2" s="1"/>
  <c r="AE101" i="2"/>
  <c r="Y101" i="2"/>
  <c r="D101" i="2"/>
  <c r="AL100" i="2"/>
  <c r="AJ100" i="2" s="1"/>
  <c r="AE100" i="2"/>
  <c r="Y100" i="2"/>
  <c r="D100" i="2"/>
  <c r="AL99" i="2"/>
  <c r="AK99" i="2"/>
  <c r="AK98" i="2" s="1"/>
  <c r="AE99" i="2"/>
  <c r="Y99" i="2"/>
  <c r="N99" i="2"/>
  <c r="N98" i="2" s="1"/>
  <c r="L99" i="2"/>
  <c r="AO98" i="2"/>
  <c r="AN98" i="2"/>
  <c r="AM98" i="2"/>
  <c r="AI98" i="2"/>
  <c r="AH98" i="2"/>
  <c r="AG98" i="2"/>
  <c r="AF98" i="2"/>
  <c r="AD98" i="2"/>
  <c r="AC98" i="2"/>
  <c r="AB98" i="2"/>
  <c r="AA98" i="2"/>
  <c r="Z98" i="2"/>
  <c r="X98" i="2"/>
  <c r="W98" i="2"/>
  <c r="V98" i="2"/>
  <c r="U98" i="2"/>
  <c r="T98" i="2"/>
  <c r="S98" i="2"/>
  <c r="R98" i="2"/>
  <c r="Q98" i="2"/>
  <c r="P98" i="2"/>
  <c r="O98" i="2"/>
  <c r="M98" i="2"/>
  <c r="L98" i="2"/>
  <c r="K98" i="2"/>
  <c r="J98" i="2"/>
  <c r="I98" i="2"/>
  <c r="H98" i="2"/>
  <c r="G98" i="2"/>
  <c r="F98" i="2"/>
  <c r="E98" i="2"/>
  <c r="AE95" i="2"/>
  <c r="C95" i="2" s="1"/>
  <c r="AE94" i="2"/>
  <c r="C94" i="2" s="1"/>
  <c r="AL93" i="2"/>
  <c r="AJ93" i="2" s="1"/>
  <c r="AE93" i="2"/>
  <c r="Y93" i="2"/>
  <c r="D93" i="2"/>
  <c r="AL92" i="2"/>
  <c r="AJ92" i="2" s="1"/>
  <c r="AE92" i="2"/>
  <c r="Y92" i="2"/>
  <c r="D92" i="2"/>
  <c r="AL91" i="2"/>
  <c r="AJ91" i="2" s="1"/>
  <c r="AE91" i="2"/>
  <c r="Y91" i="2"/>
  <c r="D91" i="2"/>
  <c r="AL90" i="2"/>
  <c r="AJ90" i="2"/>
  <c r="AE90" i="2"/>
  <c r="Y90" i="2"/>
  <c r="D90" i="2"/>
  <c r="AE89" i="2"/>
  <c r="C89" i="2" s="1"/>
  <c r="AL88" i="2"/>
  <c r="AJ88" i="2" s="1"/>
  <c r="AE88" i="2"/>
  <c r="Y88" i="2"/>
  <c r="D88" i="2"/>
  <c r="AL87" i="2"/>
  <c r="AJ87" i="2" s="1"/>
  <c r="AE87" i="2"/>
  <c r="Y87" i="2"/>
  <c r="D87" i="2"/>
  <c r="AL86" i="2"/>
  <c r="AJ86" i="2" s="1"/>
  <c r="AE86" i="2"/>
  <c r="Y86" i="2"/>
  <c r="D86" i="2"/>
  <c r="AL85" i="2"/>
  <c r="AJ85" i="2" s="1"/>
  <c r="AE85" i="2"/>
  <c r="Y85" i="2"/>
  <c r="D85" i="2"/>
  <c r="AL84" i="2"/>
  <c r="AJ84" i="2" s="1"/>
  <c r="AE84" i="2"/>
  <c r="Y84" i="2"/>
  <c r="D84" i="2"/>
  <c r="AO83" i="2"/>
  <c r="AN83" i="2"/>
  <c r="AM83" i="2"/>
  <c r="AK83" i="2"/>
  <c r="AI83" i="2"/>
  <c r="AH83" i="2"/>
  <c r="AG83" i="2"/>
  <c r="AF83" i="2"/>
  <c r="AD83" i="2"/>
  <c r="AC83" i="2"/>
  <c r="AB83" i="2"/>
  <c r="AA83" i="2"/>
  <c r="Z83" i="2"/>
  <c r="X83" i="2"/>
  <c r="W83" i="2"/>
  <c r="V83" i="2"/>
  <c r="U83" i="2"/>
  <c r="T83" i="2"/>
  <c r="S83" i="2"/>
  <c r="R83" i="2"/>
  <c r="Q83" i="2"/>
  <c r="P83" i="2"/>
  <c r="O83" i="2"/>
  <c r="N83" i="2"/>
  <c r="M83" i="2"/>
  <c r="L83" i="2"/>
  <c r="K83" i="2"/>
  <c r="J83" i="2"/>
  <c r="I83" i="2"/>
  <c r="H83" i="2"/>
  <c r="G83" i="2"/>
  <c r="F83" i="2"/>
  <c r="E83" i="2"/>
  <c r="AL81" i="2"/>
  <c r="AJ81" i="2" s="1"/>
  <c r="AE81" i="2"/>
  <c r="Y81" i="2"/>
  <c r="D81" i="2"/>
  <c r="AL80" i="2"/>
  <c r="AJ80" i="2" s="1"/>
  <c r="AE80" i="2"/>
  <c r="Y80" i="2"/>
  <c r="D80" i="2"/>
  <c r="AE79" i="2"/>
  <c r="C79" i="2" s="1"/>
  <c r="AL78" i="2"/>
  <c r="AJ78" i="2" s="1"/>
  <c r="AE78" i="2"/>
  <c r="Y78" i="2"/>
  <c r="D78" i="2"/>
  <c r="AL77" i="2"/>
  <c r="AJ77" i="2" s="1"/>
  <c r="AE77" i="2"/>
  <c r="Y77" i="2"/>
  <c r="D77" i="2"/>
  <c r="AO76" i="2"/>
  <c r="AN76" i="2"/>
  <c r="AM76" i="2"/>
  <c r="AK76" i="2"/>
  <c r="AI76" i="2"/>
  <c r="AH76" i="2"/>
  <c r="AG76" i="2"/>
  <c r="AF76" i="2"/>
  <c r="AD76" i="2"/>
  <c r="AC76" i="2"/>
  <c r="AB76" i="2"/>
  <c r="AA76" i="2"/>
  <c r="Z76" i="2"/>
  <c r="X76" i="2"/>
  <c r="W76" i="2"/>
  <c r="V76" i="2"/>
  <c r="U76" i="2"/>
  <c r="T76" i="2"/>
  <c r="S76" i="2"/>
  <c r="R76" i="2"/>
  <c r="Q76" i="2"/>
  <c r="P76" i="2"/>
  <c r="O76" i="2"/>
  <c r="N76" i="2"/>
  <c r="M76" i="2"/>
  <c r="L76" i="2"/>
  <c r="K76" i="2"/>
  <c r="J76" i="2"/>
  <c r="I76" i="2"/>
  <c r="H76" i="2"/>
  <c r="G76" i="2"/>
  <c r="F76" i="2"/>
  <c r="E76" i="2"/>
  <c r="AL74" i="2"/>
  <c r="AJ74" i="2" s="1"/>
  <c r="AE74" i="2"/>
  <c r="Y74" i="2"/>
  <c r="D74" i="2"/>
  <c r="AL70" i="2"/>
  <c r="AK70" i="2"/>
  <c r="AE70" i="2"/>
  <c r="Y70" i="2"/>
  <c r="I70" i="2"/>
  <c r="I63" i="2" s="1"/>
  <c r="AL69" i="2"/>
  <c r="AK69" i="2"/>
  <c r="AE69" i="2"/>
  <c r="Y69" i="2"/>
  <c r="D69" i="2"/>
  <c r="AL68" i="2"/>
  <c r="AK68" i="2"/>
  <c r="AE68" i="2"/>
  <c r="Y68" i="2"/>
  <c r="D68" i="2"/>
  <c r="AL67" i="2"/>
  <c r="AJ67" i="2" s="1"/>
  <c r="AE67" i="2"/>
  <c r="Y67" i="2"/>
  <c r="D67" i="2"/>
  <c r="AL66" i="2"/>
  <c r="AJ66" i="2" s="1"/>
  <c r="AE66" i="2"/>
  <c r="Y66" i="2"/>
  <c r="D66" i="2"/>
  <c r="AL65" i="2"/>
  <c r="AJ65" i="2" s="1"/>
  <c r="AE65" i="2"/>
  <c r="Y65" i="2"/>
  <c r="D65" i="2"/>
  <c r="AL64" i="2"/>
  <c r="AJ64" i="2" s="1"/>
  <c r="AE64" i="2"/>
  <c r="Y64" i="2"/>
  <c r="D64" i="2"/>
  <c r="AO63" i="2"/>
  <c r="AN63" i="2"/>
  <c r="AM63" i="2"/>
  <c r="AI63" i="2"/>
  <c r="AH63" i="2"/>
  <c r="AG63" i="2"/>
  <c r="AF63" i="2"/>
  <c r="AD63" i="2"/>
  <c r="AC63" i="2"/>
  <c r="AB63" i="2"/>
  <c r="AA63" i="2"/>
  <c r="Z63" i="2"/>
  <c r="X63" i="2"/>
  <c r="W63" i="2"/>
  <c r="V63" i="2"/>
  <c r="U63" i="2"/>
  <c r="T63" i="2"/>
  <c r="S63" i="2"/>
  <c r="R63" i="2"/>
  <c r="Q63" i="2"/>
  <c r="P63" i="2"/>
  <c r="O63" i="2"/>
  <c r="N63" i="2"/>
  <c r="M63" i="2"/>
  <c r="L63" i="2"/>
  <c r="K63" i="2"/>
  <c r="J63" i="2"/>
  <c r="H63" i="2"/>
  <c r="G63" i="2"/>
  <c r="F63" i="2"/>
  <c r="E63" i="2"/>
  <c r="AL61" i="2"/>
  <c r="AK61" i="2"/>
  <c r="AE61" i="2"/>
  <c r="Y61" i="2"/>
  <c r="O61" i="2"/>
  <c r="D61" i="2" s="1"/>
  <c r="AL60" i="2"/>
  <c r="AK60" i="2"/>
  <c r="AE60" i="2"/>
  <c r="Y60" i="2"/>
  <c r="O60" i="2"/>
  <c r="I60" i="2"/>
  <c r="I56" i="2" s="1"/>
  <c r="AL59" i="2"/>
  <c r="AK59" i="2"/>
  <c r="AE59" i="2"/>
  <c r="Y59" i="2"/>
  <c r="O59" i="2"/>
  <c r="D59" i="2" s="1"/>
  <c r="AL58" i="2"/>
  <c r="AK58" i="2"/>
  <c r="AE58" i="2"/>
  <c r="Y58" i="2"/>
  <c r="O58" i="2"/>
  <c r="D58" i="2" s="1"/>
  <c r="AL57" i="2"/>
  <c r="AK57" i="2"/>
  <c r="AJ57" i="2" s="1"/>
  <c r="AE57" i="2"/>
  <c r="Y57" i="2"/>
  <c r="O57" i="2"/>
  <c r="D57" i="2" s="1"/>
  <c r="AO56" i="2"/>
  <c r="AN56" i="2"/>
  <c r="AM56" i="2"/>
  <c r="AI56" i="2"/>
  <c r="AH56" i="2"/>
  <c r="AG56" i="2"/>
  <c r="AF56" i="2"/>
  <c r="AD56" i="2"/>
  <c r="AC56" i="2"/>
  <c r="AB56" i="2"/>
  <c r="AA56" i="2"/>
  <c r="Z56" i="2"/>
  <c r="X56" i="2"/>
  <c r="W56" i="2"/>
  <c r="V56" i="2"/>
  <c r="U56" i="2"/>
  <c r="T56" i="2"/>
  <c r="S56" i="2"/>
  <c r="R56" i="2"/>
  <c r="Q56" i="2"/>
  <c r="P56" i="2"/>
  <c r="N56" i="2"/>
  <c r="M56" i="2"/>
  <c r="L56" i="2"/>
  <c r="K56" i="2"/>
  <c r="J56" i="2"/>
  <c r="H56" i="2"/>
  <c r="G56" i="2"/>
  <c r="F56" i="2"/>
  <c r="E56" i="2"/>
  <c r="AL54" i="2"/>
  <c r="AK54" i="2"/>
  <c r="AE54" i="2"/>
  <c r="Y54" i="2"/>
  <c r="O54" i="2"/>
  <c r="AK53" i="2"/>
  <c r="AJ53" i="2" s="1"/>
  <c r="AE53" i="2"/>
  <c r="Y53" i="2"/>
  <c r="O53" i="2"/>
  <c r="D53" i="2" s="1"/>
  <c r="AL52" i="2"/>
  <c r="AK52" i="2"/>
  <c r="AE52" i="2"/>
  <c r="Y52" i="2"/>
  <c r="O52" i="2"/>
  <c r="D52" i="2" s="1"/>
  <c r="AL51" i="2"/>
  <c r="AK51" i="2"/>
  <c r="AE51" i="2"/>
  <c r="Y51" i="2"/>
  <c r="V51" i="2"/>
  <c r="O51" i="2"/>
  <c r="AL50" i="2"/>
  <c r="AK50" i="2"/>
  <c r="AE50" i="2"/>
  <c r="Y50" i="2"/>
  <c r="O50" i="2"/>
  <c r="D50" i="2" s="1"/>
  <c r="AO49" i="2"/>
  <c r="AN49" i="2"/>
  <c r="AM49" i="2"/>
  <c r="AI49" i="2"/>
  <c r="AH49" i="2"/>
  <c r="AG49" i="2"/>
  <c r="AF49" i="2"/>
  <c r="AD49" i="2"/>
  <c r="AC49" i="2"/>
  <c r="AB49" i="2"/>
  <c r="AA49" i="2"/>
  <c r="Z49" i="2"/>
  <c r="X49" i="2"/>
  <c r="W49" i="2"/>
  <c r="U49" i="2"/>
  <c r="T49" i="2"/>
  <c r="S49" i="2"/>
  <c r="R49" i="2"/>
  <c r="Q49" i="2"/>
  <c r="P49" i="2"/>
  <c r="N49" i="2"/>
  <c r="M49" i="2"/>
  <c r="L49" i="2"/>
  <c r="K49" i="2"/>
  <c r="J49" i="2"/>
  <c r="I49" i="2"/>
  <c r="H49" i="2"/>
  <c r="G49" i="2"/>
  <c r="F49" i="2"/>
  <c r="E49" i="2"/>
  <c r="AO46" i="2"/>
  <c r="AN46" i="2"/>
  <c r="AM46" i="2"/>
  <c r="AK46" i="2"/>
  <c r="AI46" i="2"/>
  <c r="AH46" i="2"/>
  <c r="AG46" i="2"/>
  <c r="AF46" i="2"/>
  <c r="AD46" i="2"/>
  <c r="AC46" i="2"/>
  <c r="AB46" i="2"/>
  <c r="AA46" i="2"/>
  <c r="Z46" i="2"/>
  <c r="Y46" i="2"/>
  <c r="X46" i="2"/>
  <c r="W46" i="2"/>
  <c r="V46" i="2"/>
  <c r="U46" i="2"/>
  <c r="T46" i="2"/>
  <c r="S46" i="2"/>
  <c r="R46" i="2"/>
  <c r="Q46" i="2"/>
  <c r="P46" i="2"/>
  <c r="O46" i="2"/>
  <c r="N46" i="2"/>
  <c r="M46" i="2"/>
  <c r="L46" i="2"/>
  <c r="K46" i="2"/>
  <c r="J46" i="2"/>
  <c r="I46" i="2"/>
  <c r="H46" i="2"/>
  <c r="G46" i="2"/>
  <c r="F46" i="2"/>
  <c r="AO45" i="2"/>
  <c r="AN45" i="2"/>
  <c r="AM45" i="2"/>
  <c r="AK45" i="2"/>
  <c r="AI45" i="2"/>
  <c r="AH45" i="2"/>
  <c r="AG45" i="2"/>
  <c r="AF45" i="2"/>
  <c r="AD45" i="2"/>
  <c r="AC45" i="2"/>
  <c r="AB45" i="2"/>
  <c r="AA45" i="2"/>
  <c r="Z45" i="2"/>
  <c r="Y45" i="2"/>
  <c r="X45" i="2"/>
  <c r="W45" i="2"/>
  <c r="V45" i="2"/>
  <c r="U45" i="2"/>
  <c r="T45" i="2"/>
  <c r="S45" i="2"/>
  <c r="R45" i="2"/>
  <c r="Q45" i="2"/>
  <c r="P45" i="2"/>
  <c r="O45" i="2"/>
  <c r="N45" i="2"/>
  <c r="M45" i="2"/>
  <c r="L45" i="2"/>
  <c r="K45" i="2"/>
  <c r="J45" i="2"/>
  <c r="I45" i="2"/>
  <c r="H45" i="2"/>
  <c r="G45" i="2"/>
  <c r="F45" i="2"/>
  <c r="AO44" i="2"/>
  <c r="AN44" i="2"/>
  <c r="AM44" i="2"/>
  <c r="AK44" i="2"/>
  <c r="AI44" i="2"/>
  <c r="AH44" i="2"/>
  <c r="AG44" i="2"/>
  <c r="AF44" i="2"/>
  <c r="AD44" i="2"/>
  <c r="AC44" i="2"/>
  <c r="AB44" i="2"/>
  <c r="AA44" i="2"/>
  <c r="Z44" i="2"/>
  <c r="Y44" i="2"/>
  <c r="X44" i="2"/>
  <c r="W44" i="2"/>
  <c r="V44" i="2"/>
  <c r="U44" i="2"/>
  <c r="T44" i="2"/>
  <c r="S44" i="2"/>
  <c r="R44" i="2"/>
  <c r="Q44" i="2"/>
  <c r="P44" i="2"/>
  <c r="O44" i="2"/>
  <c r="N44" i="2"/>
  <c r="M44" i="2"/>
  <c r="L44" i="2"/>
  <c r="K44" i="2"/>
  <c r="J44" i="2"/>
  <c r="I44" i="2"/>
  <c r="H44" i="2"/>
  <c r="G44" i="2"/>
  <c r="F44" i="2"/>
  <c r="AO43" i="2"/>
  <c r="AN43" i="2"/>
  <c r="AM43" i="2"/>
  <c r="AK43" i="2"/>
  <c r="AI43" i="2"/>
  <c r="AH43" i="2"/>
  <c r="AG43" i="2"/>
  <c r="AF43" i="2"/>
  <c r="AD43" i="2"/>
  <c r="AC43" i="2"/>
  <c r="AB43" i="2"/>
  <c r="AA43" i="2"/>
  <c r="Z43" i="2"/>
  <c r="Y43" i="2"/>
  <c r="X43" i="2"/>
  <c r="W43" i="2"/>
  <c r="V43" i="2"/>
  <c r="U43" i="2"/>
  <c r="T43" i="2"/>
  <c r="S43" i="2"/>
  <c r="R43" i="2"/>
  <c r="Q43" i="2"/>
  <c r="P43" i="2"/>
  <c r="O43" i="2"/>
  <c r="N43" i="2"/>
  <c r="M43" i="2"/>
  <c r="L43" i="2"/>
  <c r="K43" i="2"/>
  <c r="J43" i="2"/>
  <c r="I43" i="2"/>
  <c r="H43" i="2"/>
  <c r="G43" i="2"/>
  <c r="F43" i="2"/>
  <c r="E42" i="2"/>
  <c r="AO40" i="2"/>
  <c r="AN40" i="2"/>
  <c r="AM40" i="2"/>
  <c r="AK40" i="2"/>
  <c r="AI40" i="2"/>
  <c r="AH40" i="2"/>
  <c r="AG40" i="2"/>
  <c r="AF40" i="2"/>
  <c r="AD40" i="2"/>
  <c r="AC40" i="2"/>
  <c r="AB40" i="2"/>
  <c r="AA40" i="2"/>
  <c r="Z40" i="2"/>
  <c r="X40" i="2"/>
  <c r="W40" i="2"/>
  <c r="V40" i="2"/>
  <c r="U40" i="2"/>
  <c r="T40" i="2"/>
  <c r="S40" i="2"/>
  <c r="R40" i="2"/>
  <c r="Q40" i="2"/>
  <c r="P40" i="2"/>
  <c r="O40" i="2"/>
  <c r="N40" i="2"/>
  <c r="M40" i="2"/>
  <c r="L40" i="2"/>
  <c r="K40" i="2"/>
  <c r="J40" i="2"/>
  <c r="I40" i="2"/>
  <c r="H40" i="2"/>
  <c r="G40" i="2"/>
  <c r="F40" i="2"/>
  <c r="AO39" i="2"/>
  <c r="AN39" i="2"/>
  <c r="AM39" i="2"/>
  <c r="AK39" i="2"/>
  <c r="AI39" i="2"/>
  <c r="AH39" i="2"/>
  <c r="AG39" i="2"/>
  <c r="AF39" i="2"/>
  <c r="AD39" i="2"/>
  <c r="AC39" i="2"/>
  <c r="AB39" i="2"/>
  <c r="AA39" i="2"/>
  <c r="Z39" i="2"/>
  <c r="X39" i="2"/>
  <c r="W39" i="2"/>
  <c r="V39" i="2"/>
  <c r="U39" i="2"/>
  <c r="T39" i="2"/>
  <c r="S39" i="2"/>
  <c r="R39" i="2"/>
  <c r="Q39" i="2"/>
  <c r="P39" i="2"/>
  <c r="O39" i="2"/>
  <c r="N39" i="2"/>
  <c r="M39" i="2"/>
  <c r="L39" i="2"/>
  <c r="K39" i="2"/>
  <c r="J39" i="2"/>
  <c r="I39" i="2"/>
  <c r="H39" i="2"/>
  <c r="G39" i="2"/>
  <c r="F39" i="2"/>
  <c r="AO38" i="2"/>
  <c r="AN38" i="2"/>
  <c r="AM38" i="2"/>
  <c r="AK38" i="2"/>
  <c r="AI38" i="2"/>
  <c r="AH38" i="2"/>
  <c r="AG38" i="2"/>
  <c r="AF38" i="2"/>
  <c r="AD38" i="2"/>
  <c r="AC38" i="2"/>
  <c r="AB38" i="2"/>
  <c r="AA38" i="2"/>
  <c r="Z38" i="2"/>
  <c r="X38" i="2"/>
  <c r="W38" i="2"/>
  <c r="V38" i="2"/>
  <c r="U38" i="2"/>
  <c r="T38" i="2"/>
  <c r="S38" i="2"/>
  <c r="R38" i="2"/>
  <c r="Q38" i="2"/>
  <c r="P38" i="2"/>
  <c r="O38" i="2"/>
  <c r="N38" i="2"/>
  <c r="M38" i="2"/>
  <c r="L38" i="2"/>
  <c r="K38" i="2"/>
  <c r="J38" i="2"/>
  <c r="I38" i="2"/>
  <c r="H38" i="2"/>
  <c r="G38" i="2"/>
  <c r="F38" i="2"/>
  <c r="AO37" i="2"/>
  <c r="AN37" i="2"/>
  <c r="AM37" i="2"/>
  <c r="AK37" i="2"/>
  <c r="AI37" i="2"/>
  <c r="AH37" i="2"/>
  <c r="AG37" i="2"/>
  <c r="AF37" i="2"/>
  <c r="AD37" i="2"/>
  <c r="AC37" i="2"/>
  <c r="AB37" i="2"/>
  <c r="AA37" i="2"/>
  <c r="Z37" i="2"/>
  <c r="X37" i="2"/>
  <c r="W37" i="2"/>
  <c r="V37" i="2"/>
  <c r="U37" i="2"/>
  <c r="T37" i="2"/>
  <c r="S37" i="2"/>
  <c r="R37" i="2"/>
  <c r="Q37" i="2"/>
  <c r="P37" i="2"/>
  <c r="O37" i="2"/>
  <c r="N37" i="2"/>
  <c r="M37" i="2"/>
  <c r="L37" i="2"/>
  <c r="K37" i="2"/>
  <c r="J37" i="2"/>
  <c r="I37" i="2"/>
  <c r="H37" i="2"/>
  <c r="G37" i="2"/>
  <c r="F37" i="2"/>
  <c r="AO36" i="2"/>
  <c r="AN36" i="2"/>
  <c r="AM36" i="2"/>
  <c r="AK36" i="2"/>
  <c r="AI36" i="2"/>
  <c r="AH36" i="2"/>
  <c r="AG36" i="2"/>
  <c r="AF36" i="2"/>
  <c r="AD36" i="2"/>
  <c r="AC36" i="2"/>
  <c r="AB36" i="2"/>
  <c r="AA36" i="2"/>
  <c r="Z36" i="2"/>
  <c r="X36" i="2"/>
  <c r="W36" i="2"/>
  <c r="V36" i="2"/>
  <c r="U36" i="2"/>
  <c r="T36" i="2"/>
  <c r="S36" i="2"/>
  <c r="R36" i="2"/>
  <c r="Q36" i="2"/>
  <c r="P36" i="2"/>
  <c r="O36" i="2"/>
  <c r="N36" i="2"/>
  <c r="M36" i="2"/>
  <c r="L36" i="2"/>
  <c r="K36" i="2"/>
  <c r="J36" i="2"/>
  <c r="I36" i="2"/>
  <c r="H36" i="2"/>
  <c r="G36" i="2"/>
  <c r="F36" i="2"/>
  <c r="E35" i="2"/>
  <c r="AO33" i="2"/>
  <c r="AO32" i="2" s="1"/>
  <c r="AN33" i="2"/>
  <c r="AN32" i="2" s="1"/>
  <c r="AM33" i="2"/>
  <c r="AM32" i="2" s="1"/>
  <c r="AK33" i="2"/>
  <c r="AK32" i="2" s="1"/>
  <c r="AI33" i="2"/>
  <c r="AI32" i="2" s="1"/>
  <c r="AH33" i="2"/>
  <c r="AH32" i="2" s="1"/>
  <c r="AG33" i="2"/>
  <c r="AG32" i="2" s="1"/>
  <c r="AF33" i="2"/>
  <c r="AF32" i="2" s="1"/>
  <c r="AD33" i="2"/>
  <c r="AD32" i="2" s="1"/>
  <c r="AC33" i="2"/>
  <c r="AC32" i="2" s="1"/>
  <c r="AB33" i="2"/>
  <c r="AB32" i="2" s="1"/>
  <c r="AA33" i="2"/>
  <c r="AA32" i="2" s="1"/>
  <c r="Z33" i="2"/>
  <c r="Z32" i="2" s="1"/>
  <c r="Y33" i="2"/>
  <c r="Y32" i="2" s="1"/>
  <c r="X33" i="2"/>
  <c r="X32" i="2" s="1"/>
  <c r="W33" i="2"/>
  <c r="W32" i="2" s="1"/>
  <c r="V33" i="2"/>
  <c r="V32" i="2" s="1"/>
  <c r="U33" i="2"/>
  <c r="U32" i="2" s="1"/>
  <c r="T33" i="2"/>
  <c r="T32" i="2" s="1"/>
  <c r="S33" i="2"/>
  <c r="S32" i="2" s="1"/>
  <c r="R33" i="2"/>
  <c r="R32" i="2" s="1"/>
  <c r="Q33" i="2"/>
  <c r="Q32" i="2" s="1"/>
  <c r="P33" i="2"/>
  <c r="P32" i="2" s="1"/>
  <c r="O33" i="2"/>
  <c r="O32" i="2" s="1"/>
  <c r="N33" i="2"/>
  <c r="N32" i="2" s="1"/>
  <c r="M33" i="2"/>
  <c r="M32" i="2" s="1"/>
  <c r="L33" i="2"/>
  <c r="L32" i="2" s="1"/>
  <c r="K33" i="2"/>
  <c r="K32" i="2" s="1"/>
  <c r="J33" i="2"/>
  <c r="J32" i="2" s="1"/>
  <c r="I33" i="2"/>
  <c r="I32" i="2" s="1"/>
  <c r="H33" i="2"/>
  <c r="H32" i="2" s="1"/>
  <c r="G33" i="2"/>
  <c r="F33" i="2"/>
  <c r="F32" i="2" s="1"/>
  <c r="G32" i="2"/>
  <c r="E32" i="2"/>
  <c r="AO30" i="2"/>
  <c r="AN30" i="2"/>
  <c r="AM30" i="2"/>
  <c r="AK30" i="2"/>
  <c r="AI30" i="2"/>
  <c r="AH30" i="2"/>
  <c r="AG30" i="2"/>
  <c r="AF30" i="2"/>
  <c r="AD30" i="2"/>
  <c r="AC30" i="2"/>
  <c r="AB30" i="2"/>
  <c r="AA30" i="2"/>
  <c r="Z30" i="2"/>
  <c r="X30" i="2"/>
  <c r="W30" i="2"/>
  <c r="V30" i="2"/>
  <c r="U30" i="2"/>
  <c r="T30" i="2"/>
  <c r="S30" i="2"/>
  <c r="R30" i="2"/>
  <c r="Q30" i="2"/>
  <c r="P30" i="2"/>
  <c r="O30" i="2"/>
  <c r="N30" i="2"/>
  <c r="M30" i="2"/>
  <c r="L30" i="2"/>
  <c r="K30" i="2"/>
  <c r="J30" i="2"/>
  <c r="I30" i="2"/>
  <c r="H30" i="2"/>
  <c r="G30" i="2"/>
  <c r="F30" i="2"/>
  <c r="AO29" i="2"/>
  <c r="AN29" i="2"/>
  <c r="AM29" i="2"/>
  <c r="AK29" i="2"/>
  <c r="AI29" i="2"/>
  <c r="AH29" i="2"/>
  <c r="AG29" i="2"/>
  <c r="AF29" i="2"/>
  <c r="AD29" i="2"/>
  <c r="AC29" i="2"/>
  <c r="AB29" i="2"/>
  <c r="AA29" i="2"/>
  <c r="Z29" i="2"/>
  <c r="X29" i="2"/>
  <c r="W29" i="2"/>
  <c r="V29" i="2"/>
  <c r="U29" i="2"/>
  <c r="T29" i="2"/>
  <c r="S29" i="2"/>
  <c r="R29" i="2"/>
  <c r="Q29" i="2"/>
  <c r="P29" i="2"/>
  <c r="O29" i="2"/>
  <c r="N29" i="2"/>
  <c r="M29" i="2"/>
  <c r="L29" i="2"/>
  <c r="K29" i="2"/>
  <c r="J29" i="2"/>
  <c r="I29" i="2"/>
  <c r="H29" i="2"/>
  <c r="G29" i="2"/>
  <c r="F29" i="2"/>
  <c r="AO27" i="2"/>
  <c r="AN27" i="2"/>
  <c r="AM27" i="2"/>
  <c r="AK27" i="2"/>
  <c r="AI27" i="2"/>
  <c r="AH27" i="2"/>
  <c r="AG27" i="2"/>
  <c r="AF27" i="2"/>
  <c r="AD27" i="2"/>
  <c r="AC27" i="2"/>
  <c r="AB27" i="2"/>
  <c r="AA27" i="2"/>
  <c r="Z27" i="2"/>
  <c r="X27" i="2"/>
  <c r="W27" i="2"/>
  <c r="V27" i="2"/>
  <c r="U27" i="2"/>
  <c r="T27" i="2"/>
  <c r="S27" i="2"/>
  <c r="R27" i="2"/>
  <c r="Q27" i="2"/>
  <c r="P27" i="2"/>
  <c r="O27" i="2"/>
  <c r="N27" i="2"/>
  <c r="M27" i="2"/>
  <c r="L27" i="2"/>
  <c r="K27" i="2"/>
  <c r="J27" i="2"/>
  <c r="I27" i="2"/>
  <c r="H27" i="2"/>
  <c r="G27" i="2"/>
  <c r="F27" i="2"/>
  <c r="F25" i="2" s="1"/>
  <c r="AO26" i="2"/>
  <c r="AN26" i="2"/>
  <c r="AM26" i="2"/>
  <c r="AK26" i="2"/>
  <c r="AI26" i="2"/>
  <c r="AH26" i="2"/>
  <c r="AG26" i="2"/>
  <c r="AF26" i="2"/>
  <c r="AD26" i="2"/>
  <c r="AC26" i="2"/>
  <c r="AB26" i="2"/>
  <c r="AA26" i="2"/>
  <c r="Z26" i="2"/>
  <c r="Y26" i="2" s="1"/>
  <c r="X26" i="2"/>
  <c r="W26" i="2"/>
  <c r="V26" i="2"/>
  <c r="U26" i="2"/>
  <c r="T26" i="2"/>
  <c r="S26" i="2"/>
  <c r="R26" i="2"/>
  <c r="Q26" i="2"/>
  <c r="P26" i="2"/>
  <c r="O26" i="2"/>
  <c r="N26" i="2"/>
  <c r="M26" i="2"/>
  <c r="M25" i="2" s="1"/>
  <c r="L26" i="2"/>
  <c r="K26" i="2"/>
  <c r="J26" i="2"/>
  <c r="I26" i="2"/>
  <c r="H26" i="2"/>
  <c r="G26" i="2"/>
  <c r="E25" i="2"/>
  <c r="AO23" i="2"/>
  <c r="AN23" i="2"/>
  <c r="AM23" i="2"/>
  <c r="AK23" i="2"/>
  <c r="AI23" i="2"/>
  <c r="AH23" i="2"/>
  <c r="AG23" i="2"/>
  <c r="AF23" i="2"/>
  <c r="AD23" i="2"/>
  <c r="AC23" i="2"/>
  <c r="AB23" i="2"/>
  <c r="AA23" i="2"/>
  <c r="Z23" i="2"/>
  <c r="X23" i="2"/>
  <c r="W23" i="2"/>
  <c r="V23" i="2"/>
  <c r="U23" i="2"/>
  <c r="T23" i="2"/>
  <c r="S23" i="2"/>
  <c r="R23" i="2"/>
  <c r="Q23" i="2"/>
  <c r="P23" i="2"/>
  <c r="O23" i="2"/>
  <c r="N23" i="2"/>
  <c r="M23" i="2"/>
  <c r="L23" i="2"/>
  <c r="K23" i="2"/>
  <c r="J23" i="2"/>
  <c r="I23" i="2"/>
  <c r="AO22" i="2"/>
  <c r="AN22" i="2"/>
  <c r="AM22" i="2"/>
  <c r="AL22" i="2" s="1"/>
  <c r="AK22" i="2"/>
  <c r="AK21" i="2" s="1"/>
  <c r="AI22" i="2"/>
  <c r="AH22" i="2"/>
  <c r="AG22" i="2"/>
  <c r="AF22" i="2"/>
  <c r="AD22" i="2"/>
  <c r="AC22" i="2"/>
  <c r="AB22" i="2"/>
  <c r="AA22" i="2"/>
  <c r="Z22" i="2"/>
  <c r="X22" i="2"/>
  <c r="W22" i="2"/>
  <c r="V22" i="2"/>
  <c r="U22" i="2"/>
  <c r="T22" i="2"/>
  <c r="S22" i="2"/>
  <c r="R22" i="2"/>
  <c r="Q22" i="2"/>
  <c r="P22" i="2"/>
  <c r="O22" i="2"/>
  <c r="N22" i="2"/>
  <c r="M22" i="2"/>
  <c r="L22" i="2"/>
  <c r="L21" i="2" s="1"/>
  <c r="K22" i="2"/>
  <c r="J22" i="2"/>
  <c r="J21" i="2" s="1"/>
  <c r="I22" i="2"/>
  <c r="H22" i="2"/>
  <c r="H21" i="2" s="1"/>
  <c r="G22" i="2"/>
  <c r="G21" i="2" s="1"/>
  <c r="F22" i="2"/>
  <c r="E21" i="2"/>
  <c r="AO18" i="2"/>
  <c r="AN18" i="2"/>
  <c r="AM18" i="2"/>
  <c r="AK18" i="2"/>
  <c r="AJ18" i="2" s="1"/>
  <c r="AI18" i="2"/>
  <c r="AH18" i="2"/>
  <c r="AG18" i="2"/>
  <c r="AF18" i="2"/>
  <c r="AD18" i="2"/>
  <c r="AC18" i="2"/>
  <c r="AB18" i="2"/>
  <c r="AA18" i="2"/>
  <c r="Z18" i="2"/>
  <c r="Y18" i="2"/>
  <c r="X18" i="2"/>
  <c r="W18" i="2"/>
  <c r="V18" i="2"/>
  <c r="U18" i="2"/>
  <c r="T18" i="2"/>
  <c r="S18" i="2"/>
  <c r="R18" i="2"/>
  <c r="Q18" i="2"/>
  <c r="P18" i="2"/>
  <c r="O18" i="2"/>
  <c r="N18" i="2"/>
  <c r="M18" i="2"/>
  <c r="L18" i="2"/>
  <c r="K18" i="2"/>
  <c r="J18" i="2"/>
  <c r="I18" i="2"/>
  <c r="H18" i="2"/>
  <c r="AO17" i="2"/>
  <c r="AN17" i="2"/>
  <c r="AM17" i="2"/>
  <c r="AK17" i="2"/>
  <c r="AI17" i="2"/>
  <c r="AH17" i="2"/>
  <c r="AG17" i="2"/>
  <c r="AF17" i="2"/>
  <c r="AD17" i="2"/>
  <c r="AC17" i="2"/>
  <c r="AB17" i="2"/>
  <c r="AA17" i="2"/>
  <c r="Z17" i="2"/>
  <c r="Y17" i="2"/>
  <c r="X17" i="2"/>
  <c r="W17" i="2"/>
  <c r="V17" i="2"/>
  <c r="U17" i="2"/>
  <c r="T17" i="2"/>
  <c r="S17" i="2"/>
  <c r="R17" i="2"/>
  <c r="Q17" i="2"/>
  <c r="P17" i="2"/>
  <c r="O17" i="2"/>
  <c r="N17" i="2"/>
  <c r="M17" i="2"/>
  <c r="L17" i="2"/>
  <c r="K17" i="2"/>
  <c r="J17" i="2"/>
  <c r="I17" i="2"/>
  <c r="H17" i="2"/>
  <c r="AO16" i="2"/>
  <c r="AN16" i="2"/>
  <c r="AM16" i="2"/>
  <c r="AK16" i="2"/>
  <c r="AI16" i="2"/>
  <c r="AH16" i="2"/>
  <c r="AG16" i="2"/>
  <c r="AF16" i="2"/>
  <c r="AD16" i="2"/>
  <c r="AC16" i="2"/>
  <c r="AB16" i="2"/>
  <c r="AA16" i="2"/>
  <c r="Z16" i="2"/>
  <c r="Y16" i="2"/>
  <c r="X16" i="2"/>
  <c r="W16" i="2"/>
  <c r="V16" i="2"/>
  <c r="U16" i="2"/>
  <c r="T16" i="2"/>
  <c r="S16" i="2"/>
  <c r="R16" i="2"/>
  <c r="Q16" i="2"/>
  <c r="P16" i="2"/>
  <c r="O16" i="2"/>
  <c r="N16" i="2"/>
  <c r="M16" i="2"/>
  <c r="L16" i="2"/>
  <c r="K16" i="2"/>
  <c r="J16" i="2"/>
  <c r="I16" i="2"/>
  <c r="H16" i="2"/>
  <c r="G15" i="2"/>
  <c r="F15" i="2"/>
  <c r="E15" i="2"/>
  <c r="AO13" i="2"/>
  <c r="AN13" i="2"/>
  <c r="AM13" i="2"/>
  <c r="AK13" i="2"/>
  <c r="AI13" i="2"/>
  <c r="AH13" i="2"/>
  <c r="AG13" i="2"/>
  <c r="AF13" i="2"/>
  <c r="AD13" i="2"/>
  <c r="AD11" i="2" s="1"/>
  <c r="AC13" i="2"/>
  <c r="AB13" i="2"/>
  <c r="AA13" i="2"/>
  <c r="Z13" i="2"/>
  <c r="X13" i="2"/>
  <c r="W13" i="2"/>
  <c r="V13" i="2"/>
  <c r="U13" i="2"/>
  <c r="T13" i="2"/>
  <c r="S13" i="2"/>
  <c r="R13" i="2"/>
  <c r="Q13" i="2"/>
  <c r="P13" i="2"/>
  <c r="O13" i="2"/>
  <c r="N13" i="2"/>
  <c r="M13" i="2"/>
  <c r="L13" i="2"/>
  <c r="K13" i="2"/>
  <c r="J13" i="2"/>
  <c r="I13" i="2"/>
  <c r="H13" i="2"/>
  <c r="G13" i="2"/>
  <c r="F13" i="2"/>
  <c r="AO12" i="2"/>
  <c r="AN12" i="2"/>
  <c r="AM12" i="2"/>
  <c r="AK12" i="2"/>
  <c r="AI12" i="2"/>
  <c r="AH12" i="2"/>
  <c r="AG12" i="2"/>
  <c r="AF12" i="2"/>
  <c r="AD12" i="2"/>
  <c r="AC12" i="2"/>
  <c r="AB12" i="2"/>
  <c r="AA12" i="2"/>
  <c r="Z12" i="2"/>
  <c r="X12" i="2"/>
  <c r="W12" i="2"/>
  <c r="V12" i="2"/>
  <c r="U12" i="2"/>
  <c r="T12" i="2"/>
  <c r="S12" i="2"/>
  <c r="S11" i="2" s="1"/>
  <c r="R12" i="2"/>
  <c r="R11" i="2" s="1"/>
  <c r="Q12" i="2"/>
  <c r="Q11" i="2" s="1"/>
  <c r="P12" i="2"/>
  <c r="O12" i="2"/>
  <c r="N12" i="2"/>
  <c r="M12" i="2"/>
  <c r="L12" i="2"/>
  <c r="K12" i="2"/>
  <c r="J12" i="2"/>
  <c r="I12" i="2"/>
  <c r="H12" i="2"/>
  <c r="G12" i="2"/>
  <c r="F12" i="2"/>
  <c r="E11" i="2"/>
  <c r="D44" i="1"/>
  <c r="C44" i="1"/>
  <c r="B44" i="1"/>
  <c r="D43" i="1"/>
  <c r="C43" i="1"/>
  <c r="B43" i="1"/>
  <c r="D42" i="1"/>
  <c r="C42" i="1"/>
  <c r="B42" i="1"/>
  <c r="D41" i="1"/>
  <c r="C41" i="1"/>
  <c r="D40" i="1"/>
  <c r="C40" i="1" s="1"/>
  <c r="D39" i="1"/>
  <c r="C39" i="1" s="1"/>
  <c r="D38" i="1"/>
  <c r="C38" i="1" s="1"/>
  <c r="B38" i="1"/>
  <c r="D37" i="1"/>
  <c r="C37" i="1"/>
  <c r="D36" i="1"/>
  <c r="C36" i="1"/>
  <c r="B36" i="1"/>
  <c r="D35" i="1"/>
  <c r="C35" i="1" s="1"/>
  <c r="B35" i="1"/>
  <c r="B33" i="1"/>
  <c r="D32" i="1"/>
  <c r="D31" i="1" s="1"/>
  <c r="C32" i="1"/>
  <c r="C31" i="1" s="1"/>
  <c r="B32" i="1"/>
  <c r="F28" i="1"/>
  <c r="C28" i="1"/>
  <c r="B28" i="1"/>
  <c r="F27" i="1"/>
  <c r="D25" i="1"/>
  <c r="C25" i="1"/>
  <c r="B25" i="1"/>
  <c r="D24" i="1"/>
  <c r="D21" i="1" s="1"/>
  <c r="F23" i="1"/>
  <c r="C23" i="1" s="1"/>
  <c r="D23" i="1"/>
  <c r="D22" i="1"/>
  <c r="C22" i="1"/>
  <c r="D19" i="1"/>
  <c r="C19" i="1" s="1"/>
  <c r="B19" i="1"/>
  <c r="F18" i="1"/>
  <c r="D18" i="1"/>
  <c r="C18" i="1"/>
  <c r="D17" i="1"/>
  <c r="C17" i="1"/>
  <c r="F16" i="1"/>
  <c r="C16" i="1"/>
  <c r="F15" i="1"/>
  <c r="C15" i="1" s="1"/>
  <c r="D15" i="1"/>
  <c r="B15" i="1"/>
  <c r="F14" i="1"/>
  <c r="B14" i="1"/>
  <c r="F13" i="1"/>
  <c r="D13" i="1"/>
  <c r="D12" i="1"/>
  <c r="C12" i="1" s="1"/>
  <c r="F11" i="1"/>
  <c r="C11" i="1"/>
  <c r="C225" i="2" l="1"/>
  <c r="C223" i="2" s="1"/>
  <c r="AE136" i="2"/>
  <c r="P25" i="2"/>
  <c r="AO21" i="2"/>
  <c r="AE29" i="2"/>
  <c r="R234" i="2"/>
  <c r="AE37" i="2"/>
  <c r="AE39" i="2"/>
  <c r="D150" i="2"/>
  <c r="AJ54" i="2"/>
  <c r="AF21" i="2"/>
  <c r="P11" i="2"/>
  <c r="AJ50" i="2"/>
  <c r="Y181" i="2"/>
  <c r="C105" i="2"/>
  <c r="AJ59" i="2"/>
  <c r="C59" i="2" s="1"/>
  <c r="C100" i="2"/>
  <c r="AJ156" i="2"/>
  <c r="C130" i="2"/>
  <c r="D51" i="2"/>
  <c r="D60" i="2"/>
  <c r="D56" i="2" s="1"/>
  <c r="C65" i="2"/>
  <c r="D70" i="2"/>
  <c r="D63" i="2" s="1"/>
  <c r="C101" i="2"/>
  <c r="AJ130" i="2"/>
  <c r="AJ216" i="2"/>
  <c r="AJ215" i="2" s="1"/>
  <c r="Y248" i="2"/>
  <c r="Y247" i="2" s="1"/>
  <c r="AE150" i="2"/>
  <c r="AB185" i="2"/>
  <c r="W42" i="2"/>
  <c r="AJ150" i="2"/>
  <c r="N25" i="2"/>
  <c r="AM35" i="2"/>
  <c r="D181" i="2"/>
  <c r="D248" i="2"/>
  <c r="D247" i="2" s="1"/>
  <c r="AF15" i="2"/>
  <c r="AG15" i="2"/>
  <c r="J11" i="2"/>
  <c r="X15" i="2"/>
  <c r="AJ61" i="2"/>
  <c r="C61" i="2" s="1"/>
  <c r="AE26" i="2"/>
  <c r="N11" i="2"/>
  <c r="AC21" i="2"/>
  <c r="T21" i="2"/>
  <c r="D228" i="2"/>
  <c r="C228" i="2" s="1"/>
  <c r="C227" i="2" s="1"/>
  <c r="J15" i="2"/>
  <c r="W15" i="2"/>
  <c r="C122" i="2"/>
  <c r="M11" i="2"/>
  <c r="S21" i="2"/>
  <c r="S20" i="2" s="1"/>
  <c r="I25" i="2"/>
  <c r="O11" i="2"/>
  <c r="AO11" i="2"/>
  <c r="AD21" i="2"/>
  <c r="AJ158" i="2"/>
  <c r="L234" i="2"/>
  <c r="C34" i="1"/>
  <c r="F21" i="1"/>
  <c r="D10" i="1"/>
  <c r="C24" i="1"/>
  <c r="C21" i="1" s="1"/>
  <c r="F10" i="1"/>
  <c r="C148" i="2"/>
  <c r="AJ108" i="2"/>
  <c r="Q185" i="2"/>
  <c r="AE187" i="2"/>
  <c r="H11" i="2"/>
  <c r="S15" i="2"/>
  <c r="AL56" i="2"/>
  <c r="X73" i="2"/>
  <c r="C146" i="2"/>
  <c r="AJ197" i="2"/>
  <c r="I11" i="2"/>
  <c r="AG11" i="2"/>
  <c r="H35" i="2"/>
  <c r="AE45" i="2"/>
  <c r="C53" i="2"/>
  <c r="Z73" i="2"/>
  <c r="Z48" i="2" s="1"/>
  <c r="C102" i="2"/>
  <c r="AL163" i="2"/>
  <c r="AL181" i="2"/>
  <c r="C202" i="2"/>
  <c r="AE44" i="2"/>
  <c r="C77" i="2"/>
  <c r="C110" i="2"/>
  <c r="AL168" i="2"/>
  <c r="C57" i="2"/>
  <c r="C84" i="2"/>
  <c r="AF11" i="2"/>
  <c r="T11" i="2"/>
  <c r="O25" i="2"/>
  <c r="AL26" i="2"/>
  <c r="AA73" i="2"/>
  <c r="AA48" i="2" s="1"/>
  <c r="C165" i="2"/>
  <c r="Z234" i="2"/>
  <c r="N35" i="2"/>
  <c r="Y150" i="2"/>
  <c r="C161" i="2"/>
  <c r="F234" i="2"/>
  <c r="AB234" i="2"/>
  <c r="AO234" i="2"/>
  <c r="Q25" i="2"/>
  <c r="AM11" i="2"/>
  <c r="R25" i="2"/>
  <c r="V35" i="2"/>
  <c r="AK42" i="2"/>
  <c r="G73" i="2"/>
  <c r="G48" i="2" s="1"/>
  <c r="AJ157" i="2"/>
  <c r="C157" i="2" s="1"/>
  <c r="L213" i="2"/>
  <c r="C229" i="2"/>
  <c r="AC234" i="2"/>
  <c r="T25" i="2"/>
  <c r="AL37" i="2"/>
  <c r="Y38" i="2"/>
  <c r="I73" i="2"/>
  <c r="C127" i="2"/>
  <c r="U11" i="2"/>
  <c r="AN234" i="2"/>
  <c r="H73" i="2"/>
  <c r="H48" i="2" s="1"/>
  <c r="K25" i="2"/>
  <c r="AI25" i="2"/>
  <c r="AL30" i="2"/>
  <c r="L25" i="2"/>
  <c r="L20" i="2" s="1"/>
  <c r="X213" i="2"/>
  <c r="S234" i="2"/>
  <c r="J42" i="2"/>
  <c r="V42" i="2"/>
  <c r="AJ129" i="2"/>
  <c r="C129" i="2" s="1"/>
  <c r="C78" i="2"/>
  <c r="AJ114" i="2"/>
  <c r="C114" i="2" s="1"/>
  <c r="AO25" i="2"/>
  <c r="AO20" i="2" s="1"/>
  <c r="J35" i="2"/>
  <c r="E234" i="2"/>
  <c r="AA234" i="2"/>
  <c r="S25" i="2"/>
  <c r="M213" i="2"/>
  <c r="AH25" i="2"/>
  <c r="Y36" i="2"/>
  <c r="J73" i="2"/>
  <c r="J48" i="2" s="1"/>
  <c r="AL27" i="2"/>
  <c r="AL25" i="2" s="1"/>
  <c r="AE40" i="2"/>
  <c r="C64" i="2"/>
  <c r="X11" i="2"/>
  <c r="G42" i="2"/>
  <c r="C205" i="2"/>
  <c r="AE223" i="2"/>
  <c r="AC42" i="2"/>
  <c r="S42" i="2"/>
  <c r="C67" i="2"/>
  <c r="M21" i="2"/>
  <c r="M20" i="2" s="1"/>
  <c r="D18" i="2"/>
  <c r="AM25" i="2"/>
  <c r="AE38" i="2"/>
  <c r="E73" i="2"/>
  <c r="E48" i="2" s="1"/>
  <c r="AB73" i="2"/>
  <c r="AB48" i="2" s="1"/>
  <c r="C109" i="2"/>
  <c r="Y227" i="2"/>
  <c r="I15" i="2"/>
  <c r="AE16" i="2"/>
  <c r="AN25" i="2"/>
  <c r="AF42" i="2"/>
  <c r="AC73" i="2"/>
  <c r="AC48" i="2" s="1"/>
  <c r="C80" i="2"/>
  <c r="C151" i="2"/>
  <c r="C169" i="2"/>
  <c r="K234" i="2"/>
  <c r="AA213" i="2"/>
  <c r="Z213" i="2"/>
  <c r="Y39" i="2"/>
  <c r="AB213" i="2"/>
  <c r="AN11" i="2"/>
  <c r="AG25" i="2"/>
  <c r="P35" i="2"/>
  <c r="AL38" i="2"/>
  <c r="AJ38" i="2" s="1"/>
  <c r="AJ51" i="2"/>
  <c r="C81" i="2"/>
  <c r="D136" i="2"/>
  <c r="D158" i="2"/>
  <c r="C175" i="2"/>
  <c r="C170" i="2"/>
  <c r="R21" i="2"/>
  <c r="J25" i="2"/>
  <c r="J20" i="2" s="1"/>
  <c r="AC35" i="2"/>
  <c r="W213" i="2"/>
  <c r="C147" i="2"/>
  <c r="R185" i="2"/>
  <c r="AB15" i="2"/>
  <c r="Y22" i="2"/>
  <c r="W25" i="2"/>
  <c r="AE33" i="2"/>
  <c r="AE32" i="2" s="1"/>
  <c r="G35" i="2"/>
  <c r="N141" i="2"/>
  <c r="AJ69" i="2"/>
  <c r="C69" i="2" s="1"/>
  <c r="C91" i="2"/>
  <c r="AL133" i="2"/>
  <c r="AI141" i="2"/>
  <c r="Y187" i="2"/>
  <c r="Y197" i="2"/>
  <c r="AD213" i="2"/>
  <c r="AI234" i="2"/>
  <c r="AK124" i="2"/>
  <c r="AH11" i="2"/>
  <c r="T15" i="2"/>
  <c r="P120" i="2"/>
  <c r="C171" i="2"/>
  <c r="K11" i="2"/>
  <c r="U15" i="2"/>
  <c r="AF25" i="2"/>
  <c r="AF20" i="2" s="1"/>
  <c r="E185" i="2"/>
  <c r="V11" i="2"/>
  <c r="AK11" i="2"/>
  <c r="V15" i="2"/>
  <c r="Y23" i="2"/>
  <c r="X35" i="2"/>
  <c r="M35" i="2"/>
  <c r="Y98" i="2"/>
  <c r="J141" i="2"/>
  <c r="W11" i="2"/>
  <c r="AL13" i="2"/>
  <c r="AJ13" i="2" s="1"/>
  <c r="H25" i="2"/>
  <c r="H20" i="2" s="1"/>
  <c r="AL39" i="2"/>
  <c r="AJ39" i="2" s="1"/>
  <c r="C66" i="2"/>
  <c r="C139" i="2"/>
  <c r="AG141" i="2"/>
  <c r="AJ155" i="2"/>
  <c r="C203" i="2"/>
  <c r="AL227" i="2"/>
  <c r="AL231" i="2"/>
  <c r="Y218" i="2"/>
  <c r="V73" i="2"/>
  <c r="K141" i="2"/>
  <c r="K213" i="2"/>
  <c r="AI213" i="2"/>
  <c r="Q213" i="2"/>
  <c r="AM21" i="2"/>
  <c r="AL43" i="2"/>
  <c r="AJ43" i="2" s="1"/>
  <c r="O21" i="2"/>
  <c r="O20" i="2" s="1"/>
  <c r="P42" i="2"/>
  <c r="W73" i="2"/>
  <c r="C131" i="2"/>
  <c r="C173" i="2"/>
  <c r="D223" i="2"/>
  <c r="AL17" i="2"/>
  <c r="AJ17" i="2" s="1"/>
  <c r="N21" i="2"/>
  <c r="N42" i="2"/>
  <c r="P21" i="2"/>
  <c r="P20" i="2" s="1"/>
  <c r="F42" i="2"/>
  <c r="AB42" i="2"/>
  <c r="AL150" i="2"/>
  <c r="C159" i="2"/>
  <c r="Y223" i="2"/>
  <c r="D39" i="2"/>
  <c r="R213" i="2"/>
  <c r="K185" i="2"/>
  <c r="AJ99" i="2"/>
  <c r="AJ98" i="2" s="1"/>
  <c r="I35" i="2"/>
  <c r="U73" i="2"/>
  <c r="U48" i="2" s="1"/>
  <c r="U35" i="2"/>
  <c r="J234" i="2"/>
  <c r="K15" i="2"/>
  <c r="L73" i="2"/>
  <c r="L48" i="2" s="1"/>
  <c r="L15" i="2"/>
  <c r="AH15" i="2"/>
  <c r="AE49" i="2"/>
  <c r="AL112" i="2"/>
  <c r="C88" i="2"/>
  <c r="AO35" i="2"/>
  <c r="D163" i="2"/>
  <c r="D211" i="2"/>
  <c r="D210" i="2" s="1"/>
  <c r="I210" i="2"/>
  <c r="U21" i="2"/>
  <c r="AK15" i="2"/>
  <c r="Y30" i="2"/>
  <c r="D191" i="2"/>
  <c r="I187" i="2"/>
  <c r="AC213" i="2"/>
  <c r="N234" i="2"/>
  <c r="Y13" i="2"/>
  <c r="O15" i="2"/>
  <c r="Y27" i="2"/>
  <c r="Y25" i="2" s="1"/>
  <c r="AL167" i="2"/>
  <c r="AJ168" i="2"/>
  <c r="AJ167" i="2" s="1"/>
  <c r="G185" i="2"/>
  <c r="AF185" i="2"/>
  <c r="G213" i="2"/>
  <c r="AN213" i="2"/>
  <c r="O234" i="2"/>
  <c r="C174" i="2"/>
  <c r="AL40" i="2"/>
  <c r="AJ40" i="2" s="1"/>
  <c r="AK49" i="2"/>
  <c r="P234" i="2"/>
  <c r="S35" i="2"/>
  <c r="AE154" i="2"/>
  <c r="AI15" i="2"/>
  <c r="P15" i="2"/>
  <c r="H185" i="2"/>
  <c r="C104" i="2"/>
  <c r="AE163" i="2"/>
  <c r="I213" i="2"/>
  <c r="D218" i="2"/>
  <c r="Q234" i="2"/>
  <c r="I154" i="2"/>
  <c r="I141" i="2" s="1"/>
  <c r="AE197" i="2"/>
  <c r="C198" i="2"/>
  <c r="L141" i="2"/>
  <c r="T73" i="2"/>
  <c r="T48" i="2" s="1"/>
  <c r="AK187" i="2"/>
  <c r="AJ189" i="2"/>
  <c r="C189" i="2" s="1"/>
  <c r="M15" i="2"/>
  <c r="AL29" i="2"/>
  <c r="AJ29" i="2" s="1"/>
  <c r="AD185" i="2"/>
  <c r="N15" i="2"/>
  <c r="D13" i="2"/>
  <c r="AE56" i="2"/>
  <c r="O124" i="2"/>
  <c r="Q15" i="2"/>
  <c r="AE13" i="2"/>
  <c r="AA21" i="2"/>
  <c r="AE30" i="2"/>
  <c r="O42" i="2"/>
  <c r="AM42" i="2"/>
  <c r="AK56" i="2"/>
  <c r="C92" i="2"/>
  <c r="AJ164" i="2"/>
  <c r="AJ163" i="2" s="1"/>
  <c r="AA25" i="2"/>
  <c r="P185" i="2"/>
  <c r="C221" i="2"/>
  <c r="AJ227" i="2"/>
  <c r="C242" i="2"/>
  <c r="AL49" i="2"/>
  <c r="C117" i="2"/>
  <c r="C126" i="2"/>
  <c r="AK234" i="2"/>
  <c r="X25" i="2"/>
  <c r="Y29" i="2"/>
  <c r="Q35" i="2"/>
  <c r="AJ70" i="2"/>
  <c r="F73" i="2"/>
  <c r="F48" i="2" s="1"/>
  <c r="AE112" i="2"/>
  <c r="M185" i="2"/>
  <c r="AN185" i="2"/>
  <c r="X185" i="2"/>
  <c r="Y12" i="2"/>
  <c r="I21" i="2"/>
  <c r="C85" i="2"/>
  <c r="AL83" i="2"/>
  <c r="AD73" i="2"/>
  <c r="AD48" i="2" s="1"/>
  <c r="Y124" i="2"/>
  <c r="C138" i="2"/>
  <c r="Q141" i="2"/>
  <c r="Y143" i="2"/>
  <c r="N185" i="2"/>
  <c r="Z185" i="2"/>
  <c r="AL239" i="2"/>
  <c r="AL234" i="2" s="1"/>
  <c r="AH21" i="2"/>
  <c r="AH20" i="2" s="1"/>
  <c r="AB25" i="2"/>
  <c r="AD35" i="2"/>
  <c r="AN73" i="2"/>
  <c r="AN48" i="2" s="1"/>
  <c r="C86" i="2"/>
  <c r="AL136" i="2"/>
  <c r="AI21" i="2"/>
  <c r="AC25" i="2"/>
  <c r="D40" i="2"/>
  <c r="AJ144" i="2"/>
  <c r="AJ143" i="2" s="1"/>
  <c r="AN35" i="2"/>
  <c r="AH185" i="2"/>
  <c r="O35" i="2"/>
  <c r="AA35" i="2"/>
  <c r="L185" i="2"/>
  <c r="D44" i="2"/>
  <c r="AC185" i="2"/>
  <c r="K35" i="2"/>
  <c r="Y108" i="2"/>
  <c r="L35" i="2"/>
  <c r="AI35" i="2"/>
  <c r="R73" i="2"/>
  <c r="R48" i="2" s="1"/>
  <c r="Y76" i="2"/>
  <c r="AF73" i="2"/>
  <c r="AF48" i="2" s="1"/>
  <c r="AD141" i="2"/>
  <c r="AM185" i="2"/>
  <c r="U234" i="2"/>
  <c r="AI11" i="2"/>
  <c r="D17" i="2"/>
  <c r="W21" i="2"/>
  <c r="U25" i="2"/>
  <c r="AI42" i="2"/>
  <c r="S73" i="2"/>
  <c r="S48" i="2" s="1"/>
  <c r="AE76" i="2"/>
  <c r="AG73" i="2"/>
  <c r="AG48" i="2" s="1"/>
  <c r="AK112" i="2"/>
  <c r="AJ136" i="2"/>
  <c r="AE143" i="2"/>
  <c r="C172" i="2"/>
  <c r="V234" i="2"/>
  <c r="AD234" i="2"/>
  <c r="R141" i="2"/>
  <c r="X42" i="2"/>
  <c r="J185" i="2"/>
  <c r="Y120" i="2"/>
  <c r="T141" i="2"/>
  <c r="AI185" i="2"/>
  <c r="M234" i="2"/>
  <c r="AE120" i="2"/>
  <c r="W185" i="2"/>
  <c r="Y15" i="2"/>
  <c r="AD25" i="2"/>
  <c r="D45" i="2"/>
  <c r="AL124" i="2"/>
  <c r="Y167" i="2"/>
  <c r="AJ223" i="2"/>
  <c r="AO15" i="2"/>
  <c r="AH35" i="2"/>
  <c r="AG35" i="2"/>
  <c r="Q42" i="2"/>
  <c r="D76" i="2"/>
  <c r="AE167" i="2"/>
  <c r="AE181" i="2"/>
  <c r="F185" i="2"/>
  <c r="AL223" i="2"/>
  <c r="T234" i="2"/>
  <c r="AE18" i="2"/>
  <c r="V25" i="2"/>
  <c r="Y37" i="2"/>
  <c r="M42" i="2"/>
  <c r="AH73" i="2"/>
  <c r="AH48" i="2" s="1"/>
  <c r="AL108" i="2"/>
  <c r="G141" i="2"/>
  <c r="AF141" i="2"/>
  <c r="C160" i="2"/>
  <c r="AM167" i="2"/>
  <c r="AM141" i="2" s="1"/>
  <c r="W234" i="2"/>
  <c r="H234" i="2"/>
  <c r="AG234" i="2"/>
  <c r="C118" i="2"/>
  <c r="AA15" i="2"/>
  <c r="AC141" i="2"/>
  <c r="V21" i="2"/>
  <c r="T42" i="2"/>
  <c r="L11" i="2"/>
  <c r="AL12" i="2"/>
  <c r="D16" i="2"/>
  <c r="AD15" i="2"/>
  <c r="Z21" i="2"/>
  <c r="AJ52" i="2"/>
  <c r="C52" i="2" s="1"/>
  <c r="C115" i="2"/>
  <c r="AJ128" i="2"/>
  <c r="C128" i="2" s="1"/>
  <c r="AL143" i="2"/>
  <c r="X234" i="2"/>
  <c r="I234" i="2"/>
  <c r="AL248" i="2"/>
  <c r="AL247" i="2" s="1"/>
  <c r="AL46" i="2"/>
  <c r="AJ46" i="2" s="1"/>
  <c r="D36" i="2"/>
  <c r="D22" i="2"/>
  <c r="F21" i="2"/>
  <c r="F20" i="2" s="1"/>
  <c r="I124" i="2"/>
  <c r="R42" i="2"/>
  <c r="AO167" i="2"/>
  <c r="AO141" i="2" s="1"/>
  <c r="O56" i="2"/>
  <c r="AJ22" i="2"/>
  <c r="AJ83" i="2"/>
  <c r="D29" i="2"/>
  <c r="O49" i="2"/>
  <c r="D54" i="2"/>
  <c r="C54" i="2" s="1"/>
  <c r="H42" i="2"/>
  <c r="AL63" i="2"/>
  <c r="AJ76" i="2"/>
  <c r="AN154" i="2"/>
  <c r="AN141" i="2" s="1"/>
  <c r="AK194" i="2"/>
  <c r="AL16" i="2"/>
  <c r="AM15" i="2"/>
  <c r="AN15" i="2"/>
  <c r="C145" i="2"/>
  <c r="AM213" i="2"/>
  <c r="D33" i="2"/>
  <c r="W48" i="2"/>
  <c r="AJ250" i="2"/>
  <c r="C250" i="2" s="1"/>
  <c r="AJ37" i="2"/>
  <c r="AK35" i="2"/>
  <c r="AL44" i="2"/>
  <c r="AO42" i="2"/>
  <c r="L42" i="2"/>
  <c r="D43" i="2"/>
  <c r="AG21" i="2"/>
  <c r="AE22" i="2"/>
  <c r="C74" i="2"/>
  <c r="Q21" i="2"/>
  <c r="D37" i="2"/>
  <c r="V277" i="2"/>
  <c r="V49" i="2"/>
  <c r="V48" i="2" s="1"/>
  <c r="V141" i="2"/>
  <c r="H15" i="2"/>
  <c r="D27" i="2"/>
  <c r="AF35" i="2"/>
  <c r="C58" i="2"/>
  <c r="X141" i="2"/>
  <c r="AO213" i="2"/>
  <c r="AH239" i="2"/>
  <c r="AL23" i="2"/>
  <c r="AJ23" i="2" s="1"/>
  <c r="AN21" i="2"/>
  <c r="G25" i="2"/>
  <c r="G20" i="2" s="1"/>
  <c r="D26" i="2"/>
  <c r="C87" i="2"/>
  <c r="D83" i="2"/>
  <c r="Y163" i="2"/>
  <c r="Y42" i="2"/>
  <c r="Y83" i="2"/>
  <c r="AE83" i="2"/>
  <c r="Y56" i="2"/>
  <c r="AL76" i="2"/>
  <c r="D124" i="2"/>
  <c r="D23" i="2"/>
  <c r="AG42" i="2"/>
  <c r="AE46" i="2"/>
  <c r="AH236" i="2"/>
  <c r="AE237" i="2"/>
  <c r="AE236" i="2" s="1"/>
  <c r="AE27" i="2"/>
  <c r="K42" i="2"/>
  <c r="D46" i="2"/>
  <c r="AL98" i="2"/>
  <c r="C190" i="2"/>
  <c r="AA185" i="2"/>
  <c r="P213" i="2"/>
  <c r="AJ237" i="2"/>
  <c r="AJ236" i="2" s="1"/>
  <c r="D99" i="2"/>
  <c r="G234" i="2"/>
  <c r="U42" i="2"/>
  <c r="O194" i="2"/>
  <c r="D195" i="2"/>
  <c r="AE248" i="2"/>
  <c r="AE247" i="2" s="1"/>
  <c r="C249" i="2"/>
  <c r="AJ121" i="2"/>
  <c r="AJ120" i="2" s="1"/>
  <c r="AL120" i="2"/>
  <c r="D144" i="2"/>
  <c r="O143" i="2"/>
  <c r="I42" i="2"/>
  <c r="C93" i="2"/>
  <c r="D197" i="2"/>
  <c r="AB21" i="2"/>
  <c r="D30" i="2"/>
  <c r="W35" i="2"/>
  <c r="AJ68" i="2"/>
  <c r="C68" i="2" s="1"/>
  <c r="AK63" i="2"/>
  <c r="C90" i="2"/>
  <c r="AE241" i="2"/>
  <c r="C241" i="2" s="1"/>
  <c r="AO185" i="2"/>
  <c r="AG185" i="2"/>
  <c r="AC15" i="2"/>
  <c r="AE23" i="2"/>
  <c r="D38" i="2"/>
  <c r="C208" i="2"/>
  <c r="S213" i="2"/>
  <c r="Z42" i="2"/>
  <c r="AJ60" i="2"/>
  <c r="C137" i="2"/>
  <c r="H141" i="2"/>
  <c r="W141" i="2"/>
  <c r="O154" i="2"/>
  <c r="T213" i="2"/>
  <c r="AE17" i="2"/>
  <c r="AA42" i="2"/>
  <c r="AE124" i="2"/>
  <c r="Y154" i="2"/>
  <c r="AJ179" i="2"/>
  <c r="S185" i="2"/>
  <c r="AJ208" i="2"/>
  <c r="AJ207" i="2" s="1"/>
  <c r="AL207" i="2"/>
  <c r="AJ211" i="2"/>
  <c r="AJ210" i="2" s="1"/>
  <c r="U213" i="2"/>
  <c r="AE218" i="2"/>
  <c r="AE243" i="2"/>
  <c r="C243" i="2" s="1"/>
  <c r="X21" i="2"/>
  <c r="AJ30" i="2"/>
  <c r="R35" i="2"/>
  <c r="Y40" i="2"/>
  <c r="D113" i="2"/>
  <c r="AH141" i="2"/>
  <c r="D168" i="2"/>
  <c r="AL187" i="2"/>
  <c r="AJ188" i="2"/>
  <c r="C192" i="2"/>
  <c r="Y239" i="2"/>
  <c r="Y234" i="2" s="1"/>
  <c r="AD42" i="2"/>
  <c r="AB11" i="2"/>
  <c r="AJ106" i="2"/>
  <c r="C106" i="2" s="1"/>
  <c r="AK73" i="2"/>
  <c r="AJ125" i="2"/>
  <c r="V213" i="2"/>
  <c r="AC11" i="2"/>
  <c r="E20" i="2"/>
  <c r="E9" i="2" s="1"/>
  <c r="Y63" i="2"/>
  <c r="Y136" i="2"/>
  <c r="M141" i="2"/>
  <c r="AL197" i="2"/>
  <c r="Z15" i="2"/>
  <c r="T35" i="2"/>
  <c r="C50" i="2"/>
  <c r="AJ58" i="2"/>
  <c r="AE63" i="2"/>
  <c r="C156" i="2"/>
  <c r="P167" i="2"/>
  <c r="P141" i="2" s="1"/>
  <c r="D187" i="2"/>
  <c r="F11" i="2"/>
  <c r="D12" i="2"/>
  <c r="AJ26" i="2"/>
  <c r="AK25" i="2"/>
  <c r="AJ219" i="2"/>
  <c r="AL218" i="2"/>
  <c r="G11" i="2"/>
  <c r="D239" i="2"/>
  <c r="D234" i="2" s="1"/>
  <c r="C240" i="2"/>
  <c r="Z35" i="2"/>
  <c r="K73" i="2"/>
  <c r="K48" i="2" s="1"/>
  <c r="D108" i="2"/>
  <c r="Y207" i="2"/>
  <c r="AE12" i="2"/>
  <c r="AH42" i="2"/>
  <c r="AO73" i="2"/>
  <c r="Y112" i="2"/>
  <c r="T185" i="2"/>
  <c r="E213" i="2"/>
  <c r="AK218" i="2"/>
  <c r="AJ220" i="2"/>
  <c r="C220" i="2" s="1"/>
  <c r="Y231" i="2"/>
  <c r="C232" i="2"/>
  <c r="R15" i="2"/>
  <c r="AE36" i="2"/>
  <c r="C134" i="2"/>
  <c r="F213" i="2"/>
  <c r="AF234" i="2"/>
  <c r="AJ239" i="2"/>
  <c r="AI73" i="2"/>
  <c r="AI48" i="2" s="1"/>
  <c r="C201" i="2"/>
  <c r="K21" i="2"/>
  <c r="AL33" i="2"/>
  <c r="AN42" i="2"/>
  <c r="X48" i="2"/>
  <c r="M73" i="2"/>
  <c r="M48" i="2" s="1"/>
  <c r="AE98" i="2"/>
  <c r="S141" i="2"/>
  <c r="U185" i="2"/>
  <c r="AF213" i="2"/>
  <c r="V185" i="2"/>
  <c r="J213" i="2"/>
  <c r="N73" i="2"/>
  <c r="N48" i="2" s="1"/>
  <c r="AL36" i="2"/>
  <c r="O73" i="2"/>
  <c r="D120" i="2"/>
  <c r="U141" i="2"/>
  <c r="AH213" i="2"/>
  <c r="AG213" i="2"/>
  <c r="AM234" i="2"/>
  <c r="Z25" i="2"/>
  <c r="F35" i="2"/>
  <c r="AB35" i="2"/>
  <c r="Y49" i="2"/>
  <c r="E141" i="2"/>
  <c r="AA141" i="2"/>
  <c r="C152" i="2"/>
  <c r="AL45" i="2"/>
  <c r="AJ45" i="2" s="1"/>
  <c r="AJ182" i="2"/>
  <c r="AJ191" i="2"/>
  <c r="AK154" i="2"/>
  <c r="AK141" i="2" s="1"/>
  <c r="Z11" i="2"/>
  <c r="AE43" i="2"/>
  <c r="P73" i="2"/>
  <c r="AM73" i="2"/>
  <c r="AM48" i="2" s="1"/>
  <c r="F141" i="2"/>
  <c r="AB141" i="2"/>
  <c r="Z141" i="2"/>
  <c r="AL154" i="2"/>
  <c r="N213" i="2"/>
  <c r="AA11" i="2"/>
  <c r="Q73" i="2"/>
  <c r="Q48" i="2" s="1"/>
  <c r="C183" i="2"/>
  <c r="O187" i="2"/>
  <c r="O213" i="2"/>
  <c r="AJ113" i="2"/>
  <c r="H218" i="2"/>
  <c r="H213" i="2" s="1"/>
  <c r="F8" i="1"/>
  <c r="C13" i="1"/>
  <c r="D34" i="1"/>
  <c r="C14" i="1"/>
  <c r="C30" i="1"/>
  <c r="C27" i="1" s="1"/>
  <c r="D30" i="1"/>
  <c r="C191" i="2" l="1"/>
  <c r="C60" i="2"/>
  <c r="C56" i="2" s="1"/>
  <c r="W20" i="2"/>
  <c r="AC20" i="2"/>
  <c r="AC9" i="2" s="1"/>
  <c r="AC7" i="2" s="1"/>
  <c r="D227" i="2"/>
  <c r="D213" i="2" s="1"/>
  <c r="T20" i="2"/>
  <c r="T9" i="2" s="1"/>
  <c r="T7" i="2" s="1"/>
  <c r="AJ112" i="2"/>
  <c r="Z20" i="2"/>
  <c r="Z9" i="2" s="1"/>
  <c r="Z7" i="2" s="1"/>
  <c r="AM20" i="2"/>
  <c r="AJ154" i="2"/>
  <c r="J9" i="2"/>
  <c r="I20" i="2"/>
  <c r="N20" i="2"/>
  <c r="N9" i="2" s="1"/>
  <c r="N7" i="2" s="1"/>
  <c r="AL21" i="2"/>
  <c r="V20" i="2"/>
  <c r="C158" i="2"/>
  <c r="C216" i="2"/>
  <c r="C215" i="2" s="1"/>
  <c r="AE25" i="2"/>
  <c r="C108" i="2"/>
  <c r="S9" i="2"/>
  <c r="H9" i="2"/>
  <c r="AE185" i="2"/>
  <c r="C51" i="2"/>
  <c r="AD20" i="2"/>
  <c r="AD9" i="2" s="1"/>
  <c r="AD7" i="2" s="1"/>
  <c r="K20" i="2"/>
  <c r="K9" i="2" s="1"/>
  <c r="K7" i="2" s="1"/>
  <c r="W9" i="2"/>
  <c r="W7" i="2" s="1"/>
  <c r="U20" i="2"/>
  <c r="U9" i="2" s="1"/>
  <c r="U7" i="2" s="1"/>
  <c r="C155" i="2"/>
  <c r="C154" i="2" s="1"/>
  <c r="C40" i="2"/>
  <c r="AJ27" i="2"/>
  <c r="C27" i="2" s="1"/>
  <c r="C63" i="2"/>
  <c r="R20" i="2"/>
  <c r="R9" i="2" s="1"/>
  <c r="R7" i="2" s="1"/>
  <c r="P48" i="2"/>
  <c r="Y213" i="2"/>
  <c r="C76" i="2"/>
  <c r="AE213" i="2"/>
  <c r="F9" i="2"/>
  <c r="F7" i="2" s="1"/>
  <c r="Q20" i="2"/>
  <c r="Q9" i="2" s="1"/>
  <c r="Q7" i="2" s="1"/>
  <c r="AE42" i="2"/>
  <c r="AI20" i="2"/>
  <c r="AI9" i="2" s="1"/>
  <c r="AI7" i="2" s="1"/>
  <c r="I185" i="2"/>
  <c r="O9" i="2"/>
  <c r="AJ56" i="2"/>
  <c r="D15" i="2"/>
  <c r="AJ63" i="2"/>
  <c r="AL11" i="2"/>
  <c r="C70" i="2"/>
  <c r="M9" i="2"/>
  <c r="C45" i="2"/>
  <c r="V9" i="2"/>
  <c r="V7" i="2" s="1"/>
  <c r="C13" i="2"/>
  <c r="AE73" i="2"/>
  <c r="AE48" i="2" s="1"/>
  <c r="Y73" i="2"/>
  <c r="Y48" i="2" s="1"/>
  <c r="AL73" i="2"/>
  <c r="AL48" i="2" s="1"/>
  <c r="C17" i="2"/>
  <c r="AE141" i="2"/>
  <c r="D154" i="2"/>
  <c r="X20" i="2"/>
  <c r="X9" i="2" s="1"/>
  <c r="X7" i="2" s="1"/>
  <c r="AK185" i="2"/>
  <c r="C197" i="2"/>
  <c r="L9" i="2"/>
  <c r="L7" i="2" s="1"/>
  <c r="I9" i="2"/>
  <c r="AE11" i="2"/>
  <c r="O185" i="2"/>
  <c r="S7" i="2"/>
  <c r="Y21" i="2"/>
  <c r="Y20" i="2" s="1"/>
  <c r="E7" i="2"/>
  <c r="AG20" i="2"/>
  <c r="AG9" i="2" s="1"/>
  <c r="AG7" i="2" s="1"/>
  <c r="C38" i="2"/>
  <c r="AL213" i="2"/>
  <c r="AE35" i="2"/>
  <c r="AL42" i="2"/>
  <c r="O48" i="2"/>
  <c r="P9" i="2"/>
  <c r="P7" i="2" s="1"/>
  <c r="AJ49" i="2"/>
  <c r="AO9" i="2"/>
  <c r="Y185" i="2"/>
  <c r="C18" i="2"/>
  <c r="AH9" i="2"/>
  <c r="H7" i="2"/>
  <c r="AJ141" i="2"/>
  <c r="C29" i="2"/>
  <c r="C211" i="2"/>
  <c r="C210" i="2" s="1"/>
  <c r="Y11" i="2"/>
  <c r="AF9" i="2"/>
  <c r="AF7" i="2" s="1"/>
  <c r="J7" i="2"/>
  <c r="AE239" i="2"/>
  <c r="AE234" i="2" s="1"/>
  <c r="AJ12" i="2"/>
  <c r="AJ11" i="2" s="1"/>
  <c r="C37" i="2"/>
  <c r="AL141" i="2"/>
  <c r="C121" i="2"/>
  <c r="C39" i="2"/>
  <c r="M7" i="2"/>
  <c r="C164" i="2"/>
  <c r="C163" i="2" s="1"/>
  <c r="AJ44" i="2"/>
  <c r="C44" i="2" s="1"/>
  <c r="AJ248" i="2"/>
  <c r="AJ247" i="2" s="1"/>
  <c r="AM9" i="2"/>
  <c r="AM7" i="2" s="1"/>
  <c r="AM252" i="2" s="1"/>
  <c r="C46" i="2"/>
  <c r="D49" i="2"/>
  <c r="Y141" i="2"/>
  <c r="AL185" i="2"/>
  <c r="AJ73" i="2"/>
  <c r="AB20" i="2"/>
  <c r="AB9" i="2" s="1"/>
  <c r="AB7" i="2" s="1"/>
  <c r="AA20" i="2"/>
  <c r="AA9" i="2" s="1"/>
  <c r="AA7" i="2" s="1"/>
  <c r="D112" i="2"/>
  <c r="C113" i="2"/>
  <c r="D11" i="2"/>
  <c r="C22" i="2"/>
  <c r="D21" i="2"/>
  <c r="AJ33" i="2"/>
  <c r="AJ32" i="2" s="1"/>
  <c r="AL32" i="2"/>
  <c r="C168" i="2"/>
  <c r="D167" i="2"/>
  <c r="C120" i="2"/>
  <c r="AH234" i="2"/>
  <c r="D32" i="2"/>
  <c r="C83" i="2"/>
  <c r="C231" i="2"/>
  <c r="C239" i="2"/>
  <c r="C207" i="2"/>
  <c r="Y35" i="2"/>
  <c r="AJ218" i="2"/>
  <c r="AJ213" i="2" s="1"/>
  <c r="C219" i="2"/>
  <c r="AE15" i="2"/>
  <c r="AK20" i="2"/>
  <c r="AK9" i="2" s="1"/>
  <c r="C133" i="2"/>
  <c r="O141" i="2"/>
  <c r="D42" i="2"/>
  <c r="C43" i="2"/>
  <c r="C125" i="2"/>
  <c r="AJ124" i="2"/>
  <c r="D143" i="2"/>
  <c r="C144" i="2"/>
  <c r="AE21" i="2"/>
  <c r="C248" i="2"/>
  <c r="AN20" i="2"/>
  <c r="AN9" i="2" s="1"/>
  <c r="AN7" i="2" s="1"/>
  <c r="AN252" i="2" s="1"/>
  <c r="C150" i="2"/>
  <c r="AK48" i="2"/>
  <c r="AL15" i="2"/>
  <c r="AJ16" i="2"/>
  <c r="AJ181" i="2"/>
  <c r="C182" i="2"/>
  <c r="C136" i="2"/>
  <c r="D35" i="2"/>
  <c r="C23" i="2"/>
  <c r="C49" i="2"/>
  <c r="AJ234" i="2"/>
  <c r="AJ36" i="2"/>
  <c r="AJ35" i="2" s="1"/>
  <c r="AL35" i="2"/>
  <c r="AJ21" i="2"/>
  <c r="C99" i="2"/>
  <c r="D98" i="2"/>
  <c r="D73" i="2" s="1"/>
  <c r="C237" i="2"/>
  <c r="AO48" i="2"/>
  <c r="D25" i="2"/>
  <c r="C26" i="2"/>
  <c r="I48" i="2"/>
  <c r="AK213" i="2"/>
  <c r="G9" i="2"/>
  <c r="G7" i="2" s="1"/>
  <c r="C195" i="2"/>
  <c r="D194" i="2"/>
  <c r="D185" i="2" s="1"/>
  <c r="AJ187" i="2"/>
  <c r="AJ185" i="2" s="1"/>
  <c r="C188" i="2"/>
  <c r="AJ178" i="2"/>
  <c r="AJ177" i="2" s="1"/>
  <c r="C179" i="2"/>
  <c r="C30" i="2"/>
  <c r="D27" i="1"/>
  <c r="C10" i="1"/>
  <c r="C8" i="1" s="1"/>
  <c r="AE20" i="2" l="1"/>
  <c r="AE9" i="2" s="1"/>
  <c r="AE7" i="2" s="1"/>
  <c r="AL20" i="2"/>
  <c r="AL9" i="2" s="1"/>
  <c r="AL7" i="2" s="1"/>
  <c r="AJ25" i="2"/>
  <c r="AJ20" i="2" s="1"/>
  <c r="I7" i="2"/>
  <c r="AH7" i="2"/>
  <c r="Y9" i="2"/>
  <c r="Y7" i="2" s="1"/>
  <c r="O7" i="2"/>
  <c r="AK7" i="2"/>
  <c r="D20" i="2"/>
  <c r="C12" i="2"/>
  <c r="D48" i="2"/>
  <c r="AJ42" i="2"/>
  <c r="C36" i="2"/>
  <c r="C35" i="2" s="1"/>
  <c r="AJ48" i="2"/>
  <c r="C167" i="2"/>
  <c r="C178" i="2"/>
  <c r="C181" i="2"/>
  <c r="C143" i="2"/>
  <c r="C187" i="2"/>
  <c r="D141" i="2"/>
  <c r="AJ15" i="2"/>
  <c r="C16" i="2"/>
  <c r="C247" i="2"/>
  <c r="C98" i="2"/>
  <c r="C194" i="2"/>
  <c r="C236" i="2"/>
  <c r="C21" i="2"/>
  <c r="C112" i="2"/>
  <c r="AO7" i="2"/>
  <c r="C25" i="2"/>
  <c r="C33" i="2"/>
  <c r="C218" i="2"/>
  <c r="C124" i="2"/>
  <c r="C42" i="2"/>
  <c r="C11" i="2"/>
  <c r="D9" i="2"/>
  <c r="E38" i="1"/>
  <c r="E12" i="1"/>
  <c r="E22" i="1"/>
  <c r="E15" i="1"/>
  <c r="E23" i="1"/>
  <c r="G15" i="1"/>
  <c r="G14" i="1"/>
  <c r="E40" i="1"/>
  <c r="E39" i="1"/>
  <c r="G16" i="1"/>
  <c r="E25" i="1"/>
  <c r="E41" i="1"/>
  <c r="G27" i="1"/>
  <c r="E42" i="1"/>
  <c r="G28" i="1"/>
  <c r="E18" i="1"/>
  <c r="E17" i="1"/>
  <c r="G21" i="1"/>
  <c r="E31" i="1"/>
  <c r="G18" i="1"/>
  <c r="E43" i="1"/>
  <c r="E13" i="1"/>
  <c r="E19" i="1"/>
  <c r="E32" i="1"/>
  <c r="G13" i="1"/>
  <c r="G11" i="1"/>
  <c r="E36" i="1"/>
  <c r="E10" i="1"/>
  <c r="E21" i="1"/>
  <c r="E44" i="1"/>
  <c r="E35" i="1"/>
  <c r="E24" i="1"/>
  <c r="E37" i="1"/>
  <c r="G10" i="1"/>
  <c r="G23" i="1"/>
  <c r="E27" i="1"/>
  <c r="D8" i="1"/>
  <c r="E8" i="1" s="1"/>
  <c r="E30" i="1"/>
  <c r="G8" i="1"/>
  <c r="E34" i="1"/>
  <c r="AJ9" i="2" l="1"/>
  <c r="AJ7" i="2" s="1"/>
  <c r="C15" i="2"/>
  <c r="C234" i="2"/>
  <c r="C185" i="2"/>
  <c r="C73" i="2"/>
  <c r="C177" i="2"/>
  <c r="C32" i="2"/>
  <c r="C141" i="2"/>
  <c r="D7" i="2"/>
  <c r="C20" i="2"/>
  <c r="C213" i="2"/>
  <c r="AO252" i="2"/>
  <c r="C9" i="2" l="1"/>
  <c r="C48" i="2"/>
  <c r="C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Navarro Obando</author>
  </authors>
  <commentList>
    <comment ref="S113" authorId="0" shapeId="0" xr:uid="{8D5A219E-E20E-4F4B-953E-C7E4AC74914F}">
      <text>
        <r>
          <rPr>
            <b/>
            <sz val="9"/>
            <color indexed="81"/>
            <rFont val="Tahoma"/>
            <family val="2"/>
          </rPr>
          <t>Martha Navarro Obando:</t>
        </r>
        <r>
          <rPr>
            <sz val="9"/>
            <color indexed="81"/>
            <rFont val="Tahoma"/>
            <family val="2"/>
          </rPr>
          <t xml:space="preserve">
ajustar en el siaf, por mal clasificación del egreso</t>
        </r>
      </text>
    </comment>
    <comment ref="I211" authorId="0" shapeId="0" xr:uid="{19608BD1-7553-4DD5-A22F-48FAC488F18E}">
      <text>
        <r>
          <rPr>
            <b/>
            <sz val="9"/>
            <color indexed="81"/>
            <rFont val="Tahoma"/>
            <family val="2"/>
          </rPr>
          <t>Martha Navarro Obando:</t>
        </r>
        <r>
          <rPr>
            <sz val="9"/>
            <color indexed="81"/>
            <rFont val="Tahoma"/>
            <family val="2"/>
          </rPr>
          <t xml:space="preserve">
ajustar en el siaf el monto de 16.589.500,92 serv telefónico</t>
        </r>
      </text>
    </comment>
  </commentList>
</comments>
</file>

<file path=xl/sharedStrings.xml><?xml version="1.0" encoding="utf-8"?>
<sst xmlns="http://schemas.openxmlformats.org/spreadsheetml/2006/main" count="828" uniqueCount="701">
  <si>
    <t>%</t>
  </si>
  <si>
    <t xml:space="preserve">TOTAL </t>
  </si>
  <si>
    <t>1.0.0.0.00.00.0.0.000</t>
  </si>
  <si>
    <t>Ingresos Corrientes</t>
  </si>
  <si>
    <t>Venta de Servicios Financieros</t>
  </si>
  <si>
    <t>1.3.1.2.04.01.0.0.000</t>
  </si>
  <si>
    <t>1.3.1.2.09.09.1.0.000</t>
  </si>
  <si>
    <t xml:space="preserve">Venta de otros Servicios </t>
  </si>
  <si>
    <t>1.3.2.3.01.06.0.0.000</t>
  </si>
  <si>
    <t>1.3.2.3.02.07.0.0.000</t>
  </si>
  <si>
    <t xml:space="preserve">Intereses sobre Cuentas Corrientes </t>
  </si>
  <si>
    <t xml:space="preserve">1.3.9.9.01.00.0.0.000 </t>
  </si>
  <si>
    <t>Ingresos no Especificados (aporte beneficiarios de bonos)</t>
  </si>
  <si>
    <t>Ingresos no Especificados  (pago de seguros créditos)</t>
  </si>
  <si>
    <t xml:space="preserve"> 1.4.1.6.00.00.0.0.000</t>
  </si>
  <si>
    <t>2.0.0.0.00.00.0.0.000</t>
  </si>
  <si>
    <t>Ingresos de Capital</t>
  </si>
  <si>
    <t xml:space="preserve">2.1.1.1.00.00.0.0.000 </t>
  </si>
  <si>
    <t xml:space="preserve">Venta de terrenos  </t>
  </si>
  <si>
    <t>2.3.2.1.00.00.0.0.000</t>
  </si>
  <si>
    <t>Recuperación de Préstamos del Sector Privado</t>
  </si>
  <si>
    <t>Transferencias de Capital del Gobierno Central</t>
  </si>
  <si>
    <t>2.4.1.6.00.00.0.0.000</t>
  </si>
  <si>
    <t>Financiamiento</t>
  </si>
  <si>
    <t>Recursos de Vigencias Anteriores:</t>
  </si>
  <si>
    <t>Superávit Libre</t>
  </si>
  <si>
    <t>Superávit Específico:</t>
  </si>
  <si>
    <t>Superávit Específico Convenio FODESAF</t>
  </si>
  <si>
    <t>Superávit Específico Ley 10103 (GAM)</t>
  </si>
  <si>
    <t>Superávit Específico Ley 10331 (PRDU-Huetar Norte y Chorotega)</t>
  </si>
  <si>
    <t>Superávit Específico Ley 9103</t>
  </si>
  <si>
    <t>Gerencia General</t>
  </si>
  <si>
    <t>Jefatura de Prog, Hab,</t>
  </si>
  <si>
    <t>Proyectos habitacionales</t>
  </si>
  <si>
    <t>Mecanismos de Financiamientos</t>
  </si>
  <si>
    <t>Fondo de Inversiones</t>
  </si>
  <si>
    <t>Jefatura Gestión Programas</t>
  </si>
  <si>
    <t>Adm, Canales de Servicios</t>
  </si>
  <si>
    <t>Gestión de Servicios</t>
  </si>
  <si>
    <t>TOTAL</t>
  </si>
  <si>
    <t>REMUNERACIONES</t>
  </si>
  <si>
    <t>0.01</t>
  </si>
  <si>
    <t>REMUNERACIONES BASICAS</t>
  </si>
  <si>
    <t>0.01.01</t>
  </si>
  <si>
    <t>Sueldos para cargos fijos</t>
  </si>
  <si>
    <t>0.01.05</t>
  </si>
  <si>
    <t>Suplencias</t>
  </si>
  <si>
    <t>0.02</t>
  </si>
  <si>
    <t>REMUNERACIONES EVENTUALES</t>
  </si>
  <si>
    <t>0.02.01</t>
  </si>
  <si>
    <t>Tiempo extraordinario</t>
  </si>
  <si>
    <t>0.02.02</t>
  </si>
  <si>
    <t>Recargo de funciones</t>
  </si>
  <si>
    <t>0.02.05</t>
  </si>
  <si>
    <t>Dietas</t>
  </si>
  <si>
    <t>0.03</t>
  </si>
  <si>
    <t>INCENTIVOS SALARIALES</t>
  </si>
  <si>
    <t>0.03.01</t>
  </si>
  <si>
    <t xml:space="preserve">Retribución por años servidos  </t>
  </si>
  <si>
    <t>0.03.01.01</t>
  </si>
  <si>
    <t>Antigüedad</t>
  </si>
  <si>
    <t>0.03.01.02</t>
  </si>
  <si>
    <t>Méritos</t>
  </si>
  <si>
    <t>0.03.02</t>
  </si>
  <si>
    <t xml:space="preserve">Restricción al ejercicio liberal de la profesión  </t>
  </si>
  <si>
    <t>0.03.02.01</t>
  </si>
  <si>
    <t>Dedicación Exclusiva</t>
  </si>
  <si>
    <t>0.03.02.02</t>
  </si>
  <si>
    <t>Prohibición</t>
  </si>
  <si>
    <t>0.03.03</t>
  </si>
  <si>
    <t>Decimotercer mes</t>
  </si>
  <si>
    <t>0.03.04</t>
  </si>
  <si>
    <t>Salario escolar</t>
  </si>
  <si>
    <t>0.03.99</t>
  </si>
  <si>
    <t xml:space="preserve">Otros incentivos salariales </t>
  </si>
  <si>
    <t>0.03.99.02</t>
  </si>
  <si>
    <t>Carrera Profesional</t>
  </si>
  <si>
    <t>0.04</t>
  </si>
  <si>
    <t>Contribuciones Patronales al Desarrollo y la Seguridad Social</t>
  </si>
  <si>
    <t>0.04.01</t>
  </si>
  <si>
    <t>Contribución Patronal al Seguro de Salud de la CCSS</t>
  </si>
  <si>
    <t>0.04.02</t>
  </si>
  <si>
    <t xml:space="preserve">Contribución Patronal al IMAS </t>
  </si>
  <si>
    <t>0.04.03</t>
  </si>
  <si>
    <t xml:space="preserve">Contribución Patronal al INA </t>
  </si>
  <si>
    <t>0.04.04</t>
  </si>
  <si>
    <t>Contribución Patronal al FODESAF</t>
  </si>
  <si>
    <t>0.04.05</t>
  </si>
  <si>
    <t xml:space="preserve">Contribución Patronal al Banco Popular y de Desarrollo   </t>
  </si>
  <si>
    <t>0.05</t>
  </si>
  <si>
    <t>Contrib. Patronales a Fondos de Pens. Y Otros Fondos de Capitalización</t>
  </si>
  <si>
    <t>0.05.01</t>
  </si>
  <si>
    <t>Contribución Patronal al Seguro de Pensiones  de la CCSS</t>
  </si>
  <si>
    <t>0.05.02</t>
  </si>
  <si>
    <t xml:space="preserve">Aporte Patronal al Régimen Obligatorio de Pensiones Complementarias </t>
  </si>
  <si>
    <t>0.05.03</t>
  </si>
  <si>
    <t xml:space="preserve">Aporte Patronal al Fondo de Capitalización Laboral </t>
  </si>
  <si>
    <t>0.05.05</t>
  </si>
  <si>
    <t>Contribución Patronal a fondos administrados por entes privados</t>
  </si>
  <si>
    <t>SERVICIOS</t>
  </si>
  <si>
    <t>1.01</t>
  </si>
  <si>
    <t>ALQUILERES</t>
  </si>
  <si>
    <t>1.01.01</t>
  </si>
  <si>
    <t>Alquileres de edificios, locales y terrenos</t>
  </si>
  <si>
    <t>1.01.02</t>
  </si>
  <si>
    <t>Alquileres de maquinaria, equipo y mobiliario</t>
  </si>
  <si>
    <t>1.01.03</t>
  </si>
  <si>
    <t>Alquileres de equipo de cómputo</t>
  </si>
  <si>
    <t>1.01.04</t>
  </si>
  <si>
    <t>Alquileres de Equipo y Derechos para Telecomunicaciones</t>
  </si>
  <si>
    <t>1.01.99</t>
  </si>
  <si>
    <t>Otros alquileres</t>
  </si>
  <si>
    <t>1.02</t>
  </si>
  <si>
    <t>SERVICIOS BÁSICOS</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</si>
  <si>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</si>
  <si>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</si>
  <si>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</si>
  <si>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</si>
  <si>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</si>
  <si>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</si>
  <si>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</si>
  <si>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</si>
  <si>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</si>
  <si>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</si>
  <si>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t>
  </si>
  <si>
    <t>SERVICIOS COMERCIALES Y FINANCIEROS</t>
  </si>
  <si>
    <t>'10301'</t>
  </si>
  <si>
    <t xml:space="preserve">Información                            </t>
  </si>
  <si>
    <t>'10302'</t>
  </si>
  <si>
    <t xml:space="preserve">Publicidad y propaganda         </t>
  </si>
  <si>
    <t>'10303'</t>
  </si>
  <si>
    <t>Impresiones, encuadernación y otros</t>
  </si>
  <si>
    <t>'10304'</t>
  </si>
  <si>
    <t>Transporte de bienes</t>
  </si>
  <si>
    <t>'1030601'</t>
  </si>
  <si>
    <t xml:space="preserve">Comisiones y gastos por servicios financieros y comerciales </t>
  </si>
  <si>
    <t>'1030602'</t>
  </si>
  <si>
    <t>Comisionistas del Sistema de Ahorro y Préstamo</t>
  </si>
  <si>
    <t>'10307'</t>
  </si>
  <si>
    <t>Servicios de tecnologías de información</t>
  </si>
  <si>
    <t>1.04</t>
  </si>
  <si>
    <t xml:space="preserve">SERVICIOS DE GESTIÓN Y APOYO  </t>
  </si>
  <si>
    <t>1.04.01</t>
  </si>
  <si>
    <t>Servicios de Ciencias de la Salud</t>
  </si>
  <si>
    <t>1.04.02</t>
  </si>
  <si>
    <t>SERVICIOS JURÍDICOS</t>
  </si>
  <si>
    <t>1.04.02.01</t>
  </si>
  <si>
    <t>Servicios Jurídicos Generales</t>
  </si>
  <si>
    <t>1.04.02.02</t>
  </si>
  <si>
    <t>Servicios Jurídicos Gastos de Form. Aportes BFV</t>
  </si>
  <si>
    <t>1.04.02.04</t>
  </si>
  <si>
    <t>Servicios Jurídicos Gastos de Form. Art.59</t>
  </si>
  <si>
    <t>1.04.02.05</t>
  </si>
  <si>
    <t>Servicios Jurídicos-Cobro Judicial</t>
  </si>
  <si>
    <t>1.04.02.09</t>
  </si>
  <si>
    <t>Servicios Jurídicos-Recursos FODESAF</t>
  </si>
  <si>
    <t>1.04.03</t>
  </si>
  <si>
    <t>SERVICIOS DE INGENIERÍA Y ARQUITECTURA</t>
  </si>
  <si>
    <t>1.04.03.01</t>
  </si>
  <si>
    <t>Servicios de Ingeniería y Arq-General</t>
  </si>
  <si>
    <t>1.04.03.02</t>
  </si>
  <si>
    <t>Servicios de Ingeniería y Arq.- Gastos de Form. Aportes BFV</t>
  </si>
  <si>
    <t>1.04.03.06</t>
  </si>
  <si>
    <t>Servicios de Ingeniería y Arq. Recursos FODESAF</t>
  </si>
  <si>
    <t>1.04.03.08</t>
  </si>
  <si>
    <t>Servicios de Ingeniería y Arq. Plan Reg.Vázques de Coronado</t>
  </si>
  <si>
    <t>1.04.03.10</t>
  </si>
  <si>
    <t xml:space="preserve">Servicios de Ingeniería y Arq. PRDU Chorotega y Huetar </t>
  </si>
  <si>
    <t>1.04.03.11</t>
  </si>
  <si>
    <t>Servicios de Ingeniería y Arq. Etapas Previas</t>
  </si>
  <si>
    <t>1.04.03.12</t>
  </si>
  <si>
    <t>Servicios de Ingeniería y Arq-Titulación</t>
  </si>
  <si>
    <t>1.04.03.14</t>
  </si>
  <si>
    <t>Servicios de Ingeniería y Arq-Brunca</t>
  </si>
  <si>
    <t>1.04.03.16</t>
  </si>
  <si>
    <t>Servicios de Ingeniería y Arq. PDU GAM</t>
  </si>
  <si>
    <t>1.04.03.17</t>
  </si>
  <si>
    <t xml:space="preserve">Servicios de Ingeniería y Arq. PRDU Huetar-Caribe </t>
  </si>
  <si>
    <t>1.04.03.18</t>
  </si>
  <si>
    <t>Servicios de Ingeniería y Arq. Finca Echandi</t>
  </si>
  <si>
    <t>1.04.03.19</t>
  </si>
  <si>
    <t>Servicios de Ingeniería y Arq. VUIS</t>
  </si>
  <si>
    <t>1.04.04</t>
  </si>
  <si>
    <t>SERVICIOS EN CIENCIAS ECONPOMICAS Y SOCIALES</t>
  </si>
  <si>
    <t>1.04.04.01</t>
  </si>
  <si>
    <t>Servicios en Ciencias Económ. y Sociales-General</t>
  </si>
  <si>
    <t>1.04.04.09</t>
  </si>
  <si>
    <t>Servicios en Ciencias Económ. y Sociales-Titulación</t>
  </si>
  <si>
    <t>1.04.04.11</t>
  </si>
  <si>
    <t>Servicios en Ciencias Económ. y Sociales-Brunca</t>
  </si>
  <si>
    <t>1.04.04.12</t>
  </si>
  <si>
    <t xml:space="preserve">Servicios en Ciencias Económ. y Sociales-PRDU Huetar-Caribe </t>
  </si>
  <si>
    <t>1.04.05</t>
  </si>
  <si>
    <t>Servicios Informáticos</t>
  </si>
  <si>
    <t>1.04.06</t>
  </si>
  <si>
    <t>Servicios Generales</t>
  </si>
  <si>
    <t>1.04.99</t>
  </si>
  <si>
    <t>Otros Servicios de Gestión y Apoyo</t>
  </si>
  <si>
    <t>1.05</t>
  </si>
  <si>
    <t>GASTOS DE VIAJE Y DE TRANSPORTE</t>
  </si>
  <si>
    <t>1.05.01</t>
  </si>
  <si>
    <t xml:space="preserve">Transporte dentro del país </t>
  </si>
  <si>
    <t>1.05.02</t>
  </si>
  <si>
    <t xml:space="preserve">Viáticos dentro del país </t>
  </si>
  <si>
    <t>1.06</t>
  </si>
  <si>
    <t>SEGUROS, REASEGUROS Y OTRAS OBLIGACIONES</t>
  </si>
  <si>
    <t>1.06.01.01</t>
  </si>
  <si>
    <t>Seguros-General</t>
  </si>
  <si>
    <t>1.06.01.02</t>
  </si>
  <si>
    <t>Seguros Créditos</t>
  </si>
  <si>
    <t>1.06.01.03</t>
  </si>
  <si>
    <t>Seguros Bonos</t>
  </si>
  <si>
    <t>1.06.01.04</t>
  </si>
  <si>
    <t>Seguros-Proyectos</t>
  </si>
  <si>
    <t>1.06.02</t>
  </si>
  <si>
    <t>Reaseguros</t>
  </si>
  <si>
    <t>1.06.03</t>
  </si>
  <si>
    <t>Obligaciones por Contratos de Seguros</t>
  </si>
  <si>
    <t>1.07</t>
  </si>
  <si>
    <t>CAPACITACION Y PROTOCOLO</t>
  </si>
  <si>
    <t>1.07.01</t>
  </si>
  <si>
    <t>Actividades de capacitación</t>
  </si>
  <si>
    <t>1.07.02</t>
  </si>
  <si>
    <t xml:space="preserve">Actividades protocolarias y sociales </t>
  </si>
  <si>
    <t>1.08</t>
  </si>
  <si>
    <t>MANTENIMIENTO Y REPARACIÓN</t>
  </si>
  <si>
    <t>1.08.01</t>
  </si>
  <si>
    <t>Mantenimiento de Edificios, Locales y Terrenos</t>
  </si>
  <si>
    <t>1.08.04</t>
  </si>
  <si>
    <t>Mantenimiento y Repar. De Maq. Y Equipo de Producción</t>
  </si>
  <si>
    <t>1.08.05</t>
  </si>
  <si>
    <t>Mantenimiento y reparación de equipo de transporte</t>
  </si>
  <si>
    <t>1.08.06</t>
  </si>
  <si>
    <t>Mantenimiento y reparación de equipo de comunicación</t>
  </si>
  <si>
    <t>1.08.07</t>
  </si>
  <si>
    <t>Mantenimiento y reparación de equipo y mobiliario de oficina</t>
  </si>
  <si>
    <t>1.08.08</t>
  </si>
  <si>
    <t>Mantenimiento y reparación de equipo de cómputo y  sistemas de información</t>
  </si>
  <si>
    <t>1.08.99</t>
  </si>
  <si>
    <t>Mantenimiento y reparación de otros equipos</t>
  </si>
  <si>
    <t>1.09</t>
  </si>
  <si>
    <t>IMPUESTOS</t>
  </si>
  <si>
    <t>1.09.99</t>
  </si>
  <si>
    <t>Otros impuestos</t>
  </si>
  <si>
    <t>1.99</t>
  </si>
  <si>
    <t>SERVICIOS DIVERSOS</t>
  </si>
  <si>
    <t>1.99.02</t>
  </si>
  <si>
    <t>Intereses moratorios y multas</t>
  </si>
  <si>
    <t>1.99.05</t>
  </si>
  <si>
    <t>Deducibles</t>
  </si>
  <si>
    <t>1.99.99</t>
  </si>
  <si>
    <t>Otros servicios no especificados</t>
  </si>
  <si>
    <t>MATERIALES Y SUMINISTROS</t>
  </si>
  <si>
    <t>2.01</t>
  </si>
  <si>
    <t>PRODUCTOS QUIMICOS Y CONEXOS</t>
  </si>
  <si>
    <t>2.01.01</t>
  </si>
  <si>
    <t xml:space="preserve">Combustibles y lubricantes </t>
  </si>
  <si>
    <t>2.01.02</t>
  </si>
  <si>
    <t>Productos farmacéuticos y medicinales</t>
  </si>
  <si>
    <t>2.01.03</t>
  </si>
  <si>
    <t>Productos Veterinarios</t>
  </si>
  <si>
    <t>2.01.04</t>
  </si>
  <si>
    <t xml:space="preserve">Tintas, pinturas y diluyentes </t>
  </si>
  <si>
    <t>2.01.99</t>
  </si>
  <si>
    <t>Otros productos químicos</t>
  </si>
  <si>
    <t>2.02</t>
  </si>
  <si>
    <t>ALIMENTOS Y PRODUCTOS AGROPECUARIOS</t>
  </si>
  <si>
    <t>2.02.03</t>
  </si>
  <si>
    <t xml:space="preserve">Alimentos y bebidas </t>
  </si>
  <si>
    <t>2.02.04</t>
  </si>
  <si>
    <t>Alimentos para animales</t>
  </si>
  <si>
    <t>2.03</t>
  </si>
  <si>
    <t>MATERIALES Y PRODUCTOS DE USO EN LA CONSTRUCCIÓN Y MANTENIMIENTO</t>
  </si>
  <si>
    <t>2.03.01</t>
  </si>
  <si>
    <t xml:space="preserve">Materiales y productos metálicos </t>
  </si>
  <si>
    <t>2.03.02</t>
  </si>
  <si>
    <t>Materiales y productos minerales y asfálticos</t>
  </si>
  <si>
    <t>2.03.03</t>
  </si>
  <si>
    <t>Madera y sus derivados</t>
  </si>
  <si>
    <t>2.03.04</t>
  </si>
  <si>
    <t>Materiales y productos eléctricos, telefónicos y de cómputo</t>
  </si>
  <si>
    <t>2.03.05</t>
  </si>
  <si>
    <t>Materiales y productos de vidrio</t>
  </si>
  <si>
    <t>2.03.06</t>
  </si>
  <si>
    <t>Materiales y productos de plástico</t>
  </si>
  <si>
    <t>2.03.99</t>
  </si>
  <si>
    <t>Otros materiales y productos de uso en la construcción</t>
  </si>
  <si>
    <t>2.04</t>
  </si>
  <si>
    <t>HERRAMIENTAS, REPUESTOS Y ACCESORIOS</t>
  </si>
  <si>
    <t>2.04.01</t>
  </si>
  <si>
    <t>Herramientas e instrumentos</t>
  </si>
  <si>
    <t>2.04.02</t>
  </si>
  <si>
    <t>Repuestos y accesorios</t>
  </si>
  <si>
    <t>2.99</t>
  </si>
  <si>
    <t>UTILES, MATERIALES Y SUMINISTROS DIVERSOS</t>
  </si>
  <si>
    <t>2.99.01</t>
  </si>
  <si>
    <t>Útiles y materiales de oficina y cómputo</t>
  </si>
  <si>
    <t>2.99.02</t>
  </si>
  <si>
    <t>Útiles y materiales médicos,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</si>
  <si>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</si>
  <si>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</si>
  <si>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</si>
  <si>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</si>
  <si>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</si>
  <si>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</si>
  <si>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</si>
  <si>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</si>
  <si>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</si>
  <si>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Materiales de Cocina y de Comedor</t>
  </si>
  <si>
    <t>2.99.99</t>
  </si>
  <si>
    <t>Otros útiles, materiales y suministros</t>
  </si>
  <si>
    <t>INTERESES Y COMISIONES</t>
  </si>
  <si>
    <t>3.02</t>
  </si>
  <si>
    <t xml:space="preserve">INTERESES SOBRE PRÉSTAMOS </t>
  </si>
  <si>
    <t>3.02.07</t>
  </si>
  <si>
    <t>Intereses sobre préstamos del Sector Privado</t>
  </si>
  <si>
    <t>ACTIVOS FINANCIEROS</t>
  </si>
  <si>
    <t>4.01.07.01</t>
  </si>
  <si>
    <t>Préstamos al Sector Privado del Sistema de Ahorro y Préstamo</t>
  </si>
  <si>
    <t>4.01.07.06</t>
  </si>
  <si>
    <t>CredINVU</t>
  </si>
  <si>
    <t xml:space="preserve">BIENES DURADEROS </t>
  </si>
  <si>
    <t>5.01</t>
  </si>
  <si>
    <t>MAQUINARIA, EQUIPO Y MOBILIARIO</t>
  </si>
  <si>
    <t>5.01.01</t>
  </si>
  <si>
    <t>Maquinaria y equipo para la producción</t>
  </si>
  <si>
    <t>5.01.03</t>
  </si>
  <si>
    <t>Equipo de comunicación</t>
  </si>
  <si>
    <t>5.01.04</t>
  </si>
  <si>
    <t>Equipo y mobiliario de oficina</t>
  </si>
  <si>
    <t>5.01.05</t>
  </si>
  <si>
    <t>Equipo y programas de  cómputo</t>
  </si>
  <si>
    <t>5.01.99</t>
  </si>
  <si>
    <t>Maquinaria y equipo diverso</t>
  </si>
  <si>
    <t>5.02</t>
  </si>
  <si>
    <t>CONSTRUCCIONES, ADICIONES Y MEJORAS</t>
  </si>
  <si>
    <t>5.02.01</t>
  </si>
  <si>
    <t xml:space="preserve"> Edificios </t>
  </si>
  <si>
    <t>5.02.06</t>
  </si>
  <si>
    <t>Obras urbanísticas</t>
  </si>
  <si>
    <t>5.02.06.11</t>
  </si>
  <si>
    <t>Bono Colectivo Finca San Juan</t>
  </si>
  <si>
    <t>5.02.06.34</t>
  </si>
  <si>
    <t>Bono Colectivo La Carpio</t>
  </si>
  <si>
    <t>5.02.06.59</t>
  </si>
  <si>
    <t>Bono Colectivo Acosta Activa</t>
  </si>
  <si>
    <t>5.02.06.60</t>
  </si>
  <si>
    <t>Finca Boschini Obras de Estabilización</t>
  </si>
  <si>
    <t>5.02.06.62</t>
  </si>
  <si>
    <t>Proyecto Vivienda Urbana Inc. Sost. VUIS</t>
  </si>
  <si>
    <t>5.02.06.65</t>
  </si>
  <si>
    <t>Proyecto Finca Echandi</t>
  </si>
  <si>
    <t>5.02.99</t>
  </si>
  <si>
    <t>Otras construcciones, adiciones y mejoras</t>
  </si>
  <si>
    <t>5.03</t>
  </si>
  <si>
    <t>BIENES PREEXISTENTES</t>
  </si>
  <si>
    <t>5.03.01</t>
  </si>
  <si>
    <t>Terrenos</t>
  </si>
  <si>
    <t>5.99</t>
  </si>
  <si>
    <t>BIENES DURADEROS DIVERSOS</t>
  </si>
  <si>
    <t>5.99.03</t>
  </si>
  <si>
    <t>Bienes intangibles</t>
  </si>
  <si>
    <t>TRANSFERENCIAS CORRIENTES</t>
  </si>
  <si>
    <t>6.01</t>
  </si>
  <si>
    <t>TRANSFERENCIAS CORRIENTES AL SECTOR PÚBLICO</t>
  </si>
  <si>
    <t>6.01.02</t>
  </si>
  <si>
    <t xml:space="preserve">Transferencias corrientes a Órganos Desconcentrados </t>
  </si>
  <si>
    <t>6.02</t>
  </si>
  <si>
    <t>TRANSFERENCIAS CORRIENTES A PERSONAS</t>
  </si>
  <si>
    <t>6.02.01</t>
  </si>
  <si>
    <t xml:space="preserve">Becas a funcionarios </t>
  </si>
  <si>
    <t>6.02.03</t>
  </si>
  <si>
    <t>Ayudas a funcionarios (fondo enfermedad)</t>
  </si>
  <si>
    <t>6.02.99</t>
  </si>
  <si>
    <t>Otras transferencias a personas</t>
  </si>
  <si>
    <t>6.03</t>
  </si>
  <si>
    <t>PRESTACIONES</t>
  </si>
  <si>
    <t>6.03.01</t>
  </si>
  <si>
    <t xml:space="preserve">Prestaciones legales </t>
  </si>
  <si>
    <t>6.03.99</t>
  </si>
  <si>
    <t>Otras prestaciones (Incapacidades)</t>
  </si>
  <si>
    <t>6.06</t>
  </si>
  <si>
    <t xml:space="preserve">OTRAS TRANSFERENCIAS CORRIENTES AL SECTOR PRIVADO </t>
  </si>
  <si>
    <t>6.06.01</t>
  </si>
  <si>
    <t>Indemnizaciones</t>
  </si>
  <si>
    <t>6.06.02</t>
  </si>
  <si>
    <t>Reintegros o devoluciones</t>
  </si>
  <si>
    <t>6.07</t>
  </si>
  <si>
    <t>TRANSFERENCIAS CORRIENTES AL SECTOR EXTERNO</t>
  </si>
  <si>
    <t>6.07.01</t>
  </si>
  <si>
    <t xml:space="preserve">Transferencias corrientes a organismos internacionales </t>
  </si>
  <si>
    <t>TRANSFERENCIAS DE CAPITAL</t>
  </si>
  <si>
    <t>7.01</t>
  </si>
  <si>
    <t>TRANSFERENCIAS DE CAPITAL AL SECTOR PUBLICO</t>
  </si>
  <si>
    <t>7.01.06</t>
  </si>
  <si>
    <t>Transferencias de Capital a Instituciones Públicas Financieras</t>
  </si>
  <si>
    <t>7.02</t>
  </si>
  <si>
    <t>TRANSFERENCIAS DE CAPITAL A PERSONAS</t>
  </si>
  <si>
    <t>7.02.01.01</t>
  </si>
  <si>
    <t>Transferencias de capital a personas-Bonos Ordinarios</t>
  </si>
  <si>
    <t>7.02.01.03</t>
  </si>
  <si>
    <t>Casos Individuales Art.59</t>
  </si>
  <si>
    <t>7.02.01.04</t>
  </si>
  <si>
    <t>Transferencias de capital a personas-Aporte Beneficiario Bono</t>
  </si>
  <si>
    <t>7.02.01.17</t>
  </si>
  <si>
    <t>Subsidios Convenio Proyectos André Challe y los Lirios</t>
  </si>
  <si>
    <t>7.02.02.01</t>
  </si>
  <si>
    <t>Proyecto Art. 59 Individual -Premio Nobel</t>
  </si>
  <si>
    <t>7.02.02.02</t>
  </si>
  <si>
    <t>Proyecto Art. 59 Individual-Juan Rafael Mora</t>
  </si>
  <si>
    <t>AMORTIZACION</t>
  </si>
  <si>
    <t>8.02</t>
  </si>
  <si>
    <t>AMORTIZACIÓN DE PRÉSTAMOS AL SECTOR PRIVADO</t>
  </si>
  <si>
    <t>8.02.07.01</t>
  </si>
  <si>
    <t>Amortización-Renuncias</t>
  </si>
  <si>
    <t>8.02.07.02</t>
  </si>
  <si>
    <t>Amortización Aplicación Créditos</t>
  </si>
  <si>
    <t>INDICADOR</t>
  </si>
  <si>
    <t>DESCRIPCIÓN</t>
  </si>
  <si>
    <t>Porcentaje</t>
  </si>
  <si>
    <t>Número</t>
  </si>
  <si>
    <t>Monto</t>
  </si>
  <si>
    <t>MATRIZ DE INDICADORES DEL PLAN OPERATIVO INSTITUCIONAL (POI) 2024</t>
  </si>
  <si>
    <t>MISION: “Facilitamos a las familias el acceso a vivienda digna y somos los líderes nacionales en la gestión integral del territorio, en procura de un mayor bienestar social, ambiental y económico para Costa Rica”
VISIÓN: “Seremos reconocidos como la institución referente en vivienda y urbanismo para Costa Rica, procurando la mejora en la calidad de vida con innovación constante, un marco jurídico pertinente y los recursos idóneos”</t>
  </si>
  <si>
    <t>POLÍTICAS</t>
  </si>
  <si>
    <t>OBJETIVO 
PRODUCTO O SERVICIO</t>
  </si>
  <si>
    <t>OBJETIVO ESPECÍFICO</t>
  </si>
  <si>
    <t>META</t>
  </si>
  <si>
    <t>PROGRAMACIÓN
CRONOGRAMA POR TRIMESTRE</t>
  </si>
  <si>
    <t>ACTIVIDADES</t>
  </si>
  <si>
    <t>RESPONSABLES</t>
  </si>
  <si>
    <t>OBSERVACIONES</t>
  </si>
  <si>
    <t>I</t>
  </si>
  <si>
    <t>II</t>
  </si>
  <si>
    <t>III</t>
  </si>
  <si>
    <t>IV</t>
  </si>
  <si>
    <t>EJE ESTRATÉGICO: GESTIÓN INSTITUCIONAL</t>
  </si>
  <si>
    <t>1, 2, 3, 6, 7, 8, 9, 10 y 11.</t>
  </si>
  <si>
    <t xml:space="preserve">
Producto: 
Servicio de apoyo a la producción de bienes y servicios institucionales.
</t>
  </si>
  <si>
    <t xml:space="preserve">
Gestionar las acciones que contribuyan a la mejora en el control, eficiencia y eficacia institucional</t>
  </si>
  <si>
    <t>1. Porcentaje de proyectos ejecutados para mitigar la materialización de riesgos, del total programados.</t>
  </si>
  <si>
    <t xml:space="preserve">
Ejecutar en un 100% los proyectos.
</t>
  </si>
  <si>
    <t xml:space="preserve">1. Elaborar el cartel de contratación.
2. Realizar la contratación
3. Fiscalizar los productos y/o servicios.
4. Recibir los productos y/o servicios.
</t>
  </si>
  <si>
    <t>2. Porcentaje de satisfacción de los clientes con la atención brindada.</t>
  </si>
  <si>
    <t>Alcanzar como mínimo que un 85% de los clientes estén satisfechos con la atención brindada.</t>
  </si>
  <si>
    <t>1. Elaborar la encuesta.
2. Aplicar la encuesta.
3. Tabular y analizar la información.
4. Elaborar informe y propuesta de mejora.</t>
  </si>
  <si>
    <t>Gerencia General
Unidad de Comunicación,  Promoción y Prensa</t>
  </si>
  <si>
    <t>3. Porcentaje de satisfacción de los clientes con los productos ofrecidos.</t>
  </si>
  <si>
    <t>Alcanzar como mínimo que un 85% de los clientes estén satisfechos con los productos ofrecidos.</t>
  </si>
  <si>
    <t>Se encuentra incluido en el Plan Estratégico Institucional (PEI), como parte de una Línea de Acción, para el cumplimiento de los objetivos estratégicos.</t>
  </si>
  <si>
    <t>4. Porcentaje de disminución de la cartera morosa a diciembre 2023, con respecto a diciembre 2022.</t>
  </si>
  <si>
    <t xml:space="preserve">
Disminuir en un 3% la cartera morosa.</t>
  </si>
  <si>
    <t xml:space="preserve">1. Asignar la cartera de crédito por rangos.    
2. Analizar las operaciones morosas.
3. Gestionar es de recuperación. </t>
  </si>
  <si>
    <t>Dirección Administrativa Financiera</t>
  </si>
  <si>
    <t>Para dar cumplimiento a esta meta se necesita actualizar operaciones pendientes y un registro oportuno de la información requerida en el sistema, por parte de los involucrados en el proceso.</t>
  </si>
  <si>
    <t>5. Número de proyectos gestionados con participación ciudadana.</t>
  </si>
  <si>
    <t xml:space="preserve">Gestionar 3 proyectos con participación ciudadana.  </t>
  </si>
  <si>
    <t>Gerencia General
Unidad de Comunicación y Promoción
Salud Ocupacional</t>
  </si>
  <si>
    <t xml:space="preserve">Los tres proyectos a gestionar son los siguientes:
1) A un Click.
2) Plan de Gestión Ambiental. 
3) Río María Aguilar.
 </t>
  </si>
  <si>
    <t>6. Porcentaje de mantenimiento del costo operativo institucional con respecto al Presupuesto total.</t>
  </si>
  <si>
    <t xml:space="preserve">Mantener el costo operativo Institucional igual o menor al 25%.  </t>
  </si>
  <si>
    <t>1. Obtener la información sobre las variables a medir.
2. Obtener el porcentaje del costo operativo institucional en relación con el Presupuesto total.</t>
  </si>
  <si>
    <t>Gerencia General
Planificación</t>
  </si>
  <si>
    <t>EJE ESTRATÉGICO: ORDENAMIENTO TERRITORIAL Y PLANIFICACION URBANA</t>
  </si>
  <si>
    <t>Formulación, revisión y aprobación de planes regionales y planes reguladores (urbanos y costeros).</t>
  </si>
  <si>
    <t xml:space="preserve">Inscribir 4 planes regionales en el Banco de Proyectos de Inversión Pública de MIDEPLAN </t>
  </si>
  <si>
    <t xml:space="preserve">7. Número de planes regionales inscritos en el Banco de Proyecyos de Inversión Pública de MIDEPLAN. </t>
  </si>
  <si>
    <t>Inscribir 4 planes regionales en el Banco de proyectos de Inversión Pública de MIDEPLAN</t>
  </si>
  <si>
    <t>1. Elabora el perfil del proyecto.
2. Incorpora información en el BPIP de MIDEPLAN.
3. Planificación revisa la información.
4. MIDEPLAN inscribe y asigna el código de los proyectos.</t>
  </si>
  <si>
    <t xml:space="preserve">Departamento de Urbanismo, Unidad de Criterios Técnicos y Operativos de Ordenamiento Territorial. </t>
  </si>
  <si>
    <t>Los planes regionales a inscribirse son GAM, Chorotega, Huetar Norte y Caribe.</t>
  </si>
  <si>
    <t>1, 4, 7, 8, 9, 10 y 11.</t>
  </si>
  <si>
    <t xml:space="preserve">Elaborar el Plan Regional de la Gran Área Metropolitana (GAM). </t>
  </si>
  <si>
    <t xml:space="preserve">8. Porcentaje de avance en las es para elaborar el Plan Regional de la GAM (variable ambiental). </t>
  </si>
  <si>
    <t>Elaborar el 50% del Plan GAM.</t>
  </si>
  <si>
    <t xml:space="preserve">1. Recibe, revisa y realiza las observaciones (si procede) en el primer Informe.                       
2. Recibe, revisa y realiza observaciones (si procede) en el segundo Informe.                    
3. Recibe, revisa y realiza observaciones (si procede) en el Informe final.
4. Entregar el Informe final del Plan de Reajuste e Incentivos (PRAI) del Plan GAM a la Secretaría Técnica Nacional Ambiental (SETENA).
</t>
  </si>
  <si>
    <t xml:space="preserve">El avance del plan (plurianual) por año es:
Año 2023: 25%
Año 2024: 50%
Año 2025: 25% 
La Fuente de Recursos es el Presupuesto de la República por ¢425.000.000,00, para Contratación de Servicios Profesionales. </t>
  </si>
  <si>
    <t>Elaborar los Planes Regionales de Chorotega y Huetar Norte.</t>
  </si>
  <si>
    <t>9. Porcentaje de avance en las es para elaborar los Planes Regionales de Chorotega y Huetar Norte (variable ambiental).</t>
  </si>
  <si>
    <t>Elaborar el 70% de los Planes Regionales de Chorotega y Huetar Norte (variable ambiental).</t>
  </si>
  <si>
    <t>1. Inscribir en el Banco de Proyectos de MIDEPLAN el proyecto de Variable Ambiental de los planes regionales Chorotega y Huetar Norte.
2. Gestionar el proceso de Contratación administrativa.
3. Recibe, revisa y realiza las observaciones (si procede) en el primer Informe.
4. Recibe, revisa y realiza las observaciones (si procede) en el segundo Informe.</t>
  </si>
  <si>
    <t>El avance de los planes (plurianual) por año es:
Año 2023: 10%
Año 2024: 70%
Año 2025: 20%</t>
  </si>
  <si>
    <t>Elaborar el Plan Regional de Huetar Caribe.</t>
  </si>
  <si>
    <t>10. Porcentaje de avance en las es para elaborar el Plan Regional de Huetar Caribe.</t>
  </si>
  <si>
    <t>Elaborar el 25% del Plan Regional Huetar Caribe.</t>
  </si>
  <si>
    <t xml:space="preserve">1. Elaborar Perfil MIDEPLAN.
2. Contratación
</t>
  </si>
  <si>
    <t>La elaboración del plan (plurianual) inicia en el año 2024.</t>
  </si>
  <si>
    <t>Elaborar el Plan Nacional de Desarrollo Urbano mediante la elaboración de Planes Regionales.</t>
  </si>
  <si>
    <t>11. Número de Planes Regionales de Desarrollo Urbano y Plan GAM ejecutados.</t>
  </si>
  <si>
    <t>Elaborar 2 planes regionales.</t>
  </si>
  <si>
    <t>Este indicador es del Plan Nacional de Desarrollo y de Inversión Pública.</t>
  </si>
  <si>
    <t>Finalizar la elaboración del Plan Regulador de Coronado.</t>
  </si>
  <si>
    <t>12. Porcentaje de avance en la finalización del convenio del plan regulador de Coronado.</t>
  </si>
  <si>
    <t>Finalizar el 7% del convenio del plan regulador de Coronado.</t>
  </si>
  <si>
    <t xml:space="preserve">1. Entrega de productos de contratción
2. Audiencia Pública
</t>
  </si>
  <si>
    <t xml:space="preserve">Unidad de Criterios Técnicos y Operativos de Ordenamiento Territorial. </t>
  </si>
  <si>
    <t xml:space="preserve">El avance del plan (plurianual) regulador por año es: 
- Año 2020: 50% 
- Año 2021: 16%
- Año 2022: 9%
- Año 2023: 18%
- Año 2024: 7%
</t>
  </si>
  <si>
    <t>13. Número de personas beneficiadas por la elaboración del plan regulador de Coronado.</t>
  </si>
  <si>
    <t>67.078 personas beneficiadas</t>
  </si>
  <si>
    <t>Revisar y/o aprobar los Planes Reguladores presentados por las Municipaledades.</t>
  </si>
  <si>
    <t>14. Porcentaje de Planes Reguladores revisados dentro del plazo 1,5 meses del Total de planes recibidos.</t>
  </si>
  <si>
    <t>Revisar y/o aprobar e 100% de los planes reguladores recibidos en un plazo de 1,5 meses.</t>
  </si>
  <si>
    <t>1. Recibir los planes reguladores.
2. Analizar según normativa.
3. Elaborar la resolución y comunicar.
4. Aprobar los planes reguladores.</t>
  </si>
  <si>
    <t>Brindar acompañamiento técnico a todas las municipalidades del país en materia de elaboración de propuestas de planificación territorial (Planes Reguladores).</t>
  </si>
  <si>
    <t>15. Porcentaje de acompañamientos realizados a las municipalidades (para la elaboración de los Planes Reguladores) del Total de convenios realizados.</t>
  </si>
  <si>
    <t>Dar acompañamiento al 100% de las municipalidades que solicitan el servicio.</t>
  </si>
  <si>
    <t>1. Revisar la información recopilada.
2. Analizar la propuesta de plan regulador, de acuerdo con la normativa.
3. Coordinar las sesiones de trabajo multidisciplinaria, para evacuar consultas.
4. Elaborar el informe sobre la propuesta del Plan Regulador.</t>
  </si>
  <si>
    <t>Emisión de Certificados de usos urbanos de finca.</t>
  </si>
  <si>
    <t>Certificar los usos urbanos de finca presentados por los usuarios.</t>
  </si>
  <si>
    <t>16. Porcentaje de Certificados de Condición  de Uso Urbano de Finca emitidos dentro del plazo establecido (GAM: 15 días y fuera de la GAM: 25 días) del total de solicitudes recibidas.</t>
  </si>
  <si>
    <t xml:space="preserve">Revisar y/o emitir el 100% de los certificados solicitados en el plazo definido de 15 días dentro de la GAM  y de 25 días fuera de la GAM. </t>
  </si>
  <si>
    <t>15 y 25</t>
  </si>
  <si>
    <t>1. Recibir y revisar las solicitudes.
2. Revisar según normativa.
3. Emitir la resolución, que indica si tiene o no condición urbana. 
4. Emitir el certificado.</t>
  </si>
  <si>
    <t xml:space="preserve">Dentro de la GAM 15 días y fuera de la GAM 25 días, de conformidad con el acuerdo adoptado en la Sesión Ordinaria N°6462, Artículo II, Inciso 4), del 27 de agosto del 2020. </t>
  </si>
  <si>
    <t>Revisión y aprobación de planos.</t>
  </si>
  <si>
    <t>Revisar Planos en diferentes modalidades (Alineamiento Fluvial, Plano Catastro Individual, Plano General de Catastro de Urbanizaciones)</t>
  </si>
  <si>
    <t xml:space="preserve">17. Porcentaje de planos revisados y/o aprobados dentro del plazo de ley de 15 días hábiles del total de planos recibidos.
</t>
  </si>
  <si>
    <t>Revisar y/o aprobar e 100% de los planos recibidos en un plazo de 15 días hábiles.</t>
  </si>
  <si>
    <t>1. Recibir los planos.
2. Revisar de acuerdo con la normativa.
3. Elaborar las observaciones.
4. Emitir la resolución (aprobado o rechazado).</t>
  </si>
  <si>
    <t>Departamento de Urbanismo, Unidad de Fiscalización.</t>
  </si>
  <si>
    <t xml:space="preserve">El APC (Administrador de Proyectos de Construcción) es un sistema que funciona mediante el Colegio Federado de Ingenieros y de Arquitectos de Costa Rica (CFIA).                                                          </t>
  </si>
  <si>
    <t>Asesoría a las Municipalidades, Instituciones Públicas, Privadas y Público en general.</t>
  </si>
  <si>
    <t>Impartir capacitaciones de acuerdo con la Ley de Planificación Ubana, para constribuir a fomentar el conocimiento especializado en la materia.</t>
  </si>
  <si>
    <t>18. Número de capacitaciones realizadas según la Ley de Planificación  Urbana.</t>
  </si>
  <si>
    <t>Impartir 20 capacitaciones sobre la Ley de Planificación Urbana.</t>
  </si>
  <si>
    <t xml:space="preserve">
1. Recibir las solicitudes.
2. Preparar la capacitación.
3. Impartir la capacitación.
4. Dar seguimiento a las recomendaciones.
</t>
  </si>
  <si>
    <t xml:space="preserve">Departamento de Urbanismo, Unidad de Asesoría y Capacitación </t>
  </si>
  <si>
    <t xml:space="preserve">Se impartirán los siguientes Módulos: 
Módulo 01. Ley de Planificación Urbana
Módulo 02. Reglamento de Construcciones
Módulo 03. Reglamento de Fraccionamiento y Urbanizaciones 
Módulo 04.  Reglamento de Renovación Urbana 
Módulo 05. Manual de Planes Reguladores como Instrumento de Ordenamiento Territorial 
Módulo 06. Cuadrantes Urbanos.
Módulo 07. Alineamientos de las Áreas de Protección según la Ley Forestal N° 7575.
</t>
  </si>
  <si>
    <t>Resolver consultas y brindar asesorías  a gobiernos locales, instituciones públicas, privadas y público en general, que requiera recomendaciones técnicas para solucionar problemas específicos, de planificación urbana.</t>
  </si>
  <si>
    <t>19. Porcentaje de consultas y asesorías recibidas, atendidas y con respuesta de Planificación Urbana del total de consultas recibidas.</t>
  </si>
  <si>
    <t>Recibir, atender y dar respuesta al 100% de las consultas y asesorías recibidas.</t>
  </si>
  <si>
    <t>1. Recibir las solicitudes.
2. Analizar las solicitudes.
3. Revisar y aprobar la respuesta.
3. Redactar la respuesta y remitir al solicitante.</t>
  </si>
  <si>
    <t xml:space="preserve">Considera las consultas atendidas en la Unidad Asesoría y Capacitación y el Departamento de Urbanismo.
</t>
  </si>
  <si>
    <t>Medir la satisfacción de los clientes con los productos ofrecidos y la atención brindada.</t>
  </si>
  <si>
    <t xml:space="preserve">20. Porcentaje de satisfacción de los clientes con los productos ofrecidos y la atención brindada.
</t>
  </si>
  <si>
    <t>Alcanzar como mínimo que un 85% de los clientes estés satisfechos con los productos ofrecidos y la atención brindada.</t>
  </si>
  <si>
    <t xml:space="preserve">
1. Recibir las solicitudes.
2. Preparar la capacitación.
3. Impartir la capacitación.
4. Dar seguimiento a las recomendaciones.</t>
  </si>
  <si>
    <t xml:space="preserve">EJE ESTRATÉGICO: SOLUCIONES DE VIVIENDA   </t>
  </si>
  <si>
    <t>1, 2, 3, 4, 5, 7, 8, 9, 10 y 11.</t>
  </si>
  <si>
    <t>Programas habitacionales desarrollados y subsidios.</t>
  </si>
  <si>
    <t>Gestionar la construcción de la primera etapa de las obras para la estabilización de taludes del Proyecto Finca Boschini.</t>
  </si>
  <si>
    <t>21. Porcentaje de avance en la construcción de la primera etapa de las obras para la estabilización del Proyecto Finca Boschini.</t>
  </si>
  <si>
    <t xml:space="preserve">Avanzar en un 60% en la construcción de la primera etapa de las obras para la estabilización de taludes del Proyecto Finca Boschini.
</t>
  </si>
  <si>
    <t xml:space="preserve">1. Continuar los procesos de contratación del diseño.
 2. Analizar los insumos de la etapa I de diseño.
 3. Elaborar el cartel.
 4. Elaborar estudio de mercado.
 5. Realizar el proceso de licitación.
 6. Recepción y revisión de ofertas.
 7. Remitir  recomendación.
 8. Solicitar refrendo ante la CGR.
 9. Confeccionar y firmar el contrato </t>
  </si>
  <si>
    <t xml:space="preserve">Departamento de Programas Habitacionales, Unidad de
Proyectos
Habitacionales
</t>
  </si>
  <si>
    <t xml:space="preserve"> Este proyecto se financia con recursos de la Ley 9304, con presupuesto de ¢400,0 millones.                                                                                                                                                                                                   Ubicación: Alajuelita, San José, San José.</t>
  </si>
  <si>
    <t xml:space="preserve">Gestionar la contratación de la Etapa N°1  (preinversión) del proyecto La Carpio.
</t>
  </si>
  <si>
    <t xml:space="preserve">22. Porcentaje de avance de la contratación de la etapa N°1 (preinversión) del proyecto La Carpio.
</t>
  </si>
  <si>
    <t xml:space="preserve">Gestionar el 100% de la etapa I de contratación  del proyecto La Carpio, que corresponde al 20% del total del proyecto.
</t>
  </si>
  <si>
    <t xml:space="preserve"> 1. Revisar los insumos referentes al proyecto.
 2. Elaborar los términos de referencia para el Cartel.
 3. Realizar el proceso de licitación menor.
 4. Recepción y revisión de ofertas, evaluación
 5. Remitir  recomendación a la unidad de adquisiciones y contrataciones.
 6. Solicitar refrendo ante la Contraloría General de la República
 7. Confeccionar y firmar el contrato </t>
  </si>
  <si>
    <t>Departamento de Programas Habitacionales, Unidad de
Proyectos
Habitacionales.</t>
  </si>
  <si>
    <t xml:space="preserve">La Etapa I del proyecto se compone por el diagnóstico, los estudios previos, el anteproyecto, las especificaciones técnicas, el presupuesto, la evaluación de impacto ambiental, la elaboración de los términos del cartel para la contratación del diseño final y la construcción de las obras.
</t>
  </si>
  <si>
    <t>Mejorar los barrios y asentamientos humanos desde una perspectiva de hábitat adecuado y reducción de riesgos, por medio de la dotación de infraestructura de servicios y equipamiento social a través del otorgamiento del Bono Colectivo.</t>
  </si>
  <si>
    <t>23. Cantidad de familias beneficiadas por la ejecución del Bono Colectivo La Carpio</t>
  </si>
  <si>
    <t>Cantidad</t>
  </si>
  <si>
    <t xml:space="preserve">Beneficiar a 5000 familias con la ejecución del Bono Colectivo La Carpio.
</t>
  </si>
  <si>
    <t xml:space="preserve">Este indicador es del Plan Nacional de Desarrollo y de Inversión Pública.  Ubicación:  Uruca, San José, San José.
</t>
  </si>
  <si>
    <t xml:space="preserve">Elaborar una guía sobre el diseño de Ecobarrios para fomentar ciudades más sostenibles.
</t>
  </si>
  <si>
    <t xml:space="preserve">24. Porcentaje de avance en la elaboración de Guías modelos para el diseño de Ecobarrios.
</t>
  </si>
  <si>
    <t>Elaborar el 30% de la guía sobre el diseño de Ecobarrios para fomentar ciudades más sostenibles.</t>
  </si>
  <si>
    <t>1. Revisar las observaciones INVU en el documento
2. Atender las observaciones del documento
3. Atender las observaciones del documento
4. Ajustar el cuerpo del documento
5. Ajustar la diagramación del documento
6. Remitir el documento para aprobaciones
7. Obtener visto bueno del documento
8. Publicar el documento</t>
  </si>
  <si>
    <t xml:space="preserve">Gestionar la etapa de preinversión (estudios técnicos) del proyecto Finca Echandi Norte (condominio horizontal) 
</t>
  </si>
  <si>
    <t xml:space="preserve">25. Porcentaje de avance en la etapa de preinversión (estudios técnicos) del proyecto Finca Echandi Norte (condominio horizontal).
</t>
  </si>
  <si>
    <t xml:space="preserve">Gestionar en un 100% la etapa de preinversión (estudios técnicos) del proyecto Finca Echandi Norte (condominio horizontal) 
</t>
  </si>
  <si>
    <t xml:space="preserve">1. Elaborar del perfil
2. Revisar el perfil por parte de la jefatura
3. Corregir el perfil
4. Revisar las correcciones al perfil por parte de la jefatura
5. Remitir a planificación 
6. Solicitar Aval de planificación 
7. Solicitar aval del MIVAH
9. Obtener aval MIVAH
10. Remitir el perfil del MIVAH a planificación </t>
  </si>
  <si>
    <t xml:space="preserve">Ubicación: Catedral, San José, San José.
</t>
  </si>
  <si>
    <t xml:space="preserve">Elaborar diferentes modelos demostrativos de VUIS (Vivienda Urbana Inclusiva Sostenible) para la población de interés social y clase media.
</t>
  </si>
  <si>
    <t>26. Número de modelos demostrativos diseñados de VUIS, para la población interés social y clase media.</t>
  </si>
  <si>
    <t>Elaborar 4 modelos demostrativos de VUIS para la población interés social y clase media.</t>
  </si>
  <si>
    <t xml:space="preserve">1. Analizar terrenos típicos.
2. Elaborar lineamientos de diseño.
3. Elaborar propuesta de diseño 2D.
4. Elaborar propuesta de diseño 3D.
5. Revisar y aprobar por parte de la jefatura el diseño. 
6. Realizar ajustes al diseño.
7. Elaborar renderizado, presentación y animación de la propuesta. 
8. Remitir la propuesta de diseño a la jefatura DPH. </t>
  </si>
  <si>
    <t xml:space="preserve">Gestionar la construcción de un proyecto VUIS (Vivienda Urbana Inclusiva Sostenible) en San Miguel de Desamparados.
</t>
  </si>
  <si>
    <t xml:space="preserve">27. Porcentaje de avance en la construcción del proyecto VUIS 1 en San Miguel de Desamparados.
</t>
  </si>
  <si>
    <t xml:space="preserve">Construir en un 100% el proyecto VUIS 1 en San Miguel de Desamparados.
</t>
  </si>
  <si>
    <t>1. Elaborar téminos de referencia para el cartel.
2. Elaborar estudio de mercado
3. Realizar el proceso de licitación.
4. Recepción y revisión de ofertas.
5. Remitir  recomendación a la unidad de adquisiciones y contrataciones.
6. Adjudicación
7. Confeccionar y firmar el contrato para ejecución de los planos.
8. Orden de inicio.
9. Inicio de obras</t>
  </si>
  <si>
    <t>Ubicado en San Miguel de Desamparados, San José.</t>
  </si>
  <si>
    <t xml:space="preserve">Gestionar la contrucción del proyecto proyecto Finca San Juan III (obras de mejoramiento de infraestructura). 
</t>
  </si>
  <si>
    <t xml:space="preserve">28. Porcentaje de avance en las actividades para la  construcción del proyecto proyecto Finca San Juan III (obras de mejoramiento de infraestructura).
</t>
  </si>
  <si>
    <t xml:space="preserve">Gestionar el 50% de la contratación del  perfil de mejoramiento de infraestructura del proyecto Finca San Juan III, y el 10% de la ejecución
</t>
  </si>
  <si>
    <t>1. Recopilar información del proyecto.
2. Elaborar los términos de referencia para el Cartel.
3. Realizar el proceso de licitación.
4. Recepción y revisión de ofertas.
5. Remitir  recomendación.
6. Solicitar el refrendo y adjudicar el proyecto.
7. Firmar el contrato para ejecución de los planos.
8. Orden de inicio.
9. Generación de insumos.</t>
  </si>
  <si>
    <t>Ubicado en Pavas, San José, San José.</t>
  </si>
  <si>
    <t>Postular ante el BANHVI los casos RAMT del Proyecto Juan Rafael Mora.</t>
  </si>
  <si>
    <t xml:space="preserve">29. Número de casos RAMT postulados ante el BANHVI del Proyecto Juan Rafael Mora.
</t>
  </si>
  <si>
    <t>Postular ante el BANHVI 20 casos RAMT del proyecto Juan Rafael Mora</t>
  </si>
  <si>
    <t>1. Analizar 10 Casos Propuestos por la Asociación y la Empresa
2. Revisar y aprobar los 10 casos propuestos
3. Presentar los 10 casos ante el BANHVI
4. Aprobar los 10 casos propuestos por parte del BANHVI
 5. Gestionar los permisos de construcción  mediante la empresa.
6. Aprobar financiamiento por parte del BANHVI
7. Ejecutar la construcción de los 10 casos RAMT</t>
  </si>
  <si>
    <t>Los casos RAMT consideran la Reparación, Ampliación, Mejoras y Terminación de una solucióm hanitacional.
Ubicado en Alajuelita, San José, San José.</t>
  </si>
  <si>
    <t>Gestionar la construicción de las soluciones habitacionales en el proyecto André Challé y otras localidades (lotificación y construcción de viviendas unifamiliares).</t>
  </si>
  <si>
    <t>30. Número de viviendas construidas en el Proyecto André Challé.</t>
  </si>
  <si>
    <t>Construir 13 soluciones habitacionales en el proyecto André Challé.</t>
  </si>
  <si>
    <t>1. Finalizar traspaso de terrenos 
2. Trámite de permisos por parte de la empresa
3. Ejecutar y fiscalizar la construcción de las soluciones habitacionales
4 Cierre de la ejecución
5. Entrega de viviendas a a las familias.</t>
  </si>
  <si>
    <t xml:space="preserve">La construcción se realizará en los terrenos de la institución en la provincia de San José, Moravia, La Trinidad.                       
                                          </t>
  </si>
  <si>
    <t>Gestionar la construicción de soluciones habitacionales en el proyecto os Lirios (lotificación y construcción de viviendas unifamiliares).</t>
  </si>
  <si>
    <t>31. Número de viviendas construidas en el Proyecto Los Lirios.</t>
  </si>
  <si>
    <t>Construir 4 soluciones habitacionales en el proyecto Los Lirios.</t>
  </si>
  <si>
    <t>1. Finalizar traspaso de terrenos 
2. Trámiite de permisos por parte de la empresa
3. Ejecutar y fiscalizar la construcción de las soluciones habitacionales
4 Cierre de la ejecución
5. Entrega de viviendas a a las familias.</t>
  </si>
  <si>
    <t xml:space="preserve">Ubicación: Daniel Flores, Pérez Zeledón, San José
</t>
  </si>
  <si>
    <t xml:space="preserve">Gestionar la construcción del Bono Colectivo Acosta Activa (contratar el diseño y la construcción). </t>
  </si>
  <si>
    <t>32. Porcentaje de avance en la construcción de las obras del Bono Colectivo Acosta Activa.</t>
  </si>
  <si>
    <t>Gestionar la construcción en un 100% del  Bono Colectivo Acosta Activa.</t>
  </si>
  <si>
    <t>1. Obtener el refrendo CGR 
2. Firmar el contrato
3. Iniciar Etapa 1  Diseño y Tramitología, incluye revisiones de INVU
4. Iniciar Etapa 2 Construcción, incluye fiscalización INVU</t>
  </si>
  <si>
    <t xml:space="preserve">Los recursos están destinados a la compra de lotes y construcción de cuatro soluciones  habitacionales en los terrenos de la institución, ubicado en la provincia de San José, Pérez Zeledón, Daniel Flores.
</t>
  </si>
  <si>
    <t>Comprar un terreno en Garabito, Puntarenas, para el desarrollo de proyectos institucionales.</t>
  </si>
  <si>
    <t xml:space="preserve">33. Monto (en millones de colones) de recursos invertidos en la compra de un terreno, en Garabito. </t>
  </si>
  <si>
    <t>Invertir un total de ¢680,0 millones en la compra del terreno.</t>
  </si>
  <si>
    <t>1. Cumplimiento de requisitos por parte del propietario del terreno seleccionado.
2. Criterio legal y visto bueno por parte de la administración superior.
3. Remisión de solicitud de compra a la CGR.
4. Proceso de compra y traspaso.</t>
  </si>
  <si>
    <t>Departamento de Programas Habitacionales, Unidad Fondo de Inversión en Bienes Inmuebles</t>
  </si>
  <si>
    <t>Los recursos provienen de la Ley 8785, con un presupuesto de ¢680,0 millones. 
El terreno se ubica en Puntarenas, en el cantón de Garabito.
Se cuenta con terreno seleccionado, con recomendación técnica para la compra, sin embargo, se está en proceso de negociación con el propietario quien debe cumplir con una serie de requisitos.</t>
  </si>
  <si>
    <t>Actualizar las propiedades de la Institución.</t>
  </si>
  <si>
    <t>34. Número de propiedades depuradas del inventario de terrenos de la Institución.</t>
  </si>
  <si>
    <t>Depurar 2040 terrenos del inventario Institucional.</t>
  </si>
  <si>
    <t>1. Identificar inmuebles.
2. Revisar el listado de terrenos contra la información catastral y registral del Registro Nacional.
3. Depurar cuando se requiera.
4. Actualizar los listados de terrenos inscritos a nombre del INVU.
5. Gestiones registrales y catastrales ante Notariado.
6. Resolución de expedientes RIM.</t>
  </si>
  <si>
    <t>Departamento de Programas Habitacionales, Unidad Fondo de Inversión en Bienes Inmuebles.</t>
  </si>
  <si>
    <t>La cantidad total de propiedades por depurar actualmente es de 9740, los cuales están clasificados como reservas, adjudicaciones, titulación por venta, decreto y áreas públicas.
Se debe dar cumplimiento a las disposiciones de la Contraloría General de la Republica en su informe N° DFOE-AE-IF-00005-2018.
Depurar: Corresponde a una labor de carácter técnica-administrativa que implica la revisión registral y catastral de cada una de las fincas, eliminando datos inconsistentes producto de manipulación incorrecta, información antigua o desactualizada, registros duplicados, así como la exclusión de fincas cerradas y tituladas dentro del inventario de bienes inmuebles del INVU.</t>
  </si>
  <si>
    <t>Vender inmuebles de la Institución.</t>
  </si>
  <si>
    <t>35. Monto (en millones de colones) de ingresos generados por propiedades vendidas.</t>
  </si>
  <si>
    <t>Vender ¢216,0 millones en propiedades.</t>
  </si>
  <si>
    <t xml:space="preserve">Para titulación por venta:
1. Recibir la solicitud.
2. Asignar el profesional a cargo.
3. Conformar el expediente.
4. Realizar la visita de inspeccion.
5. Realizar la análisis técnico y administrativo (avalúo, estudio social, cumplimiento de requisitos).
6. Comunicar el valor del inmueble.
7. Recibir el pago por parte del cliente.
8. Emitir acuerdo de titulación.
9. Proceso de notariado.
10. Formalizar la escritura de traspaso.
Para policitación:
1. Identificar terrenos.
2. Realizar el avalúo.
3. Preparar informe y remitir listado de inmuebles a Junta Directiva (JD) para su aprobación.
4. Publicar la apertura del concurso.
5. Evaluar las ofertas recibidas y elaborar informe.
6. Recibir visto bueno de JD para la adjudicar los bienes.
7. Recibir el pago.
8. Generar el acuerdo de venta.
9. Formalizar la escritura de traspaso.
10. Procesos de titulación por venta.
</t>
  </si>
  <si>
    <t>Incluye venta de terrenos por concepto de:
      a. Venta de saldos de proyectos a travez del proceso de titulación por venta.
      b. Venta directa de inmuebles, por medio de procesos de contratación administrativa, amparado en el reglamento para la venta de inmuebles del INVU, Policitación.</t>
  </si>
  <si>
    <t>Titular casos de lotes  por decreto, venta de saldos de proyectos, adjudicaciones y traspaso de áreas públicas.</t>
  </si>
  <si>
    <t>36. Número de títulos de propiedad otorgados.</t>
  </si>
  <si>
    <t>Titular 160 propiedades.</t>
  </si>
  <si>
    <t>1. Recibir la solicitud.
2. Determinar el tipo de clasificación del caso.
3. Asignar el profesional a cargo.
4. Conformar el expediente.
5. Realizar la visita de inspeccion.
6. Realizar la aálisis técnico y administrativo (avalúo, estudio social, cumplimiento de requisitos).
7. Emitir acuerdo de titulación.
8. Proceso de notariado.
9. Formalizar la escritura de traspaso.</t>
  </si>
  <si>
    <t>El financiamiento es con recursos propios.
Los lotes a titular corresponden a saldos de proyectos los cuales son ocupados por familias interesadas en formalizar su situación patrimonial.
Se encuentra incluido en el PNDIP.
Se encuentra incluido en el Plan Estratégico Institucional (PEI), como parte de una Línea de Acción, para el cumplimiento de los objetivos estratégicos.</t>
  </si>
  <si>
    <t>Otorgar subsidios para resolver el problema habitacional en los estratos de población de interés social.</t>
  </si>
  <si>
    <t xml:space="preserve">37. Monto (en millones de colones) de las solicitudes de bono familiar de vivienda postuladas ante el BANHVI.  </t>
  </si>
  <si>
    <t xml:space="preserve">Postular 1524 millones ante el BANHVI.
</t>
  </si>
  <si>
    <t>1. Recibir las solicitudes de bono.
2. Verificar el cumplimiento de requisitos. 
3. Conformar los expedientes.
4. Analizar las solicitudes de bono.
5. Postular los casos ante el BANHVI.</t>
  </si>
  <si>
    <t>Departamento de Programas Habitacionales, Unidad Mecanismos de Financiamiento</t>
  </si>
  <si>
    <t xml:space="preserve">Bono Artículo 59: ¢ millones.
Bono Ordinario: ¢ millones.
Se encuentra incluido en el Plan Estratégico Institucional (PEI), como parte de una Línea de Acción, para el cumplimiento de los objetivos estratégicos.
</t>
  </si>
  <si>
    <t xml:space="preserve">38. Plazo (en meses) promedio de trámite de las solicitudes de bono familiar de vivienda, a partir de la etapa de análisis hasta su postulación.  
 </t>
  </si>
  <si>
    <t xml:space="preserve">Plazo </t>
  </si>
  <si>
    <t xml:space="preserve">Tramitar en 1,5 meses las solicitudes de bono. </t>
  </si>
  <si>
    <t>1,5 meses</t>
  </si>
  <si>
    <t>1. Analizar las solicitudes de bono.
2. Aprobar la solicitud.
3. Postular los casos ante el BANHVI.</t>
  </si>
  <si>
    <t>El trámite se mide desde la etapa de análisis porque a la fecha se cuenta con un inventario de expedientes.</t>
  </si>
  <si>
    <t>EJE ESTRATÉGICO: MECANISMOS DE FINANCIAMIENTO DE VIVIENDA</t>
  </si>
  <si>
    <t>1, 3, 4, 7, 8, 9, 10 y 11</t>
  </si>
  <si>
    <t xml:space="preserve">
Producto: 
Créditos aprobados.
Usuarios: Suscriptores de contratos de Ahorro y  Préstamo, Familias de Clase Media. 
Cantidad de hombres: 50%
Cantidad de mujeres: 50%
</t>
  </si>
  <si>
    <t xml:space="preserve">
Otorgar créditos para resolver el problema habitacional en los estratos de población de interés social y clase media.</t>
  </si>
  <si>
    <t>39. Monto (en millones de colones) de los contratos vendidos en el Sistema de Ahorro y Préstamo (SAP).</t>
  </si>
  <si>
    <t xml:space="preserve">Vender ¢97.163 millones en contratos del SAP.
</t>
  </si>
  <si>
    <t>1. Recibir las solicitudes.
2. Tramitar las solicitudes.
3. Formalizar la venta.</t>
  </si>
  <si>
    <t xml:space="preserve">
Gestión de Programas de Financiamiento</t>
  </si>
  <si>
    <t xml:space="preserve">Se estima vender un total de 6.115 contratos
que corresponden a ese monto de ¢97.163  millones.
</t>
  </si>
  <si>
    <t>40. Porcentaje de mantenimiento de las renuncias de los contratos vendidos del SAP, en el año 2023.</t>
  </si>
  <si>
    <t>Mantener en un 3% las renuncias de los contratos vendidos.</t>
  </si>
  <si>
    <t>1. Tabular las renuncias en forma mensual.
2. Analizar la información.
3. Elaborar el informe.
4. Plantear acciones de mejora (si es del caso).</t>
  </si>
  <si>
    <t xml:space="preserve">41. Número de créditos aprobados para clase media a través del Sistema de Ahorro y Préstamo (SAP).  </t>
  </si>
  <si>
    <t>Aprobar 734 créditos para clase media a través del SAP.</t>
  </si>
  <si>
    <t>1. Recibir las solicitudes de financiamiento.
2. Conformar los expedientes.
3. Analizar el crédito.
4. Aprobar el crédito.</t>
  </si>
  <si>
    <t>Se estima aprobar un monto total de ¢22.779,3 millones, que corresponde a los 734 créditos.
Se encuentra incluido en el PNDIP.
Se encuentra incluido en el Plan Estratégico Institucional (PEI), como parte de una Línea de Acción, para el cumplimiento de los objetivos estratégicos.</t>
  </si>
  <si>
    <t>42. Plazo (en días hábiles) promedio de trámite para la aprobación de los créditos del Sistema de Ahorro y Préstamo (SAP)</t>
  </si>
  <si>
    <t>Tramitar en 25 días hábiles los créditos del SAP.</t>
  </si>
  <si>
    <t>1. Agilizar el proceso de captura e ingreso de expedientes en la UACS.                                                                                                                                                                                                                      2. Revisar y validar de forma oportuna la presentación de los requisitos que correspondan.
3. Revisar los plazo otorgados y de respuesta del los Peritos y fiscalizadores externos.</t>
  </si>
  <si>
    <t>La meta del Indicador es de tendencia descendente.</t>
  </si>
  <si>
    <t xml:space="preserve">43. Número de créditos aprobados para clase media a través de CREDINVU.  </t>
  </si>
  <si>
    <t xml:space="preserve">Otorgar 36 créditos para clase media através de CREDINVU.
</t>
  </si>
  <si>
    <t>Se estima aprobar un monto total de ¢2.235,0 millones, que corresponde a los 36 créditos.  
Se encuentra incluido en el PNDIP.
Se encuentra incluido en el Plan Estratégico Institucional (PEI), como parte de una Línea de Acción, para el cumplimiento de los objetivos estratégicos.</t>
  </si>
  <si>
    <t xml:space="preserve">44. Porcentaje de satisfacción de los clientes con los productos ofrecidos y la atención brindada.
</t>
  </si>
  <si>
    <t>UNIDAD DE MEDIDA</t>
  </si>
  <si>
    <t>MONTO POR PROGRAMA
(MILLONES DE COLONES)</t>
  </si>
  <si>
    <r>
      <t xml:space="preserve">Alquiler de edificios e instalaciones  </t>
    </r>
    <r>
      <rPr>
        <b/>
        <sz val="10"/>
        <color indexed="10"/>
        <rFont val="Arial"/>
        <family val="2"/>
      </rPr>
      <t xml:space="preserve"> </t>
    </r>
  </si>
  <si>
    <t>PRESUPUESTO INICIAL 2024
INGRESOS
(MONTO EN COLONES)</t>
  </si>
  <si>
    <t>CODIGO</t>
  </si>
  <si>
    <t>TOTAL 
GENERAL</t>
  </si>
  <si>
    <t>INGRESOS INVU (NO INCLUYE SAP)</t>
  </si>
  <si>
    <t>INGRESOS SISTEMA DE AHORRO Y PRESTAMO</t>
  </si>
  <si>
    <t>PRESUPUESTADO</t>
  </si>
  <si>
    <t>PRESUPUESTO INICIAL 2024
EGRESOS
(MONTO EN COLONES)</t>
  </si>
  <si>
    <t>PROGRAMA N°1
ADMINISTRACIÓN Y
APOYO</t>
  </si>
  <si>
    <t>SECRETARIA DE JUNTA
DIRECTIVA</t>
  </si>
  <si>
    <t>AUDITORIA</t>
  </si>
  <si>
    <t xml:space="preserve">
PRESIDENCIA
EJECUTIVA</t>
  </si>
  <si>
    <t>GERENCIA
GENERAL</t>
  </si>
  <si>
    <t>SALUD OCUPACIONAL</t>
  </si>
  <si>
    <t>TECNOLOGÍAS DE INFORMACIÓN</t>
  </si>
  <si>
    <t>SUG GERENCIA GENERAL</t>
  </si>
  <si>
    <t>CONTRALORIA DE SERVICIOS</t>
  </si>
  <si>
    <t xml:space="preserve">PLANIFICACIÓN
</t>
  </si>
  <si>
    <t>ASESORÍA
   LEGAL</t>
  </si>
  <si>
    <t>JEFATURA DAF</t>
  </si>
  <si>
    <t>ADMINISTRACIÓN</t>
  </si>
  <si>
    <t>TALENTO HUMANO</t>
  </si>
  <si>
    <t>ADQUISICIONES Y CONTRATACIONES</t>
  </si>
  <si>
    <t>JEFATURA DE FINANZAS</t>
  </si>
  <si>
    <t>CONTABILIDAD</t>
  </si>
  <si>
    <t>COBROS</t>
  </si>
  <si>
    <t>TESORERIA</t>
  </si>
  <si>
    <t>ARCHIVO CENTRAL</t>
  </si>
  <si>
    <t>COMUNICACIÓN Y PROMOCIÓN</t>
  </si>
  <si>
    <t>PROGRAMA N°2
URBANISMO</t>
  </si>
  <si>
    <t>JEFATURA URBANISMO Y VIVIENDA</t>
  </si>
  <si>
    <t>JEFATURA URBANISMO</t>
  </si>
  <si>
    <t>FISCALIZACIÓN</t>
  </si>
  <si>
    <t>CRIETERIOS TÉCNICOS Y OPERATIVOS DE ORDENAMIENTO TERRITORIAL</t>
  </si>
  <si>
    <t>ASESORÍA Y CAPACITACIÓN</t>
  </si>
  <si>
    <t>PROGRAMA N°3
PROGRAMAS HABITACIONALES</t>
  </si>
  <si>
    <t>PROGRAMA Nª 4
GESTIÓN DE PROGRAMAS DE FINANCIAMIENTO</t>
  </si>
  <si>
    <t>SUBPROGRAMA 1-GESTIÓN DE PRODUCTOS DEL SISTEMA DE AHORRO Y PRÉSTAMO</t>
  </si>
  <si>
    <t>SUBPROGRAMA 2-GESTIÓN DE PRODUCTOS CON DIVERSAS FUENTES DE INGRESOS</t>
  </si>
  <si>
    <t xml:space="preserve">Fuente: Planificación Institucional </t>
  </si>
  <si>
    <t>MONTO POR PROGRAMA
(MILES DE COLONES)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</si>
</sst>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_);_(* \(#,##0.00\);_(* &quot;-&quot;??_);_(@_)"/>
    <numFmt numFmtId="166" formatCode="#,##0.0"/>
    <numFmt numFmtId="167" formatCode="0.0%"/>
    <numFmt numFmtId="168" formatCode="_-* #,##0_-;\-* #,##0_-;_-* &quot;-&quot;??_-;_-@_-"/>
    <numFmt numFmtId="169" formatCode="&quot;₡&quot;#,##0.0"/>
    <numFmt numFmtId="170" formatCode="#,##0.0;[Red]\-#,##0.0"/>
  </numFmts>
  <fonts count="21" x14ac:knownFonts="1">
    <font>
      <sz val="11"/>
      <color theme="1"/>
      <name val="Aptos Narrow"/>
      <family val="2"/>
      <scheme val="minor"/>
    </font>
    <font>
      <sz val="11"/>
      <color theme="1"/>
      <name val="Aptos Narrow"/>
      <family val="2"/>
      <scheme val="minor"/>
    </font>
    <font>
      <sz val="10"/>
      <name val="Times New Roman"/>
      <family val="1"/>
    </font>
    <font>
      <sz val="10"/>
      <name val="Courier"/>
      <family val="3"/>
    </font>
    <font>
      <b/>
      <sz val="9"/>
      <color indexed="81"/>
      <name val="Tahoma"/>
      <family val="2"/>
    </font>
    <font>
      <sz val="9"/>
      <color indexed="81"/>
      <name val="Tahoma"/>
      <family val="2"/>
    </font>
    <font>
      <b/>
      <sz val="11"/>
      <color theme="0"/>
      <name val="Arial"/>
      <family val="2"/>
    </font>
    <font>
      <sz val="12"/>
      <color theme="1"/>
      <name val="Aptos Narrow"/>
      <family val="2"/>
      <scheme val="minor"/>
    </font>
    <font>
      <b/>
      <sz val="10"/>
      <name val="Arial"/>
      <family val="2"/>
    </font>
    <font>
      <sz val="10"/>
      <name val="Aptos Narrow"/>
      <family val="2"/>
      <scheme val="minor"/>
    </font>
    <font>
      <u/>
      <sz val="10"/>
      <name val="Aptos Narrow"/>
      <family val="2"/>
      <scheme val="minor"/>
    </font>
    <font>
      <b/>
      <sz val="10"/>
      <color theme="0"/>
      <name val="Arial"/>
      <family val="2"/>
    </font>
    <font>
      <sz val="10"/>
      <name val="Arial"/>
      <family val="2"/>
    </font>
    <font>
      <b/>
      <u/>
      <sz val="10"/>
      <name val="Arial"/>
      <family val="2"/>
    </font>
    <font>
      <sz val="10"/>
      <color indexed="8"/>
      <name val="Arial"/>
      <family val="2"/>
    </font>
    <font>
      <b/>
      <sz val="10"/>
      <color indexed="10"/>
      <name val="Arial"/>
      <family val="2"/>
    </font>
    <font>
      <b/>
      <u/>
      <sz val="10"/>
      <color indexed="8"/>
      <name val="Arial"/>
      <family val="2"/>
    </font>
    <font>
      <b/>
      <sz val="10"/>
      <color indexed="8"/>
      <name val="Arial"/>
      <family val="2"/>
    </font>
    <font>
      <b/>
      <sz val="10"/>
      <color theme="1"/>
      <name val="Arial"/>
      <family val="2"/>
    </font>
    <font>
      <sz val="10"/>
      <color theme="1"/>
      <name val="Arial"/>
      <family val="2"/>
    </font>
    <font>
      <b/>
      <u/>
      <sz val="10"/>
      <color theme="1"/>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theme="5" tint="-0.249977111117893"/>
        <bgColor indexed="64"/>
      </patternFill>
    </fill>
    <fill>
      <patternFill patternType="solid">
        <fgColor theme="0"/>
        <bgColor indexed="64"/>
      </patternFill>
    </fill>
    <fill>
      <patternFill patternType="solid">
        <fgColor theme="3" tint="0.499984740745262"/>
        <bgColor indexed="64"/>
      </patternFill>
    </fill>
  </fills>
  <borders count="4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37" fontId="3" fillId="0" borderId="0" applyBorder="0"/>
    <xf numFmtId="0" fontId="7" fillId="0" borderId="0"/>
  </cellStyleXfs>
  <cellXfs count="254">
    <xf numFmtId="0" fontId="0" fillId="0" borderId="0" xfId="0"/>
    <xf numFmtId="0" fontId="8" fillId="4" borderId="0" xfId="0" applyFont="1" applyFill="1" applyAlignment="1">
      <alignment horizontal="center" vertical="center" wrapText="1"/>
    </xf>
    <xf numFmtId="0" fontId="8" fillId="4" borderId="0" xfId="0" applyFont="1" applyFill="1" applyAlignment="1">
      <alignment vertical="center" wrapText="1"/>
    </xf>
    <xf numFmtId="0" fontId="8" fillId="4" borderId="21" xfId="0" applyFont="1" applyFill="1" applyBorder="1" applyAlignment="1">
      <alignment horizontal="center" vertical="center" wrapText="1"/>
    </xf>
    <xf numFmtId="0" fontId="8" fillId="4" borderId="19" xfId="0" applyFont="1" applyFill="1" applyBorder="1" applyAlignment="1">
      <alignment horizontal="left" vertical="top" wrapText="1"/>
    </xf>
    <xf numFmtId="4" fontId="9" fillId="4" borderId="0" xfId="0" applyNumberFormat="1" applyFont="1" applyFill="1"/>
    <xf numFmtId="0" fontId="8" fillId="4" borderId="23" xfId="0" applyFont="1" applyFill="1" applyBorder="1" applyAlignment="1">
      <alignment horizontal="left" vertical="top" wrapText="1"/>
    </xf>
    <xf numFmtId="0" fontId="8" fillId="4" borderId="25" xfId="0" applyFont="1" applyFill="1" applyBorder="1" applyAlignment="1">
      <alignment vertical="center" wrapText="1"/>
    </xf>
    <xf numFmtId="9" fontId="8" fillId="4" borderId="25" xfId="2" applyFont="1" applyFill="1" applyBorder="1" applyAlignment="1">
      <alignment horizontal="left" vertical="center" wrapText="1"/>
    </xf>
    <xf numFmtId="9" fontId="8" fillId="4" borderId="25" xfId="2" applyFont="1" applyFill="1" applyBorder="1" applyAlignment="1">
      <alignment horizontal="center" vertical="center" wrapText="1"/>
    </xf>
    <xf numFmtId="0" fontId="8" fillId="4" borderId="26"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8" fillId="4" borderId="25" xfId="0" applyFont="1" applyFill="1" applyBorder="1" applyAlignment="1">
      <alignment horizontal="center" vertical="center" wrapText="1"/>
    </xf>
    <xf numFmtId="0" fontId="8" fillId="4" borderId="21" xfId="0" applyFont="1" applyFill="1" applyBorder="1" applyAlignment="1">
      <alignment vertical="center" wrapText="1"/>
    </xf>
    <xf numFmtId="0" fontId="8" fillId="4" borderId="21" xfId="0" applyFont="1" applyFill="1" applyBorder="1" applyAlignment="1">
      <alignment horizontal="left" vertical="center" wrapText="1"/>
    </xf>
    <xf numFmtId="9" fontId="8" fillId="4" borderId="21" xfId="0" applyNumberFormat="1" applyFont="1" applyFill="1" applyBorder="1" applyAlignment="1">
      <alignment horizontal="center" vertical="center" wrapText="1"/>
    </xf>
    <xf numFmtId="0" fontId="8" fillId="4" borderId="22"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23" xfId="0" applyFont="1" applyFill="1" applyBorder="1" applyAlignment="1">
      <alignment horizontal="center" vertical="center" wrapText="1"/>
    </xf>
    <xf numFmtId="0" fontId="8" fillId="4" borderId="27" xfId="0" applyFont="1" applyFill="1" applyBorder="1" applyAlignment="1">
      <alignment horizontal="left" vertical="center" wrapText="1"/>
    </xf>
    <xf numFmtId="0" fontId="8" fillId="4" borderId="25" xfId="5" applyFont="1" applyFill="1" applyBorder="1" applyAlignment="1">
      <alignment vertical="center" wrapText="1"/>
    </xf>
    <xf numFmtId="0" fontId="8" fillId="4" borderId="27" xfId="0" applyFont="1" applyFill="1" applyBorder="1" applyAlignment="1">
      <alignment horizontal="center" vertical="center" wrapText="1"/>
    </xf>
    <xf numFmtId="0" fontId="8" fillId="4" borderId="17" xfId="5" applyFont="1" applyFill="1" applyBorder="1" applyAlignment="1">
      <alignment horizontal="left" vertical="center" wrapText="1"/>
    </xf>
    <xf numFmtId="0" fontId="8" fillId="4" borderId="28" xfId="0" applyFont="1" applyFill="1" applyBorder="1" applyAlignment="1">
      <alignment horizontal="left" vertical="center" wrapText="1"/>
    </xf>
    <xf numFmtId="9" fontId="8" fillId="4" borderId="25" xfId="5" applyNumberFormat="1" applyFont="1" applyFill="1" applyBorder="1" applyAlignment="1">
      <alignment horizontal="left" vertical="center" wrapText="1"/>
    </xf>
    <xf numFmtId="9" fontId="8" fillId="4" borderId="25" xfId="5" applyNumberFormat="1" applyFont="1" applyFill="1" applyBorder="1" applyAlignment="1">
      <alignment horizontal="left" vertical="center" wrapText="1" indent="2"/>
    </xf>
    <xf numFmtId="0" fontId="8" fillId="4" borderId="25" xfId="5" applyFont="1" applyFill="1" applyBorder="1" applyAlignment="1">
      <alignment horizontal="left" vertical="center" wrapText="1"/>
    </xf>
    <xf numFmtId="0" fontId="8" fillId="4" borderId="26" xfId="5" applyFont="1" applyFill="1" applyBorder="1" applyAlignment="1">
      <alignment horizontal="left" vertical="center" wrapText="1"/>
    </xf>
    <xf numFmtId="43" fontId="9" fillId="4" borderId="0" xfId="0" applyNumberFormat="1" applyFont="1" applyFill="1"/>
    <xf numFmtId="167" fontId="8" fillId="4" borderId="25" xfId="5" applyNumberFormat="1" applyFont="1" applyFill="1" applyBorder="1" applyAlignment="1">
      <alignment horizontal="left" vertical="center" wrapText="1" indent="2"/>
    </xf>
    <xf numFmtId="10" fontId="8" fillId="4" borderId="25" xfId="5" applyNumberFormat="1" applyFont="1" applyFill="1" applyBorder="1" applyAlignment="1">
      <alignment horizontal="left" vertical="center" wrapText="1" indent="2"/>
    </xf>
    <xf numFmtId="9" fontId="8" fillId="4" borderId="25" xfId="5" applyNumberFormat="1" applyFont="1" applyFill="1" applyBorder="1" applyAlignment="1">
      <alignment vertical="center" wrapText="1"/>
    </xf>
    <xf numFmtId="9" fontId="8" fillId="4" borderId="25" xfId="5" applyNumberFormat="1" applyFont="1" applyFill="1" applyBorder="1" applyAlignment="1">
      <alignment horizontal="center" vertical="center" wrapText="1"/>
    </xf>
    <xf numFmtId="9" fontId="8" fillId="4" borderId="25" xfId="0" applyNumberFormat="1" applyFont="1" applyFill="1" applyBorder="1" applyAlignment="1">
      <alignment horizontal="center" vertical="center" wrapText="1"/>
    </xf>
    <xf numFmtId="0" fontId="8" fillId="4" borderId="25" xfId="0" applyFont="1" applyFill="1" applyBorder="1" applyAlignment="1">
      <alignment vertical="top" wrapText="1"/>
    </xf>
    <xf numFmtId="9" fontId="8" fillId="4" borderId="25" xfId="0" applyNumberFormat="1" applyFont="1" applyFill="1" applyBorder="1" applyAlignment="1">
      <alignment horizontal="left" vertical="center" wrapText="1"/>
    </xf>
    <xf numFmtId="166" fontId="8" fillId="4" borderId="25" xfId="0" applyNumberFormat="1" applyFont="1" applyFill="1" applyBorder="1" applyAlignment="1">
      <alignment horizontal="center" vertical="top" wrapText="1"/>
    </xf>
    <xf numFmtId="168" fontId="8" fillId="4" borderId="25" xfId="1" applyNumberFormat="1" applyFont="1" applyFill="1" applyBorder="1" applyAlignment="1">
      <alignment vertical="center" wrapText="1"/>
    </xf>
    <xf numFmtId="3" fontId="8" fillId="4" borderId="25" xfId="0" applyNumberFormat="1" applyFont="1" applyFill="1" applyBorder="1" applyAlignment="1">
      <alignment horizontal="center" vertical="center" wrapText="1"/>
    </xf>
    <xf numFmtId="1" fontId="8" fillId="4" borderId="25" xfId="0" applyNumberFormat="1" applyFont="1" applyFill="1" applyBorder="1" applyAlignment="1">
      <alignment horizontal="center" vertical="center" wrapText="1"/>
    </xf>
    <xf numFmtId="0" fontId="8" fillId="4" borderId="25" xfId="0" applyFont="1" applyFill="1" applyBorder="1" applyAlignment="1">
      <alignment horizontal="left" vertical="center" wrapText="1" readingOrder="1"/>
    </xf>
    <xf numFmtId="169" fontId="8" fillId="4" borderId="25" xfId="0" applyNumberFormat="1" applyFont="1" applyFill="1" applyBorder="1" applyAlignment="1">
      <alignment horizontal="center" vertical="center" wrapText="1"/>
    </xf>
    <xf numFmtId="166" fontId="8" fillId="4" borderId="25" xfId="0" applyNumberFormat="1" applyFont="1" applyFill="1" applyBorder="1" applyAlignment="1">
      <alignment horizontal="center" vertical="center" wrapText="1"/>
    </xf>
    <xf numFmtId="3" fontId="8" fillId="4" borderId="25" xfId="0" applyNumberFormat="1" applyFont="1" applyFill="1" applyBorder="1" applyAlignment="1">
      <alignment horizontal="left" vertical="center" wrapText="1"/>
    </xf>
    <xf numFmtId="4" fontId="10" fillId="4" borderId="0" xfId="0" applyNumberFormat="1" applyFont="1" applyFill="1"/>
    <xf numFmtId="0" fontId="8" fillId="4" borderId="20" xfId="0" applyFont="1" applyFill="1" applyBorder="1" applyAlignment="1">
      <alignment horizontal="left" vertical="center" wrapText="1"/>
    </xf>
    <xf numFmtId="0" fontId="8" fillId="4" borderId="21" xfId="5" applyFont="1" applyFill="1" applyBorder="1" applyAlignment="1">
      <alignment vertical="center" wrapText="1"/>
    </xf>
    <xf numFmtId="0" fontId="8" fillId="4" borderId="21" xfId="0" applyFont="1" applyFill="1" applyBorder="1" applyAlignment="1">
      <alignment vertical="top" wrapText="1"/>
    </xf>
    <xf numFmtId="0" fontId="11" fillId="5" borderId="21" xfId="0" applyFont="1" applyFill="1" applyBorder="1" applyAlignment="1">
      <alignment horizontal="center" vertical="center" wrapText="1"/>
    </xf>
    <xf numFmtId="0" fontId="8" fillId="4" borderId="31" xfId="0" applyFont="1" applyFill="1" applyBorder="1" applyAlignment="1">
      <alignment horizontal="left" vertical="top" wrapText="1"/>
    </xf>
    <xf numFmtId="0" fontId="8" fillId="4" borderId="32" xfId="0" applyFont="1" applyFill="1" applyBorder="1" applyAlignment="1">
      <alignment horizontal="left" vertical="top" wrapText="1"/>
    </xf>
    <xf numFmtId="0" fontId="8" fillId="4" borderId="0" xfId="0" applyFont="1" applyFill="1" applyAlignment="1">
      <alignment horizontal="left" vertical="top" wrapText="1"/>
    </xf>
    <xf numFmtId="0" fontId="8" fillId="4" borderId="0" xfId="5" applyFont="1" applyFill="1" applyAlignment="1">
      <alignment vertical="center" wrapText="1"/>
    </xf>
    <xf numFmtId="9" fontId="8" fillId="4" borderId="0" xfId="0" applyNumberFormat="1" applyFont="1" applyFill="1" applyAlignment="1">
      <alignment horizontal="center" vertical="center" wrapText="1"/>
    </xf>
    <xf numFmtId="166" fontId="8" fillId="4" borderId="0" xfId="0" applyNumberFormat="1" applyFont="1" applyFill="1" applyAlignment="1">
      <alignment horizontal="center" vertical="top" wrapText="1"/>
    </xf>
    <xf numFmtId="0" fontId="8" fillId="4" borderId="0" xfId="0" applyFont="1" applyFill="1" applyAlignment="1">
      <alignment horizontal="center" vertical="top" wrapText="1"/>
    </xf>
    <xf numFmtId="9" fontId="8" fillId="4" borderId="0" xfId="0" applyNumberFormat="1" applyFont="1" applyFill="1" applyAlignment="1">
      <alignment horizontal="left" vertical="center" wrapText="1"/>
    </xf>
    <xf numFmtId="4" fontId="8" fillId="4" borderId="0" xfId="0" applyNumberFormat="1" applyFont="1" applyFill="1" applyAlignment="1">
      <alignment horizontal="center" vertical="top" wrapText="1"/>
    </xf>
    <xf numFmtId="0" fontId="8" fillId="2" borderId="0" xfId="0" applyFont="1" applyFill="1" applyAlignment="1">
      <alignment vertical="center" wrapText="1"/>
    </xf>
    <xf numFmtId="0" fontId="12" fillId="4" borderId="0" xfId="3" applyFont="1" applyFill="1"/>
    <xf numFmtId="0" fontId="8" fillId="4" borderId="0" xfId="3" applyFont="1" applyFill="1" applyAlignment="1">
      <alignment horizontal="center"/>
    </xf>
    <xf numFmtId="0" fontId="12" fillId="4" borderId="0" xfId="3" applyFont="1" applyFill="1" applyAlignment="1">
      <alignment vertical="center"/>
    </xf>
    <xf numFmtId="9" fontId="11" fillId="5" borderId="7" xfId="2" applyFont="1" applyFill="1" applyBorder="1" applyAlignment="1">
      <alignment horizontal="center" vertical="center" wrapText="1"/>
    </xf>
    <xf numFmtId="9" fontId="11" fillId="5" borderId="7" xfId="2" applyFont="1" applyFill="1" applyBorder="1" applyAlignment="1">
      <alignment horizontal="center" vertical="center"/>
    </xf>
    <xf numFmtId="43" fontId="12" fillId="4" borderId="8" xfId="1" applyFont="1" applyFill="1" applyBorder="1"/>
    <xf numFmtId="0" fontId="8" fillId="4" borderId="5" xfId="3" applyFont="1" applyFill="1" applyBorder="1" applyAlignment="1">
      <alignment horizontal="left"/>
    </xf>
    <xf numFmtId="4" fontId="13" fillId="4" borderId="2" xfId="3" applyNumberFormat="1" applyFont="1" applyFill="1" applyBorder="1"/>
    <xf numFmtId="10" fontId="8" fillId="4" borderId="2" xfId="2" applyNumberFormat="1" applyFont="1" applyFill="1" applyBorder="1" applyAlignment="1">
      <alignment horizontal="center"/>
    </xf>
    <xf numFmtId="4" fontId="13" fillId="4" borderId="8" xfId="3" applyNumberFormat="1" applyFont="1" applyFill="1" applyBorder="1"/>
    <xf numFmtId="10" fontId="8" fillId="4" borderId="9" xfId="2" applyNumberFormat="1" applyFont="1" applyFill="1" applyBorder="1" applyAlignment="1">
      <alignment horizontal="center"/>
    </xf>
    <xf numFmtId="4" fontId="12" fillId="4" borderId="0" xfId="3" applyNumberFormat="1" applyFont="1" applyFill="1"/>
    <xf numFmtId="9" fontId="12" fillId="4" borderId="8" xfId="2" applyFont="1" applyFill="1" applyBorder="1" applyAlignment="1">
      <alignment horizontal="center"/>
    </xf>
    <xf numFmtId="9" fontId="12" fillId="4" borderId="9" xfId="2" applyFont="1" applyFill="1" applyBorder="1" applyAlignment="1">
      <alignment horizontal="center"/>
    </xf>
    <xf numFmtId="4" fontId="12" fillId="4" borderId="9" xfId="3" applyNumberFormat="1" applyFont="1" applyFill="1" applyBorder="1"/>
    <xf numFmtId="4" fontId="14" fillId="4" borderId="8" xfId="3" applyNumberFormat="1" applyFont="1" applyFill="1" applyBorder="1"/>
    <xf numFmtId="10" fontId="12" fillId="4" borderId="9" xfId="2" applyNumberFormat="1" applyFont="1" applyFill="1" applyBorder="1" applyAlignment="1">
      <alignment horizontal="center"/>
    </xf>
    <xf numFmtId="0" fontId="13" fillId="4" borderId="8" xfId="3" quotePrefix="1" applyFont="1" applyFill="1" applyBorder="1" applyAlignment="1">
      <alignment horizontal="left"/>
    </xf>
    <xf numFmtId="4" fontId="8" fillId="4" borderId="8" xfId="3" applyNumberFormat="1" applyFont="1" applyFill="1" applyBorder="1"/>
    <xf numFmtId="4" fontId="8" fillId="4" borderId="9" xfId="3" applyNumberFormat="1" applyFont="1" applyFill="1" applyBorder="1"/>
    <xf numFmtId="43" fontId="12" fillId="4" borderId="0" xfId="1" applyFont="1" applyFill="1"/>
    <xf numFmtId="9" fontId="12" fillId="4" borderId="0" xfId="2" applyFont="1" applyFill="1"/>
    <xf numFmtId="0" fontId="12" fillId="4" borderId="8" xfId="3" quotePrefix="1" applyFont="1" applyFill="1" applyBorder="1" applyAlignment="1">
      <alignment horizontal="left"/>
    </xf>
    <xf numFmtId="4" fontId="12" fillId="4" borderId="9" xfId="3" quotePrefix="1" applyNumberFormat="1" applyFont="1" applyFill="1" applyBorder="1" applyAlignment="1">
      <alignment horizontal="right"/>
    </xf>
    <xf numFmtId="4" fontId="12" fillId="4" borderId="8" xfId="3" applyNumberFormat="1" applyFont="1" applyFill="1" applyBorder="1"/>
    <xf numFmtId="43" fontId="12" fillId="4" borderId="8" xfId="1" applyFont="1" applyFill="1" applyBorder="1" applyAlignment="1">
      <alignment horizontal="left"/>
    </xf>
    <xf numFmtId="43" fontId="12" fillId="4" borderId="8" xfId="1" applyFont="1" applyFill="1" applyBorder="1" applyAlignment="1">
      <alignment wrapText="1"/>
    </xf>
    <xf numFmtId="4" fontId="14" fillId="4" borderId="8" xfId="3" applyNumberFormat="1" applyFont="1" applyFill="1" applyBorder="1" applyAlignment="1">
      <alignment horizontal="right"/>
    </xf>
    <xf numFmtId="9" fontId="8" fillId="4" borderId="9" xfId="2" applyFont="1" applyFill="1" applyBorder="1" applyAlignment="1">
      <alignment horizontal="center"/>
    </xf>
    <xf numFmtId="4" fontId="8" fillId="4" borderId="9" xfId="3" quotePrefix="1" applyNumberFormat="1" applyFont="1" applyFill="1" applyBorder="1" applyAlignment="1">
      <alignment horizontal="right"/>
    </xf>
    <xf numFmtId="43" fontId="13" fillId="4" borderId="8" xfId="1" applyFont="1" applyFill="1" applyBorder="1"/>
    <xf numFmtId="4" fontId="16" fillId="4" borderId="8" xfId="3" applyNumberFormat="1" applyFont="1" applyFill="1" applyBorder="1"/>
    <xf numFmtId="0" fontId="8" fillId="4" borderId="0" xfId="3" applyFont="1" applyFill="1"/>
    <xf numFmtId="4" fontId="14" fillId="4" borderId="9" xfId="3" quotePrefix="1" applyNumberFormat="1" applyFont="1" applyFill="1" applyBorder="1" applyAlignment="1">
      <alignment horizontal="right"/>
    </xf>
    <xf numFmtId="4" fontId="12" fillId="4" borderId="8" xfId="1" applyNumberFormat="1" applyFont="1" applyFill="1" applyBorder="1"/>
    <xf numFmtId="4" fontId="17" fillId="4" borderId="9" xfId="3" quotePrefix="1" applyNumberFormat="1" applyFont="1" applyFill="1" applyBorder="1" applyAlignment="1">
      <alignment horizontal="right"/>
    </xf>
    <xf numFmtId="4" fontId="8" fillId="4" borderId="8" xfId="1" applyNumberFormat="1" applyFont="1" applyFill="1" applyBorder="1"/>
    <xf numFmtId="0" fontId="12" fillId="4" borderId="9" xfId="3" applyFont="1" applyFill="1" applyBorder="1"/>
    <xf numFmtId="4" fontId="14" fillId="4" borderId="9" xfId="3" applyNumberFormat="1" applyFont="1" applyFill="1" applyBorder="1"/>
    <xf numFmtId="164" fontId="12" fillId="4" borderId="0" xfId="3" applyNumberFormat="1" applyFont="1" applyFill="1"/>
    <xf numFmtId="43" fontId="18" fillId="4" borderId="9" xfId="1" applyFont="1" applyFill="1" applyBorder="1"/>
    <xf numFmtId="9" fontId="8" fillId="4" borderId="0" xfId="2" applyFont="1" applyFill="1" applyBorder="1"/>
    <xf numFmtId="43" fontId="12" fillId="4" borderId="9" xfId="1" applyFont="1" applyFill="1" applyBorder="1"/>
    <xf numFmtId="4" fontId="12" fillId="4" borderId="9" xfId="1" applyNumberFormat="1" applyFont="1" applyFill="1" applyBorder="1"/>
    <xf numFmtId="4" fontId="8" fillId="4" borderId="0" xfId="3" applyNumberFormat="1" applyFont="1" applyFill="1"/>
    <xf numFmtId="43" fontId="8" fillId="4" borderId="9" xfId="1" applyFont="1" applyFill="1" applyBorder="1"/>
    <xf numFmtId="4" fontId="14" fillId="4" borderId="9" xfId="1" applyNumberFormat="1" applyFont="1" applyFill="1" applyBorder="1"/>
    <xf numFmtId="4" fontId="12" fillId="4" borderId="0" xfId="3" applyNumberFormat="1" applyFont="1" applyFill="1" applyAlignment="1">
      <alignment horizontal="center"/>
    </xf>
    <xf numFmtId="4" fontId="14" fillId="4" borderId="0" xfId="3" applyNumberFormat="1" applyFont="1" applyFill="1"/>
    <xf numFmtId="10" fontId="14" fillId="4" borderId="0" xfId="3" applyNumberFormat="1" applyFont="1" applyFill="1" applyAlignment="1">
      <alignment horizontal="center"/>
    </xf>
    <xf numFmtId="4" fontId="12" fillId="4" borderId="10" xfId="3" applyNumberFormat="1" applyFont="1" applyFill="1" applyBorder="1"/>
    <xf numFmtId="4" fontId="12" fillId="4" borderId="10" xfId="3" applyNumberFormat="1" applyFont="1" applyFill="1" applyBorder="1" applyAlignment="1">
      <alignment horizontal="center"/>
    </xf>
    <xf numFmtId="4" fontId="14" fillId="4" borderId="10" xfId="3" applyNumberFormat="1" applyFont="1" applyFill="1" applyBorder="1"/>
    <xf numFmtId="0" fontId="19" fillId="4" borderId="0" xfId="0" applyFont="1" applyFill="1"/>
    <xf numFmtId="0" fontId="18" fillId="4" borderId="1" xfId="0" applyFont="1" applyFill="1" applyBorder="1" applyAlignment="1">
      <alignment horizontal="center"/>
    </xf>
    <xf numFmtId="4" fontId="11" fillId="5" borderId="7" xfId="0" applyNumberFormat="1" applyFont="1" applyFill="1" applyBorder="1" applyAlignment="1">
      <alignment horizontal="center" vertical="center" wrapText="1"/>
    </xf>
    <xf numFmtId="4" fontId="11" fillId="4" borderId="4" xfId="0" applyNumberFormat="1" applyFont="1" applyFill="1" applyBorder="1" applyAlignment="1">
      <alignment horizontal="center" vertical="center" wrapText="1"/>
    </xf>
    <xf numFmtId="4" fontId="11" fillId="4" borderId="7" xfId="0" applyNumberFormat="1" applyFont="1" applyFill="1" applyBorder="1" applyAlignment="1">
      <alignment horizontal="center" vertical="center" wrapText="1"/>
    </xf>
    <xf numFmtId="0" fontId="11" fillId="4" borderId="0" xfId="0" applyFont="1" applyFill="1" applyAlignment="1">
      <alignment horizontal="center" vertical="center" wrapText="1"/>
    </xf>
    <xf numFmtId="0" fontId="18" fillId="4" borderId="5" xfId="0" applyFont="1" applyFill="1" applyBorder="1" applyAlignment="1">
      <alignment horizontal="left" wrapText="1"/>
    </xf>
    <xf numFmtId="0" fontId="18" fillId="4" borderId="2" xfId="0" applyFont="1" applyFill="1" applyBorder="1" applyAlignment="1">
      <alignment horizontal="left" wrapText="1"/>
    </xf>
    <xf numFmtId="4" fontId="18" fillId="4" borderId="11" xfId="0" applyNumberFormat="1" applyFont="1" applyFill="1" applyBorder="1" applyAlignment="1">
      <alignment horizontal="right" wrapText="1"/>
    </xf>
    <xf numFmtId="4" fontId="18" fillId="4" borderId="2" xfId="0" applyNumberFormat="1" applyFont="1" applyFill="1" applyBorder="1" applyAlignment="1">
      <alignment horizontal="right" wrapText="1"/>
    </xf>
    <xf numFmtId="4" fontId="18" fillId="4" borderId="5" xfId="0" applyNumberFormat="1" applyFont="1" applyFill="1" applyBorder="1" applyAlignment="1">
      <alignment horizontal="right" wrapText="1"/>
    </xf>
    <xf numFmtId="4" fontId="18" fillId="4" borderId="12" xfId="0" applyNumberFormat="1" applyFont="1" applyFill="1" applyBorder="1" applyAlignment="1">
      <alignment horizontal="right" wrapText="1"/>
    </xf>
    <xf numFmtId="4" fontId="18" fillId="4" borderId="9" xfId="0" applyNumberFormat="1" applyFont="1" applyFill="1" applyBorder="1" applyAlignment="1">
      <alignment horizontal="right" wrapText="1"/>
    </xf>
    <xf numFmtId="0" fontId="18" fillId="4" borderId="0" xfId="0" applyFont="1" applyFill="1" applyAlignment="1">
      <alignment horizontal="right" wrapText="1"/>
    </xf>
    <xf numFmtId="0" fontId="18" fillId="4" borderId="8" xfId="0" applyFont="1" applyFill="1" applyBorder="1" applyAlignment="1">
      <alignment horizontal="left" wrapText="1"/>
    </xf>
    <xf numFmtId="0" fontId="18" fillId="4" borderId="9" xfId="0" applyFont="1" applyFill="1" applyBorder="1" applyAlignment="1">
      <alignment horizontal="left" wrapText="1"/>
    </xf>
    <xf numFmtId="4" fontId="18" fillId="4" borderId="8" xfId="0" applyNumberFormat="1" applyFont="1" applyFill="1" applyBorder="1" applyAlignment="1">
      <alignment horizontal="right" wrapText="1"/>
    </xf>
    <xf numFmtId="0" fontId="18" fillId="4" borderId="8" xfId="0" applyFont="1" applyFill="1" applyBorder="1" applyAlignment="1">
      <alignment horizontal="left"/>
    </xf>
    <xf numFmtId="0" fontId="18" fillId="4" borderId="9" xfId="0" applyFont="1" applyFill="1" applyBorder="1" applyAlignment="1">
      <alignment horizontal="left"/>
    </xf>
    <xf numFmtId="39" fontId="18" fillId="4" borderId="8" xfId="4" applyNumberFormat="1" applyFont="1" applyFill="1" applyBorder="1" applyAlignment="1" applyProtection="1">
      <alignment horizontal="left"/>
      <protection locked="0"/>
    </xf>
    <xf numFmtId="39" fontId="18" fillId="4" borderId="9" xfId="4" applyNumberFormat="1" applyFont="1" applyFill="1" applyBorder="1" applyAlignment="1" applyProtection="1">
      <alignment horizontal="left" wrapText="1"/>
      <protection locked="0"/>
    </xf>
    <xf numFmtId="43" fontId="19" fillId="4" borderId="8" xfId="1" applyFont="1" applyFill="1" applyBorder="1" applyAlignment="1">
      <alignment horizontal="left"/>
    </xf>
    <xf numFmtId="43" fontId="19" fillId="4" borderId="9" xfId="1" applyFont="1" applyFill="1" applyBorder="1" applyAlignment="1">
      <alignment horizontal="left" wrapText="1"/>
    </xf>
    <xf numFmtId="4" fontId="19" fillId="4" borderId="12" xfId="0" applyNumberFormat="1" applyFont="1" applyFill="1" applyBorder="1" applyAlignment="1">
      <alignment horizontal="right"/>
    </xf>
    <xf numFmtId="4" fontId="19" fillId="4" borderId="9" xfId="0" applyNumberFormat="1" applyFont="1" applyFill="1" applyBorder="1" applyAlignment="1">
      <alignment horizontal="right"/>
    </xf>
    <xf numFmtId="4" fontId="19" fillId="4" borderId="8" xfId="0" applyNumberFormat="1" applyFont="1" applyFill="1" applyBorder="1" applyAlignment="1">
      <alignment horizontal="right"/>
    </xf>
    <xf numFmtId="0" fontId="19" fillId="4" borderId="0" xfId="0" applyFont="1" applyFill="1" applyAlignment="1">
      <alignment horizontal="right"/>
    </xf>
    <xf numFmtId="43" fontId="18" fillId="4" borderId="9" xfId="1" applyFont="1" applyFill="1" applyBorder="1" applyAlignment="1">
      <alignment horizontal="left" wrapText="1"/>
    </xf>
    <xf numFmtId="4" fontId="18" fillId="4" borderId="12" xfId="0" applyNumberFormat="1" applyFont="1" applyFill="1" applyBorder="1" applyAlignment="1">
      <alignment horizontal="right"/>
    </xf>
    <xf numFmtId="4" fontId="18" fillId="4" borderId="9" xfId="0" applyNumberFormat="1" applyFont="1" applyFill="1" applyBorder="1" applyAlignment="1">
      <alignment horizontal="right"/>
    </xf>
    <xf numFmtId="4" fontId="18" fillId="4" borderId="8" xfId="0" applyNumberFormat="1" applyFont="1" applyFill="1" applyBorder="1" applyAlignment="1">
      <alignment horizontal="right"/>
    </xf>
    <xf numFmtId="0" fontId="19" fillId="4" borderId="8" xfId="0" applyFont="1" applyFill="1" applyBorder="1" applyAlignment="1">
      <alignment horizontal="left"/>
    </xf>
    <xf numFmtId="0" fontId="19" fillId="4" borderId="9" xfId="0" applyFont="1" applyFill="1" applyBorder="1" applyAlignment="1">
      <alignment horizontal="left"/>
    </xf>
    <xf numFmtId="43" fontId="18" fillId="4" borderId="8" xfId="1" applyFont="1" applyFill="1" applyBorder="1" applyAlignment="1" applyProtection="1">
      <alignment horizontal="left"/>
      <protection locked="0"/>
    </xf>
    <xf numFmtId="43" fontId="18" fillId="4" borderId="8" xfId="1" applyFont="1" applyFill="1" applyBorder="1" applyAlignment="1">
      <alignment horizontal="left"/>
    </xf>
    <xf numFmtId="2" fontId="19" fillId="4" borderId="8" xfId="0" applyNumberFormat="1" applyFont="1" applyFill="1" applyBorder="1" applyAlignment="1">
      <alignment horizontal="left"/>
    </xf>
    <xf numFmtId="0" fontId="18" fillId="4" borderId="8" xfId="0" applyFont="1" applyFill="1" applyBorder="1" applyAlignment="1">
      <alignment horizontal="left" vertical="top"/>
    </xf>
    <xf numFmtId="39" fontId="18" fillId="4" borderId="8" xfId="4" applyNumberFormat="1" applyFont="1" applyFill="1" applyBorder="1" applyAlignment="1">
      <alignment horizontal="left"/>
    </xf>
    <xf numFmtId="39" fontId="19" fillId="4" borderId="8" xfId="4" applyNumberFormat="1" applyFont="1" applyFill="1" applyBorder="1" applyAlignment="1" applyProtection="1">
      <alignment horizontal="left"/>
      <protection locked="0"/>
    </xf>
    <xf numFmtId="0" fontId="19" fillId="4" borderId="9" xfId="0" applyFont="1" applyFill="1" applyBorder="1" applyAlignment="1">
      <alignment horizontal="right"/>
    </xf>
    <xf numFmtId="39" fontId="19" fillId="4" borderId="13" xfId="4" applyNumberFormat="1" applyFont="1" applyFill="1" applyBorder="1" applyAlignment="1" applyProtection="1">
      <alignment horizontal="left"/>
      <protection locked="0"/>
    </xf>
    <xf numFmtId="43" fontId="19" fillId="4" borderId="6" xfId="1" applyFont="1" applyFill="1" applyBorder="1" applyAlignment="1">
      <alignment horizontal="left" wrapText="1"/>
    </xf>
    <xf numFmtId="4" fontId="19" fillId="4" borderId="14" xfId="0" applyNumberFormat="1" applyFont="1" applyFill="1" applyBorder="1" applyAlignment="1">
      <alignment horizontal="right"/>
    </xf>
    <xf numFmtId="4" fontId="19" fillId="4" borderId="6" xfId="0" applyNumberFormat="1" applyFont="1" applyFill="1" applyBorder="1" applyAlignment="1">
      <alignment horizontal="right"/>
    </xf>
    <xf numFmtId="4" fontId="19" fillId="4" borderId="13" xfId="0" applyNumberFormat="1" applyFont="1" applyFill="1" applyBorder="1" applyAlignment="1">
      <alignment horizontal="right"/>
    </xf>
    <xf numFmtId="2" fontId="18" fillId="4" borderId="8" xfId="0" applyNumberFormat="1" applyFont="1" applyFill="1" applyBorder="1" applyAlignment="1">
      <alignment horizontal="left"/>
    </xf>
    <xf numFmtId="0" fontId="19" fillId="4" borderId="13" xfId="0" applyFont="1" applyFill="1" applyBorder="1" applyAlignment="1">
      <alignment horizontal="left"/>
    </xf>
    <xf numFmtId="39" fontId="19" fillId="4" borderId="8" xfId="4" applyNumberFormat="1" applyFont="1" applyFill="1" applyBorder="1" applyAlignment="1">
      <alignment horizontal="left"/>
    </xf>
    <xf numFmtId="0" fontId="19" fillId="4" borderId="6" xfId="0" applyFont="1" applyFill="1" applyBorder="1" applyAlignment="1">
      <alignment horizontal="left"/>
    </xf>
    <xf numFmtId="2" fontId="19" fillId="4" borderId="13" xfId="0" applyNumberFormat="1" applyFont="1" applyFill="1" applyBorder="1" applyAlignment="1">
      <alignment horizontal="left"/>
    </xf>
    <xf numFmtId="1" fontId="18" fillId="4" borderId="8" xfId="0" applyNumberFormat="1" applyFont="1" applyFill="1" applyBorder="1" applyAlignment="1">
      <alignment horizontal="left"/>
    </xf>
    <xf numFmtId="37" fontId="19" fillId="4" borderId="8" xfId="4" applyFont="1" applyFill="1" applyBorder="1" applyAlignment="1">
      <alignment horizontal="left"/>
    </xf>
    <xf numFmtId="37" fontId="18" fillId="4" borderId="8" xfId="4" applyFont="1" applyFill="1" applyBorder="1" applyAlignment="1">
      <alignment horizontal="left"/>
    </xf>
    <xf numFmtId="39" fontId="20" fillId="4" borderId="9" xfId="4" applyNumberFormat="1" applyFont="1" applyFill="1" applyBorder="1" applyAlignment="1" applyProtection="1">
      <alignment horizontal="left" wrapText="1"/>
      <protection locked="0"/>
    </xf>
    <xf numFmtId="37" fontId="19" fillId="4" borderId="9" xfId="4" applyFont="1" applyFill="1" applyBorder="1" applyAlignment="1">
      <alignment horizontal="left"/>
    </xf>
    <xf numFmtId="43" fontId="19" fillId="4" borderId="9" xfId="1" applyFont="1" applyFill="1" applyBorder="1" applyAlignment="1">
      <alignment horizontal="left" vertical="top" wrapText="1"/>
    </xf>
    <xf numFmtId="4" fontId="18" fillId="4" borderId="0" xfId="0" applyNumberFormat="1" applyFont="1" applyFill="1" applyAlignment="1">
      <alignment horizontal="right"/>
    </xf>
    <xf numFmtId="0" fontId="19" fillId="4" borderId="9" xfId="0" applyFont="1" applyFill="1" applyBorder="1"/>
    <xf numFmtId="4" fontId="19" fillId="4" borderId="9" xfId="0" applyNumberFormat="1" applyFont="1" applyFill="1" applyBorder="1"/>
    <xf numFmtId="4" fontId="19" fillId="4" borderId="0" xfId="0" applyNumberFormat="1" applyFont="1" applyFill="1"/>
    <xf numFmtId="165" fontId="18" fillId="4" borderId="9" xfId="1" applyNumberFormat="1" applyFont="1" applyFill="1" applyBorder="1" applyAlignment="1">
      <alignment horizontal="left" wrapText="1"/>
    </xf>
    <xf numFmtId="37" fontId="11" fillId="5" borderId="3" xfId="4" applyFont="1" applyFill="1" applyBorder="1" applyAlignment="1">
      <alignment horizontal="center" vertical="center" wrapText="1"/>
    </xf>
    <xf numFmtId="37" fontId="11" fillId="5" borderId="7" xfId="4" applyFont="1" applyFill="1" applyBorder="1" applyAlignment="1">
      <alignment horizontal="center" vertical="center" wrapText="1"/>
    </xf>
    <xf numFmtId="170" fontId="11" fillId="5" borderId="4" xfId="4" applyNumberFormat="1" applyFont="1" applyFill="1" applyBorder="1" applyAlignment="1">
      <alignment horizontal="center" vertical="center" wrapText="1"/>
    </xf>
    <xf numFmtId="170" fontId="11" fillId="5" borderId="33" xfId="0" applyNumberFormat="1" applyFont="1" applyFill="1" applyBorder="1" applyAlignment="1" applyProtection="1">
      <alignment horizontal="center" vertical="center" wrapText="1"/>
      <protection locked="0"/>
    </xf>
    <xf numFmtId="40" fontId="11" fillId="5" borderId="34" xfId="0" applyNumberFormat="1" applyFont="1" applyFill="1" applyBorder="1" applyAlignment="1" applyProtection="1">
      <alignment horizontal="center" vertical="center" wrapText="1"/>
      <protection locked="0"/>
    </xf>
    <xf numFmtId="4" fontId="11" fillId="5" borderId="34" xfId="4" applyNumberFormat="1" applyFont="1" applyFill="1" applyBorder="1" applyAlignment="1">
      <alignment horizontal="center" vertical="center" wrapText="1"/>
    </xf>
    <xf numFmtId="4" fontId="11" fillId="5" borderId="35" xfId="4" applyNumberFormat="1" applyFont="1" applyFill="1" applyBorder="1" applyAlignment="1">
      <alignment horizontal="center" vertical="center" wrapText="1"/>
    </xf>
    <xf numFmtId="4" fontId="11" fillId="5" borderId="7" xfId="4" applyNumberFormat="1" applyFont="1" applyFill="1" applyBorder="1" applyAlignment="1">
      <alignment horizontal="center" vertical="center" wrapText="1"/>
    </xf>
    <xf numFmtId="4" fontId="11" fillId="5" borderId="33" xfId="4" applyNumberFormat="1" applyFont="1" applyFill="1" applyBorder="1" applyAlignment="1">
      <alignment horizontal="center" vertical="center" wrapText="1"/>
    </xf>
    <xf numFmtId="170" fontId="11" fillId="5" borderId="36" xfId="4" applyNumberFormat="1" applyFont="1" applyFill="1" applyBorder="1" applyAlignment="1">
      <alignment horizontal="center" vertical="center" wrapText="1"/>
    </xf>
    <xf numFmtId="0" fontId="11" fillId="5" borderId="7" xfId="4" applyNumberFormat="1" applyFont="1" applyFill="1" applyBorder="1" applyAlignment="1">
      <alignment horizontal="center" vertical="center" wrapText="1"/>
    </xf>
    <xf numFmtId="0" fontId="11" fillId="5" borderId="33" xfId="4" applyNumberFormat="1" applyFont="1" applyFill="1" applyBorder="1" applyAlignment="1">
      <alignment horizontal="center" vertical="center" wrapText="1"/>
    </xf>
    <xf numFmtId="0" fontId="11" fillId="5" borderId="34" xfId="4" applyNumberFormat="1" applyFont="1" applyFill="1" applyBorder="1" applyAlignment="1">
      <alignment horizontal="center" vertical="center" wrapText="1"/>
    </xf>
    <xf numFmtId="0" fontId="11" fillId="5" borderId="35" xfId="4" applyNumberFormat="1" applyFont="1" applyFill="1" applyBorder="1" applyAlignment="1">
      <alignment horizontal="center" vertical="center" wrapText="1"/>
    </xf>
    <xf numFmtId="170" fontId="11" fillId="5" borderId="7" xfId="4" applyNumberFormat="1" applyFont="1" applyFill="1" applyBorder="1" applyAlignment="1">
      <alignment horizontal="center" vertical="center" wrapText="1"/>
    </xf>
    <xf numFmtId="170" fontId="11" fillId="5" borderId="15" xfId="4" applyNumberFormat="1" applyFont="1" applyFill="1" applyBorder="1" applyAlignment="1">
      <alignment horizontal="center" vertical="center" wrapText="1"/>
    </xf>
    <xf numFmtId="10" fontId="11" fillId="5" borderId="43" xfId="2" applyNumberFormat="1" applyFont="1" applyFill="1" applyBorder="1" applyAlignment="1">
      <alignment horizontal="center" vertical="center"/>
    </xf>
    <xf numFmtId="43" fontId="12" fillId="4" borderId="44" xfId="1" applyFont="1" applyFill="1" applyBorder="1"/>
    <xf numFmtId="10" fontId="8" fillId="4" borderId="45" xfId="2" applyNumberFormat="1" applyFont="1" applyFill="1" applyBorder="1" applyAlignment="1">
      <alignment horizontal="center"/>
    </xf>
    <xf numFmtId="9" fontId="12" fillId="4" borderId="44" xfId="2" applyFont="1" applyFill="1" applyBorder="1" applyAlignment="1">
      <alignment horizontal="center"/>
    </xf>
    <xf numFmtId="10" fontId="12" fillId="4" borderId="45" xfId="2" applyNumberFormat="1" applyFont="1" applyFill="1" applyBorder="1" applyAlignment="1">
      <alignment horizontal="center"/>
    </xf>
    <xf numFmtId="43" fontId="8" fillId="4" borderId="44" xfId="1" applyFont="1" applyFill="1" applyBorder="1"/>
    <xf numFmtId="43" fontId="13" fillId="4" borderId="44" xfId="1" applyFont="1" applyFill="1" applyBorder="1"/>
    <xf numFmtId="0" fontId="12" fillId="4" borderId="44" xfId="3" applyFont="1" applyFill="1" applyBorder="1"/>
    <xf numFmtId="0" fontId="12" fillId="4" borderId="46" xfId="3" applyFont="1" applyFill="1" applyBorder="1"/>
    <xf numFmtId="43" fontId="12" fillId="4" borderId="47" xfId="1" applyFont="1" applyFill="1" applyBorder="1"/>
    <xf numFmtId="4" fontId="12" fillId="4" borderId="47" xfId="3" quotePrefix="1" applyNumberFormat="1" applyFont="1" applyFill="1" applyBorder="1" applyAlignment="1">
      <alignment horizontal="right"/>
    </xf>
    <xf numFmtId="10" fontId="12" fillId="4" borderId="47" xfId="2" applyNumberFormat="1" applyFont="1" applyFill="1" applyBorder="1" applyAlignment="1">
      <alignment horizontal="center"/>
    </xf>
    <xf numFmtId="4" fontId="14" fillId="4" borderId="47" xfId="3" applyNumberFormat="1" applyFont="1" applyFill="1" applyBorder="1"/>
    <xf numFmtId="10" fontId="12" fillId="4" borderId="32" xfId="2" applyNumberFormat="1" applyFont="1" applyFill="1" applyBorder="1" applyAlignment="1">
      <alignment horizontal="center"/>
    </xf>
    <xf numFmtId="0" fontId="8" fillId="4" borderId="48" xfId="0" applyFont="1" applyFill="1" applyBorder="1" applyAlignment="1">
      <alignment horizontal="left" vertical="top" wrapText="1"/>
    </xf>
    <xf numFmtId="1" fontId="8" fillId="4" borderId="25" xfId="0" applyNumberFormat="1" applyFont="1" applyFill="1" applyBorder="1" applyAlignment="1">
      <alignment horizontal="left" vertical="center" wrapText="1"/>
    </xf>
    <xf numFmtId="0" fontId="11" fillId="5" borderId="25" xfId="0" applyFont="1" applyFill="1" applyBorder="1" applyAlignment="1">
      <alignment horizontal="center" vertical="center" wrapText="1"/>
    </xf>
    <xf numFmtId="0" fontId="11" fillId="5" borderId="38" xfId="3" applyFont="1" applyFill="1" applyBorder="1" applyAlignment="1">
      <alignment horizontal="center" vertical="center"/>
    </xf>
    <xf numFmtId="0" fontId="11" fillId="5" borderId="6" xfId="3" applyFont="1" applyFill="1" applyBorder="1" applyAlignment="1">
      <alignment horizontal="center" vertical="center"/>
    </xf>
    <xf numFmtId="0" fontId="11" fillId="5" borderId="38"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1" fillId="5" borderId="39" xfId="3" applyFont="1" applyFill="1" applyBorder="1" applyAlignment="1">
      <alignment horizontal="center" vertical="center" wrapText="1"/>
    </xf>
    <xf numFmtId="0" fontId="11" fillId="5" borderId="40" xfId="3" applyFont="1" applyFill="1" applyBorder="1" applyAlignment="1">
      <alignment horizontal="center" vertical="center" wrapText="1"/>
    </xf>
    <xf numFmtId="0" fontId="11" fillId="5" borderId="41" xfId="3" applyFont="1" applyFill="1" applyBorder="1" applyAlignment="1">
      <alignment horizontal="center" vertical="center" wrapText="1"/>
    </xf>
    <xf numFmtId="0" fontId="8" fillId="4" borderId="0" xfId="3" applyFont="1" applyFill="1" applyAlignment="1">
      <alignment horizontal="center" vertical="center" wrapText="1"/>
    </xf>
    <xf numFmtId="0" fontId="8" fillId="4" borderId="0" xfId="3" applyFont="1" applyFill="1" applyAlignment="1">
      <alignment horizontal="center" vertical="center"/>
    </xf>
    <xf numFmtId="0" fontId="11" fillId="5" borderId="37" xfId="3" applyFont="1" applyFill="1" applyBorder="1" applyAlignment="1">
      <alignment horizontal="center" vertical="center" wrapText="1"/>
    </xf>
    <xf numFmtId="0" fontId="11" fillId="5" borderId="42" xfId="3"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0" xfId="0" applyFont="1" applyFill="1" applyAlignment="1">
      <alignment horizontal="center" vertical="center"/>
    </xf>
    <xf numFmtId="0" fontId="11" fillId="5" borderId="25"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8" fillId="4" borderId="23" xfId="0" applyFont="1" applyFill="1" applyBorder="1" applyAlignment="1">
      <alignment horizontal="left" vertical="top" wrapText="1"/>
    </xf>
    <xf numFmtId="0" fontId="8" fillId="4" borderId="25" xfId="0" applyFont="1" applyFill="1" applyBorder="1" applyAlignment="1">
      <alignment horizontal="center" vertical="top" wrapText="1"/>
    </xf>
    <xf numFmtId="0" fontId="8" fillId="4" borderId="21" xfId="0" applyFont="1" applyFill="1" applyBorder="1" applyAlignment="1">
      <alignment horizontal="center" vertical="top" wrapText="1"/>
    </xf>
    <xf numFmtId="0" fontId="8" fillId="4" borderId="25" xfId="0" applyFont="1" applyFill="1" applyBorder="1" applyAlignment="1">
      <alignment horizontal="left" vertical="top" wrapText="1"/>
    </xf>
    <xf numFmtId="4" fontId="8" fillId="4" borderId="29" xfId="0" applyNumberFormat="1" applyFont="1" applyFill="1" applyBorder="1" applyAlignment="1">
      <alignment horizontal="center" vertical="top" wrapText="1"/>
    </xf>
    <xf numFmtId="4" fontId="8" fillId="4" borderId="24" xfId="0" applyNumberFormat="1" applyFont="1" applyFill="1" applyBorder="1" applyAlignment="1">
      <alignment horizontal="center" vertical="top" wrapText="1"/>
    </xf>
    <xf numFmtId="4" fontId="8" fillId="4" borderId="30" xfId="0" applyNumberFormat="1" applyFont="1" applyFill="1" applyBorder="1" applyAlignment="1">
      <alignment horizontal="center" vertical="top" wrapText="1"/>
    </xf>
    <xf numFmtId="0" fontId="11" fillId="3" borderId="23"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4" fontId="8" fillId="4" borderId="25" xfId="0" applyNumberFormat="1" applyFont="1" applyFill="1" applyBorder="1" applyAlignment="1">
      <alignment horizontal="center" vertical="top" wrapText="1"/>
    </xf>
    <xf numFmtId="0" fontId="8" fillId="4" borderId="25"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8" fillId="4" borderId="29" xfId="0" applyFont="1" applyFill="1" applyBorder="1" applyAlignment="1">
      <alignment horizontal="left" vertical="top" wrapText="1"/>
    </xf>
    <xf numFmtId="0" fontId="8" fillId="4" borderId="24" xfId="0" applyFont="1" applyFill="1" applyBorder="1" applyAlignment="1">
      <alignment horizontal="left" vertical="top" wrapText="1"/>
    </xf>
    <xf numFmtId="0" fontId="8" fillId="4" borderId="27" xfId="0" applyFont="1" applyFill="1" applyBorder="1" applyAlignment="1">
      <alignment horizontal="left" vertical="top" wrapText="1"/>
    </xf>
    <xf numFmtId="4" fontId="8" fillId="4" borderId="27" xfId="0" applyNumberFormat="1" applyFont="1" applyFill="1" applyBorder="1" applyAlignment="1">
      <alignment horizontal="center" vertical="top" wrapText="1"/>
    </xf>
    <xf numFmtId="0" fontId="8" fillId="4" borderId="25" xfId="0" applyFont="1" applyFill="1" applyBorder="1" applyAlignment="1">
      <alignment horizontal="center" vertical="center" wrapText="1"/>
    </xf>
    <xf numFmtId="0" fontId="8" fillId="4" borderId="25" xfId="5" applyFont="1" applyFill="1" applyBorder="1" applyAlignment="1">
      <alignment horizontal="center" vertical="center" wrapText="1"/>
    </xf>
    <xf numFmtId="0" fontId="8" fillId="4" borderId="26" xfId="5" applyFont="1" applyFill="1" applyBorder="1" applyAlignment="1">
      <alignment horizontal="left" vertical="center" wrapText="1"/>
    </xf>
    <xf numFmtId="0" fontId="8" fillId="4" borderId="19" xfId="0" applyFont="1" applyFill="1" applyBorder="1" applyAlignment="1">
      <alignment horizontal="left" vertical="top" wrapText="1"/>
    </xf>
    <xf numFmtId="0" fontId="8" fillId="4" borderId="0" xfId="0" applyFont="1" applyFill="1" applyAlignment="1">
      <alignment horizontal="center" vertical="center" wrapText="1"/>
    </xf>
    <xf numFmtId="0" fontId="8" fillId="4" borderId="16"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cellXfs>
  <cellStyles count="6">
    <cellStyle name="Millares" xfId="1" builtinId="3"/>
    <cellStyle name="Normal" xfId="0" builtinId="0"/>
    <cellStyle name="Normal 4" xfId="5" xr:uid="{38DE3296-9B16-472B-AF02-54B3FDFF034A}"/>
    <cellStyle name="Normal_Estiming2000ajustado" xfId="3" xr:uid="{25C0B4BE-0D28-4E88-8C9B-E71D360FAE0D}"/>
    <cellStyle name="Normal_presup2000ajustado" xfId="4" xr:uid="{0ED45678-0A08-4FFC-93B3-2B0B73878F9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895349</xdr:colOff>
      <xdr:row>4</xdr:row>
      <xdr:rowOff>73368</xdr:rowOff>
    </xdr:to>
    <xdr:pic>
      <xdr:nvPicPr>
        <xdr:cNvPr id="2" name="Imagen 1">
          <a:extLst>
            <a:ext uri="{FF2B5EF4-FFF2-40B4-BE49-F238E27FC236}">
              <a16:creationId xmlns:a16="http://schemas.microsoft.com/office/drawing/2014/main" id="{3BF26BD6-952B-4BF8-A9D7-B7DE21211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95524" cy="816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152401</xdr:colOff>
      <xdr:row>0</xdr:row>
      <xdr:rowOff>28575</xdr:rowOff>
    </xdr:from>
    <xdr:to>
      <xdr:col>1</xdr:col>
      <xdr:colOff>1543050</xdr:colOff>
      <xdr:row>4</xdr:row>
      <xdr:rowOff>111301</xdr:rowOff>
    </xdr:to>
    <xdr:pic>
      <xdr:nvPicPr>
        <xdr:cNvPr id="2" name="Imagen 1">
          <a:extLst>
            <a:ext uri="{FF2B5EF4-FFF2-40B4-BE49-F238E27FC236}">
              <a16:creationId xmlns:a16="http://schemas.microsoft.com/office/drawing/2014/main" id="{6526668E-1F6F-4ACD-9B38-0E139D643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28575"/>
          <a:ext cx="2390774" cy="768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57509</xdr:colOff>
      <xdr:row>0</xdr:row>
      <xdr:rowOff>0</xdr:rowOff>
    </xdr:from>
    <xdr:to>
      <xdr:col>2</xdr:col>
      <xdr:colOff>1695450</xdr:colOff>
      <xdr:row>4</xdr:row>
      <xdr:rowOff>128819</xdr:rowOff>
    </xdr:to>
    <xdr:pic>
      <xdr:nvPicPr>
        <xdr:cNvPr id="2" name="Imagen 1">
          <a:extLst>
            <a:ext uri="{FF2B5EF4-FFF2-40B4-BE49-F238E27FC236}">
              <a16:creationId xmlns:a16="http://schemas.microsoft.com/office/drawing/2014/main" id="{FDC3047E-A666-409A-B189-728615BFB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09" y="0"/>
          <a:ext cx="3638191" cy="1119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navarro/Documents/Presupuesto%202024/formulaci&#243;n%202024/Doc%20a%20la%20Contralor&#237;a/Presupuesto%20Inicial%202024%20(justificaci&#243;n%20d%20eingresos%20y%20egresos)%20STA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Aprobaciones/Presupuesto%20Inicial%202023-%20ajustado%20STA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navarro/Documents/Presupuesto%202024/formulaci&#243;n%202024/Copia%20de%20FORMULACION%20PRESUPUEST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4"/>
      <sheetName val="Estado de Origen y aplicación"/>
      <sheetName val="Detalle Ingresos 2024"/>
      <sheetName val="tablad e ingresos"/>
      <sheetName val="ingresos"/>
      <sheetName val="Historico ing 5 años"/>
      <sheetName val="Historico ejecución 2022-2024"/>
      <sheetName val="Hoja2"/>
      <sheetName val="Detalle Ingresos en miles"/>
      <sheetName val="Costeo SAP 2024"/>
      <sheetName val="detalle ley 8448"/>
      <sheetName val="Límite del Gasto"/>
      <sheetName val="Hoja7"/>
      <sheetName val="Egresos 2024 CC"/>
      <sheetName val="Clasificación Económica"/>
      <sheetName val="cert STAP"/>
      <sheetName val="detalle para junta"/>
      <sheetName val="Egreso por programa 23 (set)"/>
      <sheetName val="cuadros"/>
      <sheetName val="Ley 8448"/>
      <sheetName val="distribución ley 8448"/>
      <sheetName val="Proyectos"/>
      <sheetName val="Hoja6"/>
      <sheetName val="Amortización"/>
      <sheetName val="Plan Presupuesto 2024"/>
      <sheetName val="Servicios"/>
      <sheetName val="Materiales"/>
      <sheetName val="bienes duraderos"/>
      <sheetName val="Obras Urbanísticas"/>
      <sheetName val="cuadros de serv de gestión"/>
      <sheetName val="transf de capital"/>
      <sheetName val="Remuneraciones"/>
      <sheetName val="Egresos INVU SAP"/>
      <sheetName val="Hoja4"/>
      <sheetName val="ingresos y egresos pendi"/>
      <sheetName val="Egresos INVU SAP en miles"/>
      <sheetName val="composición"/>
      <sheetName val="gráfico de participación"/>
      <sheetName val="Historico de egresos 5 años"/>
      <sheetName val="Ejecución 2022-2024"/>
      <sheetName val="Hoja3"/>
      <sheetName val="Ejecución 2022-Pres 2024"/>
      <sheetName val="Variación Ingresos SAP"/>
      <sheetName val="Variación egresos sap"/>
      <sheetName val="productos"/>
      <sheetName val="Egresos 2021"/>
      <sheetName val="Recursos BANHVI"/>
      <sheetName val="Detalle de equilibrio"/>
      <sheetName val="cuadro de equilibrio"/>
      <sheetName val="Var  de egresos 2024-2023 just "/>
      <sheetName val="Variación 2023-2024"/>
      <sheetName val="Variación de ingresos 23-22"/>
      <sheetName val="Variación ingre 2024-2023"/>
      <sheetName val="superavit Banvhi"/>
      <sheetName val="Costeo SAP"/>
      <sheetName val="Resumen de Ingresos"/>
      <sheetName val="Estruc de egresos por programa"/>
      <sheetName val="Hoja11"/>
      <sheetName val="estructura"/>
      <sheetName val="Detalle de Superávit"/>
      <sheetName val="Clasificador Funcional"/>
      <sheetName val="Hoja1"/>
    </sheetNames>
    <sheetDataSet>
      <sheetData sheetId="0">
        <row r="6">
          <cell r="C6">
            <v>56736460232.996857</v>
          </cell>
        </row>
        <row r="15">
          <cell r="H15">
            <v>3443542580</v>
          </cell>
        </row>
        <row r="18">
          <cell r="D18">
            <v>3356100</v>
          </cell>
        </row>
        <row r="21">
          <cell r="D21">
            <v>86102970.995142862</v>
          </cell>
        </row>
        <row r="22">
          <cell r="D22">
            <v>625932269.99999988</v>
          </cell>
        </row>
        <row r="23">
          <cell r="I23">
            <v>260039405</v>
          </cell>
        </row>
        <row r="31">
          <cell r="B31" t="str">
            <v>Intereses sobre títulos valores de Inst.Pub.Financieras</v>
          </cell>
        </row>
        <row r="34">
          <cell r="H34">
            <v>13043550829</v>
          </cell>
        </row>
        <row r="38">
          <cell r="B38" t="str">
            <v>Intereses y comisiones sobre préstamos al Sector Privado</v>
          </cell>
        </row>
        <row r="39">
          <cell r="D39">
            <v>1125810679.9999995</v>
          </cell>
        </row>
        <row r="41">
          <cell r="H41">
            <v>6408237413</v>
          </cell>
        </row>
        <row r="47">
          <cell r="H47">
            <v>269617019</v>
          </cell>
        </row>
        <row r="51">
          <cell r="D51">
            <v>161999999.99999994</v>
          </cell>
        </row>
        <row r="52">
          <cell r="D52">
            <v>15000000</v>
          </cell>
        </row>
        <row r="53">
          <cell r="I53">
            <v>689793415.00164914</v>
          </cell>
        </row>
        <row r="58">
          <cell r="B58" t="str">
            <v>Transferencias corrientes de Instituciones públicas Financieras</v>
          </cell>
          <cell r="D58">
            <v>46990400</v>
          </cell>
        </row>
        <row r="65">
          <cell r="D65">
            <v>216000000</v>
          </cell>
        </row>
        <row r="70">
          <cell r="D70">
            <v>269281698</v>
          </cell>
        </row>
        <row r="71">
          <cell r="I71">
            <v>14208830989.000065</v>
          </cell>
        </row>
        <row r="75">
          <cell r="D75">
            <v>500000000</v>
          </cell>
        </row>
        <row r="76">
          <cell r="B76" t="str">
            <v>Transferencias de Capital de Instituciones Públicas financieras</v>
          </cell>
          <cell r="D76">
            <v>4058499070</v>
          </cell>
        </row>
        <row r="82">
          <cell r="B82" t="str">
            <v>Préstamos directos del Sector Privado</v>
          </cell>
        </row>
        <row r="83">
          <cell r="I83">
            <v>2613813301</v>
          </cell>
        </row>
        <row r="87">
          <cell r="D87">
            <v>2705000000</v>
          </cell>
        </row>
        <row r="90">
          <cell r="D90">
            <v>90000000</v>
          </cell>
        </row>
        <row r="91">
          <cell r="D91">
            <v>15000000</v>
          </cell>
        </row>
        <row r="95">
          <cell r="D95">
            <v>250000000</v>
          </cell>
        </row>
        <row r="96">
          <cell r="D96">
            <v>680000000</v>
          </cell>
        </row>
        <row r="97">
          <cell r="C97">
            <v>425000000</v>
          </cell>
        </row>
        <row r="98">
          <cell r="D98">
            <v>275000000</v>
          </cell>
        </row>
        <row r="99">
          <cell r="D99">
            <v>223931883</v>
          </cell>
        </row>
        <row r="102">
          <cell r="D102">
            <v>38457294</v>
          </cell>
        </row>
        <row r="103">
          <cell r="D103">
            <v>400000000</v>
          </cell>
        </row>
        <row r="105">
          <cell r="D105">
            <v>3587672916</v>
          </cell>
        </row>
      </sheetData>
      <sheetData sheetId="1">
        <row r="10">
          <cell r="F10">
            <v>2569812550</v>
          </cell>
        </row>
      </sheetData>
      <sheetData sheetId="2">
        <row r="36">
          <cell r="B36" t="str">
            <v>Superávit Específico Convenio FODESAF</v>
          </cell>
        </row>
      </sheetData>
      <sheetData sheetId="3"/>
      <sheetData sheetId="4"/>
      <sheetData sheetId="5"/>
      <sheetData sheetId="6"/>
      <sheetData sheetId="7"/>
      <sheetData sheetId="8"/>
      <sheetData sheetId="9">
        <row r="7">
          <cell r="O7">
            <v>1040298</v>
          </cell>
        </row>
        <row r="8">
          <cell r="O8">
            <v>2459922</v>
          </cell>
          <cell r="S8">
            <v>2209922</v>
          </cell>
        </row>
        <row r="9">
          <cell r="O9">
            <v>175000</v>
          </cell>
          <cell r="S9">
            <v>250000</v>
          </cell>
        </row>
        <row r="10">
          <cell r="O10">
            <v>125000</v>
          </cell>
        </row>
        <row r="11">
          <cell r="O11">
            <v>62500</v>
          </cell>
        </row>
        <row r="12">
          <cell r="O12">
            <v>4050000</v>
          </cell>
        </row>
        <row r="13">
          <cell r="O13">
            <v>11880000</v>
          </cell>
        </row>
        <row r="14">
          <cell r="O14">
            <v>73736.25</v>
          </cell>
        </row>
        <row r="15">
          <cell r="O15">
            <v>1837000</v>
          </cell>
        </row>
        <row r="16">
          <cell r="O16">
            <v>4148906</v>
          </cell>
        </row>
        <row r="17">
          <cell r="O17">
            <v>12500000</v>
          </cell>
        </row>
        <row r="18">
          <cell r="O18">
            <v>22355198</v>
          </cell>
        </row>
        <row r="19">
          <cell r="O19">
            <v>54831297.909999996</v>
          </cell>
        </row>
        <row r="20">
          <cell r="O20">
            <v>5000000</v>
          </cell>
        </row>
        <row r="21">
          <cell r="O21">
            <v>30000000</v>
          </cell>
        </row>
        <row r="22">
          <cell r="O22">
            <v>15879500</v>
          </cell>
        </row>
        <row r="23">
          <cell r="O23">
            <v>56595000</v>
          </cell>
        </row>
        <row r="25">
          <cell r="O25">
            <v>2087500</v>
          </cell>
        </row>
        <row r="26">
          <cell r="O26">
            <v>5750000</v>
          </cell>
        </row>
        <row r="27">
          <cell r="O27">
            <v>3000000</v>
          </cell>
        </row>
        <row r="28">
          <cell r="O28">
            <v>36850000</v>
          </cell>
        </row>
        <row r="29">
          <cell r="O29">
            <v>1250000</v>
          </cell>
        </row>
        <row r="30">
          <cell r="O30">
            <v>1000000</v>
          </cell>
        </row>
        <row r="31">
          <cell r="O31">
            <v>10205223.5</v>
          </cell>
        </row>
        <row r="32">
          <cell r="O32">
            <v>2475000</v>
          </cell>
        </row>
        <row r="33">
          <cell r="O33">
            <v>250000</v>
          </cell>
        </row>
        <row r="34">
          <cell r="O34">
            <v>250000</v>
          </cell>
        </row>
        <row r="35">
          <cell r="O35">
            <v>250000</v>
          </cell>
        </row>
        <row r="36">
          <cell r="O36">
            <v>2000000</v>
          </cell>
        </row>
        <row r="37">
          <cell r="O37">
            <v>3750000</v>
          </cell>
        </row>
        <row r="38">
          <cell r="O38">
            <v>15000000</v>
          </cell>
        </row>
        <row r="39">
          <cell r="O39">
            <v>22500000</v>
          </cell>
        </row>
        <row r="40">
          <cell r="O40">
            <v>6925000</v>
          </cell>
        </row>
        <row r="41">
          <cell r="O41">
            <v>103941185</v>
          </cell>
        </row>
        <row r="42">
          <cell r="O42">
            <v>135450000</v>
          </cell>
        </row>
        <row r="43">
          <cell r="O43">
            <v>69913725</v>
          </cell>
        </row>
        <row r="44">
          <cell r="O44">
            <v>1375000</v>
          </cell>
        </row>
      </sheetData>
      <sheetData sheetId="10"/>
      <sheetData sheetId="11"/>
      <sheetData sheetId="12"/>
      <sheetData sheetId="13">
        <row r="8">
          <cell r="C8">
            <v>4062276601</v>
          </cell>
        </row>
      </sheetData>
      <sheetData sheetId="14"/>
      <sheetData sheetId="15"/>
      <sheetData sheetId="16"/>
      <sheetData sheetId="17">
        <row r="7">
          <cell r="C7">
            <v>4062276601</v>
          </cell>
        </row>
      </sheetData>
      <sheetData sheetId="18"/>
      <sheetData sheetId="19"/>
      <sheetData sheetId="20"/>
      <sheetData sheetId="21"/>
      <sheetData sheetId="22"/>
      <sheetData sheetId="23"/>
      <sheetData sheetId="24">
        <row r="46">
          <cell r="E46">
            <v>2139.0372939999997</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4">
          <cell r="B14" t="str">
            <v>Intereses sobre Títulos Valores de Inst.Pub.Financieras</v>
          </cell>
        </row>
      </sheetData>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3"/>
      <sheetName val="Egresos 2023 por Centro de cos "/>
      <sheetName val="Egresos pro programa"/>
      <sheetName val="Detalle de superávit"/>
      <sheetName val="Egresos 2021"/>
      <sheetName val="Recursos BANHVI"/>
      <sheetName val="Límite del Gasto"/>
      <sheetName val="Detalle de equilibrio"/>
      <sheetName val="Estado de Origen y Aplicación"/>
      <sheetName val="Variación de ingresos 23-22"/>
      <sheetName val="Variación de egresos 2023-2022"/>
      <sheetName val="superavit Banvhi"/>
      <sheetName val="Costeo SAP"/>
      <sheetName val="Resumen de Ingresos"/>
      <sheetName val="Resumen de Egresos"/>
      <sheetName val="Clasificación Económica"/>
      <sheetName val="Clasificador Funcional"/>
      <sheetName val="Hoja1"/>
    </sheetNames>
    <sheetDataSet>
      <sheetData sheetId="0">
        <row r="83">
          <cell r="B83" t="str">
            <v>Superávit libre</v>
          </cell>
        </row>
        <row r="84">
          <cell r="B84"/>
        </row>
        <row r="86">
          <cell r="B86" t="str">
            <v>Superávit BANHVI</v>
          </cell>
        </row>
        <row r="87">
          <cell r="B87" t="str">
            <v>Superávit Específico Aporte Clientes BFV</v>
          </cell>
        </row>
        <row r="88">
          <cell r="B88" t="str">
            <v>Superávit Específico Ley 8785</v>
          </cell>
        </row>
        <row r="91">
          <cell r="B91" t="str">
            <v>Superávit Específico  Ley 9344</v>
          </cell>
        </row>
        <row r="92">
          <cell r="B92" t="str">
            <v>Superávit Específico  Ley 9304 (Talud Alajuelita)</v>
          </cell>
        </row>
        <row r="94">
          <cell r="B94" t="str">
            <v>Superávit Específico Ley 8448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RESUPUESTO 2024"/>
    </sheetNames>
    <sheetDataSet>
      <sheetData sheetId="0">
        <row r="4">
          <cell r="F4">
            <v>59184371</v>
          </cell>
          <cell r="G4">
            <v>75829864</v>
          </cell>
          <cell r="H4">
            <v>43720870</v>
          </cell>
          <cell r="I4">
            <v>46173100</v>
          </cell>
          <cell r="J4">
            <v>6428903</v>
          </cell>
          <cell r="K4">
            <v>27392724</v>
          </cell>
          <cell r="L4">
            <v>44117152</v>
          </cell>
          <cell r="M4">
            <v>60562682</v>
          </cell>
          <cell r="N4">
            <v>17920248</v>
          </cell>
          <cell r="O4">
            <v>54104873</v>
          </cell>
          <cell r="P4">
            <v>27749952</v>
          </cell>
          <cell r="Q4">
            <v>11609294</v>
          </cell>
          <cell r="R4">
            <v>37928831</v>
          </cell>
          <cell r="S4">
            <v>5750205</v>
          </cell>
          <cell r="T4">
            <v>21695558</v>
          </cell>
          <cell r="U4">
            <v>10446228</v>
          </cell>
          <cell r="V4">
            <v>25023861</v>
          </cell>
          <cell r="W4">
            <v>4857083</v>
          </cell>
          <cell r="X4">
            <v>31112228</v>
          </cell>
          <cell r="Z4">
            <v>44600526</v>
          </cell>
          <cell r="AA4">
            <v>42246405</v>
          </cell>
          <cell r="AB4">
            <v>83321616</v>
          </cell>
          <cell r="AC4">
            <v>74126402</v>
          </cell>
          <cell r="AD4">
            <v>36961359</v>
          </cell>
          <cell r="AF4">
            <v>18728430</v>
          </cell>
          <cell r="AG4">
            <v>104038135</v>
          </cell>
          <cell r="AH4">
            <v>47146800</v>
          </cell>
          <cell r="AI4">
            <v>65089012</v>
          </cell>
          <cell r="AK4">
            <v>313206928</v>
          </cell>
          <cell r="AM4">
            <v>1259394</v>
          </cell>
          <cell r="AN4">
            <v>1778956</v>
          </cell>
          <cell r="AO4">
            <v>2546873</v>
          </cell>
        </row>
        <row r="5">
          <cell r="F5">
            <v>2225370</v>
          </cell>
          <cell r="G5">
            <v>0</v>
          </cell>
          <cell r="H5">
            <v>0</v>
          </cell>
          <cell r="I5">
            <v>0</v>
          </cell>
          <cell r="J5">
            <v>2761270</v>
          </cell>
          <cell r="K5">
            <v>0</v>
          </cell>
          <cell r="L5">
            <v>0</v>
          </cell>
          <cell r="M5">
            <v>18477058</v>
          </cell>
          <cell r="N5">
            <v>6309311</v>
          </cell>
          <cell r="O5">
            <v>3030341</v>
          </cell>
          <cell r="P5">
            <v>4368318</v>
          </cell>
          <cell r="Q5">
            <v>0</v>
          </cell>
          <cell r="R5">
            <v>5308972</v>
          </cell>
          <cell r="S5">
            <v>0</v>
          </cell>
          <cell r="T5">
            <v>0</v>
          </cell>
          <cell r="U5">
            <v>0</v>
          </cell>
          <cell r="V5">
            <v>0</v>
          </cell>
          <cell r="W5">
            <v>0</v>
          </cell>
          <cell r="X5">
            <v>3986991</v>
          </cell>
          <cell r="Z5">
            <v>0</v>
          </cell>
          <cell r="AA5">
            <v>0</v>
          </cell>
          <cell r="AB5">
            <v>6393800</v>
          </cell>
          <cell r="AC5">
            <v>5435677</v>
          </cell>
          <cell r="AD5">
            <v>2036882</v>
          </cell>
          <cell r="AF5">
            <v>0</v>
          </cell>
          <cell r="AG5">
            <v>21437663</v>
          </cell>
          <cell r="AH5">
            <v>0</v>
          </cell>
          <cell r="AI5">
            <v>5803560</v>
          </cell>
          <cell r="AK5">
            <v>23905717</v>
          </cell>
          <cell r="AM5">
            <v>0</v>
          </cell>
          <cell r="AN5">
            <v>0</v>
          </cell>
          <cell r="AO5">
            <v>0</v>
          </cell>
        </row>
        <row r="6">
          <cell r="H6">
            <v>0</v>
          </cell>
          <cell r="I6">
            <v>813990</v>
          </cell>
          <cell r="J6">
            <v>0</v>
          </cell>
          <cell r="K6">
            <v>0</v>
          </cell>
          <cell r="L6">
            <v>0</v>
          </cell>
          <cell r="M6">
            <v>0</v>
          </cell>
          <cell r="N6">
            <v>0</v>
          </cell>
          <cell r="O6">
            <v>6948487</v>
          </cell>
          <cell r="P6">
            <v>162502</v>
          </cell>
          <cell r="Q6">
            <v>0</v>
          </cell>
          <cell r="R6">
            <v>0</v>
          </cell>
          <cell r="S6">
            <v>0</v>
          </cell>
          <cell r="T6">
            <v>0</v>
          </cell>
          <cell r="U6">
            <v>0</v>
          </cell>
          <cell r="V6">
            <v>0</v>
          </cell>
          <cell r="W6">
            <v>0</v>
          </cell>
          <cell r="X6">
            <v>0</v>
          </cell>
          <cell r="Y6">
            <v>2118952</v>
          </cell>
          <cell r="Z6">
            <v>0</v>
          </cell>
          <cell r="AA6">
            <v>0</v>
          </cell>
          <cell r="AB6">
            <v>2118952</v>
          </cell>
          <cell r="AC6">
            <v>0</v>
          </cell>
          <cell r="AD6">
            <v>0</v>
          </cell>
          <cell r="AF6">
            <v>0</v>
          </cell>
          <cell r="AG6">
            <v>0</v>
          </cell>
          <cell r="AH6">
            <v>0</v>
          </cell>
          <cell r="AI6">
            <v>280492</v>
          </cell>
          <cell r="AK6">
            <v>3641230</v>
          </cell>
          <cell r="AM6">
            <v>0</v>
          </cell>
          <cell r="AN6">
            <v>0</v>
          </cell>
          <cell r="AO6">
            <v>0</v>
          </cell>
        </row>
        <row r="7">
          <cell r="H7">
            <v>0</v>
          </cell>
          <cell r="I7">
            <v>0</v>
          </cell>
          <cell r="J7">
            <v>0</v>
          </cell>
          <cell r="K7">
            <v>0</v>
          </cell>
          <cell r="L7">
            <v>0</v>
          </cell>
          <cell r="M7">
            <v>0</v>
          </cell>
          <cell r="N7">
            <v>0</v>
          </cell>
          <cell r="O7">
            <v>0</v>
          </cell>
          <cell r="P7">
            <v>0</v>
          </cell>
          <cell r="Q7">
            <v>0</v>
          </cell>
          <cell r="R7">
            <v>3836846</v>
          </cell>
          <cell r="S7">
            <v>202752</v>
          </cell>
          <cell r="T7">
            <v>0</v>
          </cell>
          <cell r="U7">
            <v>0</v>
          </cell>
          <cell r="V7">
            <v>0</v>
          </cell>
          <cell r="W7">
            <v>0</v>
          </cell>
          <cell r="X7">
            <v>0</v>
          </cell>
          <cell r="Y7">
            <v>0</v>
          </cell>
          <cell r="Z7">
            <v>0</v>
          </cell>
          <cell r="AA7">
            <v>0</v>
          </cell>
          <cell r="AB7">
            <v>0</v>
          </cell>
          <cell r="AC7">
            <v>0</v>
          </cell>
          <cell r="AD7">
            <v>0</v>
          </cell>
          <cell r="AF7">
            <v>0</v>
          </cell>
          <cell r="AG7">
            <v>14831771</v>
          </cell>
          <cell r="AH7">
            <v>0</v>
          </cell>
          <cell r="AI7">
            <v>3541238</v>
          </cell>
          <cell r="AK7">
            <v>5538765</v>
          </cell>
          <cell r="AM7">
            <v>0</v>
          </cell>
          <cell r="AN7">
            <v>0</v>
          </cell>
          <cell r="AO7">
            <v>0</v>
          </cell>
        </row>
        <row r="8">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F8">
            <v>0</v>
          </cell>
          <cell r="AG8">
            <v>0</v>
          </cell>
          <cell r="AH8">
            <v>0</v>
          </cell>
          <cell r="AI8">
            <v>0</v>
          </cell>
          <cell r="AK8">
            <v>0</v>
          </cell>
          <cell r="AM8">
            <v>0</v>
          </cell>
          <cell r="AN8">
            <v>0</v>
          </cell>
          <cell r="AO8">
            <v>0</v>
          </cell>
        </row>
        <row r="9">
          <cell r="F9">
            <v>16002684</v>
          </cell>
          <cell r="G9">
            <v>10926048</v>
          </cell>
          <cell r="H9">
            <v>5578371</v>
          </cell>
          <cell r="I9">
            <v>15039288</v>
          </cell>
          <cell r="J9">
            <v>2013930</v>
          </cell>
          <cell r="K9">
            <v>1773819</v>
          </cell>
          <cell r="L9">
            <v>9654768</v>
          </cell>
          <cell r="M9">
            <v>24575080</v>
          </cell>
          <cell r="N9">
            <v>4247127</v>
          </cell>
          <cell r="O9">
            <v>22121982</v>
          </cell>
          <cell r="P9">
            <v>8159742</v>
          </cell>
          <cell r="Q9">
            <v>2423169</v>
          </cell>
          <cell r="R9">
            <v>10640826</v>
          </cell>
          <cell r="S9">
            <v>2286306</v>
          </cell>
          <cell r="T9">
            <v>8101008</v>
          </cell>
          <cell r="U9">
            <v>3821427</v>
          </cell>
          <cell r="V9">
            <v>9197442</v>
          </cell>
          <cell r="W9">
            <v>1547946</v>
          </cell>
          <cell r="X9">
            <v>10239708</v>
          </cell>
          <cell r="Z9">
            <v>15706008</v>
          </cell>
          <cell r="AA9">
            <v>7854840</v>
          </cell>
          <cell r="AB9">
            <v>10866396</v>
          </cell>
          <cell r="AC9">
            <v>20244120</v>
          </cell>
          <cell r="AD9">
            <v>3819513</v>
          </cell>
          <cell r="AF9">
            <v>4981740</v>
          </cell>
          <cell r="AG9">
            <v>26412948</v>
          </cell>
          <cell r="AH9">
            <v>20245200</v>
          </cell>
          <cell r="AI9">
            <v>16942140</v>
          </cell>
          <cell r="AK9">
            <v>103799637</v>
          </cell>
          <cell r="AM9">
            <v>524446</v>
          </cell>
          <cell r="AN9">
            <v>682547</v>
          </cell>
          <cell r="AO9">
            <v>787951</v>
          </cell>
        </row>
        <row r="10">
          <cell r="I10">
            <v>5746320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Z10">
            <v>0</v>
          </cell>
          <cell r="AA10">
            <v>0</v>
          </cell>
          <cell r="AB10">
            <v>0</v>
          </cell>
          <cell r="AC10">
            <v>9317880</v>
          </cell>
          <cell r="AD10">
            <v>0</v>
          </cell>
          <cell r="AF10">
            <v>0</v>
          </cell>
          <cell r="AG10">
            <v>15122496</v>
          </cell>
          <cell r="AH10">
            <v>0</v>
          </cell>
          <cell r="AI10">
            <v>0</v>
          </cell>
          <cell r="AK10">
            <v>1915440</v>
          </cell>
          <cell r="AM10">
            <v>0</v>
          </cell>
          <cell r="AN10">
            <v>0</v>
          </cell>
          <cell r="AO10">
            <v>0</v>
          </cell>
        </row>
        <row r="11">
          <cell r="G11">
            <v>12539322</v>
          </cell>
          <cell r="H11">
            <v>6662584</v>
          </cell>
          <cell r="I11">
            <v>22194781</v>
          </cell>
          <cell r="J11">
            <v>2571561</v>
          </cell>
          <cell r="K11">
            <v>0</v>
          </cell>
          <cell r="L11">
            <v>20785854</v>
          </cell>
          <cell r="M11">
            <v>28456223</v>
          </cell>
          <cell r="N11">
            <v>0</v>
          </cell>
          <cell r="O11">
            <v>4214329</v>
          </cell>
          <cell r="P11">
            <v>10174801</v>
          </cell>
          <cell r="Q11">
            <v>4476553</v>
          </cell>
          <cell r="R11">
            <v>13626138</v>
          </cell>
          <cell r="S11">
            <v>1474553</v>
          </cell>
          <cell r="T11">
            <v>3836867</v>
          </cell>
          <cell r="U11">
            <v>3836867</v>
          </cell>
          <cell r="V11">
            <v>7071793</v>
          </cell>
          <cell r="W11">
            <v>3126688</v>
          </cell>
          <cell r="X11">
            <v>18476910</v>
          </cell>
          <cell r="Z11">
            <v>18973770</v>
          </cell>
          <cell r="AA11">
            <v>13073026</v>
          </cell>
          <cell r="AB11">
            <v>37870455</v>
          </cell>
          <cell r="AC11">
            <v>31878903</v>
          </cell>
          <cell r="AD11">
            <v>14112013</v>
          </cell>
          <cell r="AF11">
            <v>7957205</v>
          </cell>
          <cell r="AG11">
            <v>55923074</v>
          </cell>
          <cell r="AH11">
            <v>20733048</v>
          </cell>
          <cell r="AI11">
            <v>24136920</v>
          </cell>
          <cell r="AK11">
            <v>104021641</v>
          </cell>
          <cell r="AM11">
            <v>506870</v>
          </cell>
          <cell r="AN11">
            <v>413346</v>
          </cell>
          <cell r="AO11">
            <v>1245932</v>
          </cell>
        </row>
        <row r="12">
          <cell r="F12">
            <v>30500071</v>
          </cell>
          <cell r="G12">
            <v>0</v>
          </cell>
          <cell r="H12">
            <v>0</v>
          </cell>
          <cell r="I12">
            <v>0</v>
          </cell>
          <cell r="J12">
            <v>0</v>
          </cell>
          <cell r="K12">
            <v>0</v>
          </cell>
          <cell r="L12">
            <v>0</v>
          </cell>
          <cell r="M12">
            <v>0</v>
          </cell>
          <cell r="N12">
            <v>5769355</v>
          </cell>
          <cell r="O12">
            <v>0</v>
          </cell>
          <cell r="P12">
            <v>0</v>
          </cell>
          <cell r="Q12">
            <v>0</v>
          </cell>
          <cell r="R12">
            <v>0</v>
          </cell>
          <cell r="S12">
            <v>0</v>
          </cell>
          <cell r="T12">
            <v>0</v>
          </cell>
          <cell r="U12">
            <v>0</v>
          </cell>
          <cell r="V12">
            <v>5290471</v>
          </cell>
          <cell r="W12">
            <v>0</v>
          </cell>
          <cell r="X12">
            <v>0</v>
          </cell>
          <cell r="Z12">
            <v>0</v>
          </cell>
          <cell r="AA12">
            <v>0</v>
          </cell>
          <cell r="AB12">
            <v>0</v>
          </cell>
          <cell r="AC12">
            <v>0</v>
          </cell>
          <cell r="AD12">
            <v>0</v>
          </cell>
          <cell r="AF12">
            <v>0</v>
          </cell>
          <cell r="AG12">
            <v>0</v>
          </cell>
          <cell r="AH12">
            <v>0</v>
          </cell>
          <cell r="AI12">
            <v>0</v>
          </cell>
          <cell r="AK12">
            <v>3686609</v>
          </cell>
          <cell r="AM12">
            <v>0</v>
          </cell>
          <cell r="AN12">
            <v>0</v>
          </cell>
          <cell r="AO12">
            <v>0</v>
          </cell>
        </row>
        <row r="13">
          <cell r="F13">
            <v>10153012</v>
          </cell>
          <cell r="G13">
            <v>9084532</v>
          </cell>
          <cell r="H13">
            <v>5194154</v>
          </cell>
          <cell r="I13">
            <v>8439456</v>
          </cell>
          <cell r="J13">
            <v>1246369</v>
          </cell>
          <cell r="K13">
            <v>2633010</v>
          </cell>
          <cell r="L13">
            <v>7072353</v>
          </cell>
          <cell r="M13">
            <v>12415798</v>
          </cell>
          <cell r="N13">
            <v>3157122</v>
          </cell>
          <cell r="O13">
            <v>8341802</v>
          </cell>
          <cell r="P13">
            <v>4820457</v>
          </cell>
          <cell r="Q13">
            <v>1742002</v>
          </cell>
          <cell r="R13">
            <v>6600109</v>
          </cell>
          <cell r="S13">
            <v>909972</v>
          </cell>
          <cell r="T13">
            <v>3092585</v>
          </cell>
          <cell r="U13">
            <v>1695329</v>
          </cell>
          <cell r="V13">
            <v>4455567</v>
          </cell>
          <cell r="W13">
            <v>979592</v>
          </cell>
          <cell r="X13">
            <v>6179573</v>
          </cell>
          <cell r="Z13">
            <v>7422963</v>
          </cell>
          <cell r="AA13">
            <v>5796627</v>
          </cell>
          <cell r="AB13">
            <v>13317964</v>
          </cell>
          <cell r="AC13">
            <v>13188271</v>
          </cell>
          <cell r="AD13">
            <v>5269839</v>
          </cell>
          <cell r="AF13">
            <v>2956035</v>
          </cell>
          <cell r="AG13">
            <v>22363088</v>
          </cell>
          <cell r="AH13">
            <v>8492279</v>
          </cell>
          <cell r="AI13">
            <v>10948177</v>
          </cell>
          <cell r="AK13">
            <v>52389372</v>
          </cell>
          <cell r="AM13">
            <v>217087</v>
          </cell>
          <cell r="AN13">
            <v>265191</v>
          </cell>
          <cell r="AO13">
            <v>432439</v>
          </cell>
        </row>
        <row r="14">
          <cell r="F14">
            <v>9368551</v>
          </cell>
          <cell r="G14">
            <v>8382626</v>
          </cell>
          <cell r="H14">
            <v>4792834</v>
          </cell>
          <cell r="I14">
            <v>7787391</v>
          </cell>
          <cell r="J14">
            <v>1150069</v>
          </cell>
          <cell r="K14">
            <v>2429574</v>
          </cell>
          <cell r="L14">
            <v>6525916</v>
          </cell>
          <cell r="M14">
            <v>11456504</v>
          </cell>
          <cell r="N14">
            <v>2913190</v>
          </cell>
          <cell r="O14">
            <v>7697282</v>
          </cell>
          <cell r="P14">
            <v>4448009</v>
          </cell>
          <cell r="Q14">
            <v>1607408</v>
          </cell>
          <cell r="R14">
            <v>6090159</v>
          </cell>
          <cell r="S14">
            <v>839664</v>
          </cell>
          <cell r="T14">
            <v>2853639</v>
          </cell>
          <cell r="U14">
            <v>1564341</v>
          </cell>
          <cell r="V14">
            <v>4111313</v>
          </cell>
          <cell r="W14">
            <v>903905</v>
          </cell>
          <cell r="X14">
            <v>5702115</v>
          </cell>
          <cell r="Z14">
            <v>6849436</v>
          </cell>
          <cell r="AA14">
            <v>5348757</v>
          </cell>
          <cell r="AB14">
            <v>12288966</v>
          </cell>
          <cell r="AC14">
            <v>12169294</v>
          </cell>
          <cell r="AD14">
            <v>4862671</v>
          </cell>
          <cell r="AF14">
            <v>2727640</v>
          </cell>
          <cell r="AG14">
            <v>20635229</v>
          </cell>
          <cell r="AH14">
            <v>7836133</v>
          </cell>
          <cell r="AI14">
            <v>10102278</v>
          </cell>
          <cell r="AK14">
            <v>48341564</v>
          </cell>
          <cell r="AM14">
            <v>200314</v>
          </cell>
          <cell r="AN14">
            <v>244701</v>
          </cell>
          <cell r="AO14">
            <v>399027</v>
          </cell>
        </row>
        <row r="15">
          <cell r="F15">
            <v>4555092</v>
          </cell>
          <cell r="G15">
            <v>1336524</v>
          </cell>
          <cell r="H15">
            <v>1575189</v>
          </cell>
          <cell r="I15">
            <v>3518604</v>
          </cell>
          <cell r="J15">
            <v>30686</v>
          </cell>
          <cell r="K15">
            <v>0</v>
          </cell>
          <cell r="L15">
            <v>3784545</v>
          </cell>
          <cell r="M15">
            <v>5462019</v>
          </cell>
          <cell r="N15">
            <v>726224</v>
          </cell>
          <cell r="O15">
            <v>1984329</v>
          </cell>
          <cell r="P15">
            <v>2782152</v>
          </cell>
          <cell r="Q15">
            <v>787595</v>
          </cell>
          <cell r="R15">
            <v>1769531</v>
          </cell>
          <cell r="S15">
            <v>366181</v>
          </cell>
          <cell r="T15">
            <v>623939</v>
          </cell>
          <cell r="U15">
            <v>675081</v>
          </cell>
          <cell r="V15">
            <v>2771924</v>
          </cell>
          <cell r="W15">
            <v>1319477</v>
          </cell>
          <cell r="X15">
            <v>4636920</v>
          </cell>
          <cell r="Y15">
            <v>17470278</v>
          </cell>
          <cell r="Z15">
            <v>2945808</v>
          </cell>
          <cell r="AA15">
            <v>1036488</v>
          </cell>
          <cell r="AB15">
            <v>6955380</v>
          </cell>
          <cell r="AC15">
            <v>5086974</v>
          </cell>
          <cell r="AD15">
            <v>1445628</v>
          </cell>
          <cell r="AF15">
            <v>1077402</v>
          </cell>
          <cell r="AG15">
            <v>9955740</v>
          </cell>
          <cell r="AH15">
            <v>5946168</v>
          </cell>
          <cell r="AI15">
            <v>5482476</v>
          </cell>
          <cell r="AK15">
            <v>20614929</v>
          </cell>
          <cell r="AM15">
            <v>114014</v>
          </cell>
          <cell r="AN15">
            <v>62735</v>
          </cell>
          <cell r="AO15">
            <v>209480</v>
          </cell>
        </row>
        <row r="16">
          <cell r="F16">
            <v>11269843</v>
          </cell>
          <cell r="G16">
            <v>10083831</v>
          </cell>
          <cell r="H16">
            <v>5765511</v>
          </cell>
          <cell r="I16">
            <v>9367797</v>
          </cell>
          <cell r="J16">
            <v>1383469</v>
          </cell>
          <cell r="K16">
            <v>2922641</v>
          </cell>
          <cell r="L16">
            <v>7850312</v>
          </cell>
          <cell r="M16">
            <v>13781535</v>
          </cell>
          <cell r="N16">
            <v>3504405</v>
          </cell>
          <cell r="O16">
            <v>9259400</v>
          </cell>
          <cell r="P16">
            <v>7567699</v>
          </cell>
          <cell r="Q16">
            <v>1933622</v>
          </cell>
          <cell r="R16">
            <v>7326121</v>
          </cell>
          <cell r="S16">
            <v>1010069</v>
          </cell>
          <cell r="T16">
            <v>3432769</v>
          </cell>
          <cell r="U16">
            <v>1881815</v>
          </cell>
          <cell r="V16">
            <v>4945680</v>
          </cell>
          <cell r="W16">
            <v>1087347</v>
          </cell>
          <cell r="X16">
            <v>6859326</v>
          </cell>
          <cell r="Z16">
            <v>8239489</v>
          </cell>
          <cell r="AA16">
            <v>6434256</v>
          </cell>
          <cell r="AB16">
            <v>14782940</v>
          </cell>
          <cell r="AC16">
            <v>14638981</v>
          </cell>
          <cell r="AD16">
            <v>5849521</v>
          </cell>
          <cell r="AF16">
            <v>3281199</v>
          </cell>
          <cell r="AG16">
            <v>24823028</v>
          </cell>
          <cell r="AH16">
            <v>9426430</v>
          </cell>
          <cell r="AI16">
            <v>12152476</v>
          </cell>
          <cell r="AK16">
            <v>58152203</v>
          </cell>
          <cell r="AM16">
            <v>240966</v>
          </cell>
          <cell r="AN16">
            <v>294362</v>
          </cell>
          <cell r="AO16">
            <v>480007</v>
          </cell>
        </row>
        <row r="17">
          <cell r="F17">
            <v>609181</v>
          </cell>
          <cell r="G17">
            <v>545072</v>
          </cell>
          <cell r="H17">
            <v>311650</v>
          </cell>
          <cell r="I17">
            <v>506368</v>
          </cell>
          <cell r="J17">
            <v>74783</v>
          </cell>
          <cell r="K17">
            <v>157981</v>
          </cell>
          <cell r="L17">
            <v>424342</v>
          </cell>
          <cell r="M17">
            <v>744948</v>
          </cell>
          <cell r="N17">
            <v>189428</v>
          </cell>
          <cell r="O17">
            <v>500509</v>
          </cell>
          <cell r="P17">
            <v>409065</v>
          </cell>
          <cell r="Q17">
            <v>104521</v>
          </cell>
          <cell r="R17">
            <v>396007</v>
          </cell>
          <cell r="S17">
            <v>54599</v>
          </cell>
          <cell r="T17">
            <v>185556</v>
          </cell>
          <cell r="U17">
            <v>101720</v>
          </cell>
          <cell r="V17">
            <v>267335</v>
          </cell>
          <cell r="W17">
            <v>58776</v>
          </cell>
          <cell r="X17">
            <v>370775</v>
          </cell>
          <cell r="Z17">
            <v>445378</v>
          </cell>
          <cell r="AA17">
            <v>347798</v>
          </cell>
          <cell r="AB17">
            <v>799078</v>
          </cell>
          <cell r="AC17">
            <v>791297</v>
          </cell>
          <cell r="AD17">
            <v>316191</v>
          </cell>
          <cell r="AF17">
            <v>177363</v>
          </cell>
          <cell r="AG17">
            <v>1341786</v>
          </cell>
          <cell r="AH17">
            <v>509537</v>
          </cell>
          <cell r="AI17">
            <v>656891</v>
          </cell>
          <cell r="AK17">
            <v>3143363</v>
          </cell>
          <cell r="AM17">
            <v>13026</v>
          </cell>
          <cell r="AN17">
            <v>15912</v>
          </cell>
          <cell r="AO17">
            <v>25947</v>
          </cell>
        </row>
        <row r="18">
          <cell r="F18">
            <v>1827543</v>
          </cell>
          <cell r="G18">
            <v>1635216</v>
          </cell>
          <cell r="H18">
            <v>934948</v>
          </cell>
          <cell r="I18">
            <v>1519103</v>
          </cell>
          <cell r="J18">
            <v>224347</v>
          </cell>
          <cell r="K18">
            <v>473942</v>
          </cell>
          <cell r="L18">
            <v>1273024</v>
          </cell>
          <cell r="M18">
            <v>2234844</v>
          </cell>
          <cell r="N18">
            <v>568282</v>
          </cell>
          <cell r="O18">
            <v>1501525</v>
          </cell>
          <cell r="P18">
            <v>1227195</v>
          </cell>
          <cell r="Q18">
            <v>313561</v>
          </cell>
          <cell r="R18">
            <v>1188020</v>
          </cell>
          <cell r="S18">
            <v>163795</v>
          </cell>
          <cell r="T18">
            <v>556666</v>
          </cell>
          <cell r="U18">
            <v>305160</v>
          </cell>
          <cell r="V18">
            <v>802003</v>
          </cell>
          <cell r="W18">
            <v>176327</v>
          </cell>
          <cell r="X18">
            <v>1112324</v>
          </cell>
          <cell r="Z18">
            <v>1336134</v>
          </cell>
          <cell r="AA18">
            <v>1043393</v>
          </cell>
          <cell r="AB18">
            <v>2397234</v>
          </cell>
          <cell r="AC18">
            <v>2373889</v>
          </cell>
          <cell r="AD18">
            <v>948571</v>
          </cell>
          <cell r="AF18">
            <v>532087</v>
          </cell>
          <cell r="AG18">
            <v>4025356</v>
          </cell>
          <cell r="AH18">
            <v>1528611</v>
          </cell>
          <cell r="AI18">
            <v>1970672</v>
          </cell>
          <cell r="AK18">
            <v>9430087</v>
          </cell>
          <cell r="AM18">
            <v>39076</v>
          </cell>
          <cell r="AN18">
            <v>47735</v>
          </cell>
          <cell r="AO18">
            <v>77839</v>
          </cell>
        </row>
        <row r="19">
          <cell r="F19">
            <v>6091807</v>
          </cell>
          <cell r="G19">
            <v>5450720</v>
          </cell>
          <cell r="H19">
            <v>3116493</v>
          </cell>
          <cell r="I19">
            <v>5063674</v>
          </cell>
          <cell r="J19">
            <v>747821</v>
          </cell>
          <cell r="K19">
            <v>1579806</v>
          </cell>
          <cell r="L19">
            <v>4243412</v>
          </cell>
          <cell r="M19">
            <v>7449479</v>
          </cell>
          <cell r="N19">
            <v>1894273</v>
          </cell>
          <cell r="O19">
            <v>5005082</v>
          </cell>
          <cell r="P19">
            <v>4090648</v>
          </cell>
          <cell r="Q19">
            <v>1045201</v>
          </cell>
          <cell r="R19">
            <v>3960065</v>
          </cell>
          <cell r="S19">
            <v>545983</v>
          </cell>
          <cell r="T19">
            <v>1855551</v>
          </cell>
          <cell r="U19">
            <v>1017198</v>
          </cell>
          <cell r="V19">
            <v>2673341</v>
          </cell>
          <cell r="W19">
            <v>587755</v>
          </cell>
          <cell r="X19">
            <v>3707744</v>
          </cell>
          <cell r="Z19">
            <v>4453778</v>
          </cell>
          <cell r="AA19">
            <v>3477976</v>
          </cell>
          <cell r="AB19">
            <v>7990779</v>
          </cell>
          <cell r="AC19">
            <v>7912963</v>
          </cell>
          <cell r="AD19">
            <v>3161904</v>
          </cell>
          <cell r="AF19">
            <v>1773621</v>
          </cell>
          <cell r="AG19">
            <v>13417853</v>
          </cell>
          <cell r="AH19">
            <v>5095368</v>
          </cell>
          <cell r="AI19">
            <v>6568906</v>
          </cell>
          <cell r="AK19">
            <v>31433623</v>
          </cell>
          <cell r="AM19">
            <v>130252</v>
          </cell>
          <cell r="AN19">
            <v>159115</v>
          </cell>
          <cell r="AO19">
            <v>259464</v>
          </cell>
        </row>
        <row r="20">
          <cell r="F20">
            <v>609181</v>
          </cell>
          <cell r="G20">
            <v>545072</v>
          </cell>
          <cell r="H20">
            <v>311650</v>
          </cell>
          <cell r="I20">
            <v>506368</v>
          </cell>
          <cell r="J20">
            <v>74783</v>
          </cell>
          <cell r="K20">
            <v>157981</v>
          </cell>
          <cell r="L20">
            <v>424342</v>
          </cell>
          <cell r="M20">
            <v>744948</v>
          </cell>
          <cell r="N20">
            <v>189428</v>
          </cell>
          <cell r="O20">
            <v>500509</v>
          </cell>
          <cell r="P20">
            <v>409065</v>
          </cell>
          <cell r="Q20">
            <v>104521</v>
          </cell>
          <cell r="R20">
            <v>396007</v>
          </cell>
          <cell r="S20">
            <v>54599</v>
          </cell>
          <cell r="T20">
            <v>185556</v>
          </cell>
          <cell r="U20">
            <v>101720</v>
          </cell>
          <cell r="V20">
            <v>267335</v>
          </cell>
          <cell r="W20">
            <v>58776</v>
          </cell>
          <cell r="X20">
            <v>370775</v>
          </cell>
          <cell r="Z20">
            <v>445378</v>
          </cell>
          <cell r="AA20">
            <v>347798</v>
          </cell>
          <cell r="AB20">
            <v>799078</v>
          </cell>
          <cell r="AC20">
            <v>791297</v>
          </cell>
          <cell r="AD20">
            <v>316191</v>
          </cell>
          <cell r="AF20">
            <v>177363</v>
          </cell>
          <cell r="AG20">
            <v>1341786</v>
          </cell>
          <cell r="AH20">
            <v>509537</v>
          </cell>
          <cell r="AI20">
            <v>656891</v>
          </cell>
          <cell r="AK20">
            <v>3143363</v>
          </cell>
          <cell r="AM20">
            <v>13026</v>
          </cell>
          <cell r="AN20">
            <v>15912</v>
          </cell>
          <cell r="AO20">
            <v>25947</v>
          </cell>
        </row>
        <row r="21">
          <cell r="F21">
            <v>6603519</v>
          </cell>
          <cell r="G21">
            <v>5908580</v>
          </cell>
          <cell r="H21">
            <v>3378278</v>
          </cell>
          <cell r="I21">
            <v>5489023</v>
          </cell>
          <cell r="J21">
            <v>810638</v>
          </cell>
          <cell r="K21">
            <v>1712510</v>
          </cell>
          <cell r="L21">
            <v>4599859</v>
          </cell>
          <cell r="M21">
            <v>8075235</v>
          </cell>
          <cell r="N21">
            <v>2053392</v>
          </cell>
          <cell r="O21">
            <v>5425508</v>
          </cell>
          <cell r="P21">
            <v>4364630</v>
          </cell>
          <cell r="Q21">
            <v>1132998</v>
          </cell>
          <cell r="R21">
            <v>4292711</v>
          </cell>
          <cell r="S21">
            <v>591846</v>
          </cell>
          <cell r="T21">
            <v>2011417</v>
          </cell>
          <cell r="U21">
            <v>1102642</v>
          </cell>
          <cell r="V21">
            <v>2897901</v>
          </cell>
          <cell r="W21">
            <v>637127</v>
          </cell>
          <cell r="X21">
            <v>4019194</v>
          </cell>
          <cell r="Y21">
            <v>29265181</v>
          </cell>
          <cell r="Z21">
            <v>4827895</v>
          </cell>
          <cell r="AA21">
            <v>3770126</v>
          </cell>
          <cell r="AB21">
            <v>8662004</v>
          </cell>
          <cell r="AC21">
            <v>8577652</v>
          </cell>
          <cell r="AD21">
            <v>3427504</v>
          </cell>
          <cell r="AF21">
            <v>1922605</v>
          </cell>
          <cell r="AG21">
            <v>14544953</v>
          </cell>
          <cell r="AH21">
            <v>5523379</v>
          </cell>
          <cell r="AI21">
            <v>7120694</v>
          </cell>
          <cell r="AK21">
            <v>34074048</v>
          </cell>
          <cell r="AM21">
            <v>141193</v>
          </cell>
          <cell r="AN21">
            <v>172480</v>
          </cell>
          <cell r="AO21">
            <v>281258</v>
          </cell>
        </row>
        <row r="22">
          <cell r="F22">
            <v>3655085</v>
          </cell>
          <cell r="G22">
            <v>3270432</v>
          </cell>
          <cell r="H22">
            <v>1869896</v>
          </cell>
          <cell r="I22">
            <v>3038205</v>
          </cell>
          <cell r="J22">
            <v>448693</v>
          </cell>
          <cell r="K22">
            <v>947884</v>
          </cell>
          <cell r="L22">
            <v>2546047</v>
          </cell>
          <cell r="M22">
            <v>4469687</v>
          </cell>
          <cell r="N22">
            <v>1136564</v>
          </cell>
          <cell r="O22">
            <v>3003049</v>
          </cell>
          <cell r="P22">
            <v>2454389</v>
          </cell>
          <cell r="Q22">
            <v>627121</v>
          </cell>
          <cell r="R22">
            <v>2376039</v>
          </cell>
          <cell r="S22">
            <v>327590</v>
          </cell>
          <cell r="T22">
            <v>1113331</v>
          </cell>
          <cell r="U22">
            <v>610319</v>
          </cell>
          <cell r="V22">
            <v>1604005</v>
          </cell>
          <cell r="W22">
            <v>352653</v>
          </cell>
          <cell r="X22">
            <v>2224647</v>
          </cell>
          <cell r="Y22">
            <v>16198440</v>
          </cell>
          <cell r="Z22">
            <v>2672267</v>
          </cell>
          <cell r="AA22">
            <v>2086786</v>
          </cell>
          <cell r="AB22">
            <v>4794467</v>
          </cell>
          <cell r="AC22">
            <v>4747778</v>
          </cell>
          <cell r="AD22">
            <v>1897142</v>
          </cell>
          <cell r="AF22">
            <v>1064173</v>
          </cell>
          <cell r="AG22">
            <v>8050712</v>
          </cell>
          <cell r="AH22">
            <v>3057221</v>
          </cell>
          <cell r="AI22">
            <v>3941344</v>
          </cell>
          <cell r="AK22">
            <v>18860174</v>
          </cell>
          <cell r="AM22">
            <v>78152</v>
          </cell>
          <cell r="AN22">
            <v>95469</v>
          </cell>
          <cell r="AO22">
            <v>155678</v>
          </cell>
        </row>
        <row r="23">
          <cell r="F23">
            <v>1827543</v>
          </cell>
          <cell r="G23">
            <v>1635216</v>
          </cell>
          <cell r="H23">
            <v>934948</v>
          </cell>
          <cell r="I23">
            <v>1519103</v>
          </cell>
          <cell r="J23">
            <v>224347</v>
          </cell>
          <cell r="K23">
            <v>473942</v>
          </cell>
          <cell r="L23">
            <v>1273024</v>
          </cell>
          <cell r="M23">
            <v>2234844</v>
          </cell>
          <cell r="N23">
            <v>568282</v>
          </cell>
          <cell r="O23">
            <v>1501525</v>
          </cell>
          <cell r="P23">
            <v>1227195</v>
          </cell>
          <cell r="Q23">
            <v>313561</v>
          </cell>
          <cell r="R23">
            <v>1188020</v>
          </cell>
          <cell r="S23">
            <v>163795</v>
          </cell>
          <cell r="T23">
            <v>556666</v>
          </cell>
          <cell r="U23">
            <v>305160</v>
          </cell>
          <cell r="V23">
            <v>802003</v>
          </cell>
          <cell r="W23">
            <v>176327</v>
          </cell>
          <cell r="X23">
            <v>1112324</v>
          </cell>
          <cell r="Y23">
            <v>8099221</v>
          </cell>
          <cell r="Z23">
            <v>1336134</v>
          </cell>
          <cell r="AA23">
            <v>1043393</v>
          </cell>
          <cell r="AB23">
            <v>2397234</v>
          </cell>
          <cell r="AC23">
            <v>2373889</v>
          </cell>
          <cell r="AD23">
            <v>948571</v>
          </cell>
          <cell r="AF23">
            <v>532087</v>
          </cell>
          <cell r="AG23">
            <v>4025356</v>
          </cell>
          <cell r="AH23">
            <v>1528611</v>
          </cell>
          <cell r="AI23">
            <v>1970672</v>
          </cell>
          <cell r="AK23">
            <v>9430087</v>
          </cell>
          <cell r="AM23">
            <v>39076</v>
          </cell>
          <cell r="AN23">
            <v>47735</v>
          </cell>
          <cell r="AO23">
            <v>77839</v>
          </cell>
        </row>
        <row r="24">
          <cell r="F24">
            <v>4873446</v>
          </cell>
          <cell r="G24">
            <v>4360576</v>
          </cell>
          <cell r="H24">
            <v>2493194</v>
          </cell>
          <cell r="I24">
            <v>4018380</v>
          </cell>
          <cell r="J24">
            <v>598257</v>
          </cell>
          <cell r="K24">
            <v>1263845</v>
          </cell>
          <cell r="L24">
            <v>3394730</v>
          </cell>
          <cell r="M24">
            <v>5959583</v>
          </cell>
          <cell r="N24">
            <v>1515419</v>
          </cell>
          <cell r="O24">
            <v>3726126</v>
          </cell>
          <cell r="P24">
            <v>2307319</v>
          </cell>
          <cell r="Q24">
            <v>836161</v>
          </cell>
          <cell r="R24">
            <v>3168052</v>
          </cell>
          <cell r="S24">
            <v>436787</v>
          </cell>
          <cell r="T24">
            <v>1484441</v>
          </cell>
          <cell r="U24">
            <v>813758</v>
          </cell>
          <cell r="V24">
            <v>2138673</v>
          </cell>
          <cell r="W24">
            <v>470204</v>
          </cell>
          <cell r="X24">
            <v>2966195</v>
          </cell>
          <cell r="Y24">
            <v>21513161</v>
          </cell>
          <cell r="Z24">
            <v>3563022</v>
          </cell>
          <cell r="AA24">
            <v>2782381</v>
          </cell>
          <cell r="AB24">
            <v>6307865</v>
          </cell>
          <cell r="AC24">
            <v>6330370</v>
          </cell>
          <cell r="AD24">
            <v>2529523</v>
          </cell>
          <cell r="AF24">
            <v>1418897</v>
          </cell>
          <cell r="AG24">
            <v>10734283</v>
          </cell>
          <cell r="AH24">
            <v>4076294</v>
          </cell>
          <cell r="AI24">
            <v>5243905</v>
          </cell>
          <cell r="AK24">
            <v>25001250</v>
          </cell>
          <cell r="AM24">
            <v>104202</v>
          </cell>
          <cell r="AN24">
            <v>127292</v>
          </cell>
          <cell r="AO24">
            <v>207571</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82F5-8732-4A16-B85E-7C8E3C041E24}">
  <sheetPr>
    <tabColor theme="3" tint="0.249977111117893"/>
  </sheetPr>
  <dimension ref="A1:I788"/>
  <sheetViews>
    <sheetView topLeftCell="B1" zoomScale="80" zoomScaleNormal="80" workbookViewId="0">
      <selection activeCell="F6" sqref="F6:G7"/>
    </sheetView>
  </sheetViews>
  <sheetFormatPr baseColWidth="10" defaultColWidth="19.88671875" defaultRowHeight="13.2" x14ac:dyDescent="0.25"/>
  <cols>
    <col min="1" max="1" width="20.44140625" style="59" bestFit="1" customWidth="1"/>
    <col min="2" max="2" width="52" style="59" customWidth="1"/>
    <col min="3" max="3" width="20.44140625" style="59" bestFit="1" customWidth="1"/>
    <col min="4" max="4" width="19.88671875" style="109"/>
    <col min="5" max="5" width="11.6640625" style="110" customWidth="1"/>
    <col min="6" max="6" width="19.88671875" style="111"/>
    <col min="7" max="7" width="15.77734375" style="108" customWidth="1"/>
    <col min="8" max="16384" width="19.88671875" style="59"/>
  </cols>
  <sheetData>
    <row r="1" spans="1:9" ht="14.4" customHeight="1" x14ac:dyDescent="0.25">
      <c r="A1" s="213" t="s">
        <v>661</v>
      </c>
      <c r="B1" s="214"/>
      <c r="C1" s="214"/>
      <c r="D1" s="214"/>
      <c r="E1" s="214"/>
      <c r="F1" s="214"/>
      <c r="G1" s="214"/>
    </row>
    <row r="2" spans="1:9" ht="14.4" customHeight="1" x14ac:dyDescent="0.25">
      <c r="A2" s="214"/>
      <c r="B2" s="214"/>
      <c r="C2" s="214"/>
      <c r="D2" s="214"/>
      <c r="E2" s="214"/>
      <c r="F2" s="214"/>
      <c r="G2" s="214"/>
    </row>
    <row r="3" spans="1:9" ht="14.4" customHeight="1" x14ac:dyDescent="0.25">
      <c r="A3" s="214"/>
      <c r="B3" s="214"/>
      <c r="C3" s="214"/>
      <c r="D3" s="214"/>
      <c r="E3" s="214"/>
      <c r="F3" s="214"/>
      <c r="G3" s="214"/>
    </row>
    <row r="4" spans="1:9" ht="15.75" customHeight="1" x14ac:dyDescent="0.25">
      <c r="A4" s="214"/>
      <c r="B4" s="214"/>
      <c r="C4" s="214"/>
      <c r="D4" s="214"/>
      <c r="E4" s="214"/>
      <c r="F4" s="214"/>
      <c r="G4" s="214"/>
    </row>
    <row r="5" spans="1:9" ht="15.75" customHeight="1" x14ac:dyDescent="0.25">
      <c r="A5" s="60"/>
      <c r="B5" s="60"/>
      <c r="C5" s="60"/>
      <c r="D5" s="60"/>
      <c r="E5" s="60"/>
      <c r="F5" s="60"/>
      <c r="G5" s="60"/>
    </row>
    <row r="6" spans="1:9" s="61" customFormat="1" ht="34.200000000000003" customHeight="1" thickBot="1" x14ac:dyDescent="0.35">
      <c r="A6" s="215" t="s">
        <v>662</v>
      </c>
      <c r="B6" s="206" t="s">
        <v>418</v>
      </c>
      <c r="C6" s="208" t="s">
        <v>663</v>
      </c>
      <c r="D6" s="210" t="s">
        <v>664</v>
      </c>
      <c r="E6" s="211"/>
      <c r="F6" s="210" t="s">
        <v>665</v>
      </c>
      <c r="G6" s="212"/>
    </row>
    <row r="7" spans="1:9" s="61" customFormat="1" ht="16.5" customHeight="1" thickBot="1" x14ac:dyDescent="0.35">
      <c r="A7" s="216"/>
      <c r="B7" s="207"/>
      <c r="C7" s="209"/>
      <c r="D7" s="62" t="s">
        <v>666</v>
      </c>
      <c r="E7" s="63" t="s">
        <v>0</v>
      </c>
      <c r="F7" s="62" t="s">
        <v>666</v>
      </c>
      <c r="G7" s="189" t="s">
        <v>0</v>
      </c>
    </row>
    <row r="8" spans="1:9" ht="21" customHeight="1" x14ac:dyDescent="0.25">
      <c r="A8" s="190"/>
      <c r="B8" s="65" t="s">
        <v>1</v>
      </c>
      <c r="C8" s="66">
        <f>+C10+C21+C27</f>
        <v>56736460232.996857</v>
      </c>
      <c r="D8" s="66">
        <f>SUM(D10+D21+D27)</f>
        <v>15799035281.995142</v>
      </c>
      <c r="E8" s="67">
        <f>D8/C8</f>
        <v>0.27846353503750521</v>
      </c>
      <c r="F8" s="68">
        <f>+F10+F21+F27</f>
        <v>40937424951.001709</v>
      </c>
      <c r="G8" s="191">
        <f>F8/C8</f>
        <v>0.72153646496249468</v>
      </c>
      <c r="H8" s="70"/>
      <c r="I8" s="70"/>
    </row>
    <row r="9" spans="1:9" x14ac:dyDescent="0.25">
      <c r="A9" s="192"/>
      <c r="B9" s="71"/>
      <c r="C9" s="72"/>
      <c r="D9" s="73"/>
      <c r="E9" s="72"/>
      <c r="F9" s="74"/>
      <c r="G9" s="193"/>
      <c r="H9" s="70"/>
      <c r="I9" s="70"/>
    </row>
    <row r="10" spans="1:9" x14ac:dyDescent="0.25">
      <c r="A10" s="194" t="s">
        <v>2</v>
      </c>
      <c r="B10" s="76" t="s">
        <v>3</v>
      </c>
      <c r="C10" s="77">
        <f>SUM(C11:C19)</f>
        <v>26179973081.996792</v>
      </c>
      <c r="D10" s="78">
        <f>SUM(D11:D19)</f>
        <v>2065192420.9951422</v>
      </c>
      <c r="E10" s="69">
        <f>D10/$C$8</f>
        <v>3.6399740352396272E-2</v>
      </c>
      <c r="F10" s="77">
        <f>SUM(F11:F19)</f>
        <v>24114780661.001648</v>
      </c>
      <c r="G10" s="191">
        <f>F10/$C$8</f>
        <v>0.42503146234309741</v>
      </c>
      <c r="H10" s="79"/>
      <c r="I10" s="80"/>
    </row>
    <row r="11" spans="1:9" x14ac:dyDescent="0.25">
      <c r="A11" s="194"/>
      <c r="B11" s="81" t="s">
        <v>4</v>
      </c>
      <c r="C11" s="82">
        <f>+D11+F11</f>
        <v>3443542580</v>
      </c>
      <c r="D11" s="73"/>
      <c r="E11" s="72"/>
      <c r="F11" s="83">
        <f>+'[1]Ingresos 2024'!H15</f>
        <v>3443542580</v>
      </c>
      <c r="G11" s="193">
        <f t="shared" ref="G11:G18" si="0">F11/$C$8</f>
        <v>6.069364507159191E-2</v>
      </c>
      <c r="H11" s="70"/>
    </row>
    <row r="12" spans="1:9" x14ac:dyDescent="0.25">
      <c r="A12" s="190" t="s">
        <v>5</v>
      </c>
      <c r="B12" s="84" t="s">
        <v>660</v>
      </c>
      <c r="C12" s="82">
        <f>+D12+F12</f>
        <v>3356100</v>
      </c>
      <c r="D12" s="73">
        <f>+'[1]Ingresos 2024'!D18</f>
        <v>3356100</v>
      </c>
      <c r="E12" s="75">
        <f t="shared" ref="E12:E44" si="1">D12/$C$8</f>
        <v>5.9152438946978143E-5</v>
      </c>
      <c r="F12" s="83"/>
      <c r="G12" s="193"/>
      <c r="H12" s="70"/>
    </row>
    <row r="13" spans="1:9" x14ac:dyDescent="0.25">
      <c r="A13" s="190" t="s">
        <v>6</v>
      </c>
      <c r="B13" s="84" t="s">
        <v>7</v>
      </c>
      <c r="C13" s="82">
        <f>+D13+F13</f>
        <v>972074645.9951427</v>
      </c>
      <c r="D13" s="73">
        <f>+'[1]Ingresos 2024'!D21+'[1]Ingresos 2024'!D22</f>
        <v>712035240.9951427</v>
      </c>
      <c r="E13" s="75">
        <f t="shared" si="1"/>
        <v>1.2549870719305757E-2</v>
      </c>
      <c r="F13" s="83">
        <f>+'[1]Ingresos 2024'!I23</f>
        <v>260039405</v>
      </c>
      <c r="G13" s="193">
        <f t="shared" si="0"/>
        <v>4.5832856673135554E-3</v>
      </c>
      <c r="H13" s="70"/>
    </row>
    <row r="14" spans="1:9" x14ac:dyDescent="0.25">
      <c r="A14" s="190" t="s">
        <v>8</v>
      </c>
      <c r="B14" s="64" t="str">
        <f>+'[1]Ingresos 2024'!B31</f>
        <v>Intereses sobre títulos valores de Inst.Pub.Financieras</v>
      </c>
      <c r="C14" s="82">
        <f t="shared" ref="C14:C19" si="2">+D14+F14</f>
        <v>13043550829</v>
      </c>
      <c r="D14" s="73"/>
      <c r="E14" s="75"/>
      <c r="F14" s="74">
        <f>+'[1]Ingresos 2024'!H34</f>
        <v>13043550829</v>
      </c>
      <c r="G14" s="193">
        <f t="shared" si="0"/>
        <v>0.22989715564620503</v>
      </c>
    </row>
    <row r="15" spans="1:9" x14ac:dyDescent="0.25">
      <c r="A15" s="190" t="s">
        <v>9</v>
      </c>
      <c r="B15" s="64" t="str">
        <f>+'[1]Ingresos 2024'!B38</f>
        <v>Intereses y comisiones sobre préstamos al Sector Privado</v>
      </c>
      <c r="C15" s="82">
        <f t="shared" si="2"/>
        <v>7534048093</v>
      </c>
      <c r="D15" s="73">
        <f>+'[1]Ingresos 2024'!D39</f>
        <v>1125810679.9999995</v>
      </c>
      <c r="E15" s="75">
        <f t="shared" si="1"/>
        <v>1.9842807876569803E-2</v>
      </c>
      <c r="F15" s="74">
        <f>+'[1]Ingresos 2024'!H41</f>
        <v>6408237413</v>
      </c>
      <c r="G15" s="193">
        <f t="shared" si="0"/>
        <v>0.11294743074706465</v>
      </c>
      <c r="H15" s="70"/>
    </row>
    <row r="16" spans="1:9" x14ac:dyDescent="0.25">
      <c r="A16" s="190"/>
      <c r="B16" s="64" t="s">
        <v>10</v>
      </c>
      <c r="C16" s="82">
        <f t="shared" si="2"/>
        <v>269617019</v>
      </c>
      <c r="D16" s="73"/>
      <c r="E16" s="75"/>
      <c r="F16" s="74">
        <f>+'[1]Ingresos 2024'!H47</f>
        <v>269617019</v>
      </c>
      <c r="G16" s="193">
        <f t="shared" si="0"/>
        <v>4.7520944713994656E-3</v>
      </c>
    </row>
    <row r="17" spans="1:8" ht="15" customHeight="1" x14ac:dyDescent="0.25">
      <c r="A17" s="190" t="s">
        <v>11</v>
      </c>
      <c r="B17" s="85" t="s">
        <v>12</v>
      </c>
      <c r="C17" s="82">
        <f t="shared" si="2"/>
        <v>15000000</v>
      </c>
      <c r="D17" s="73">
        <f>+'[1]Ingresos 2024'!D52</f>
        <v>15000000</v>
      </c>
      <c r="E17" s="75">
        <f t="shared" si="1"/>
        <v>2.6438025809858828E-4</v>
      </c>
      <c r="F17" s="83"/>
      <c r="G17" s="193"/>
      <c r="H17" s="70"/>
    </row>
    <row r="18" spans="1:8" ht="15" customHeight="1" x14ac:dyDescent="0.25">
      <c r="A18" s="190"/>
      <c r="B18" s="85" t="s">
        <v>13</v>
      </c>
      <c r="C18" s="82">
        <f t="shared" si="2"/>
        <v>851793415.00164914</v>
      </c>
      <c r="D18" s="73">
        <f>+'[1]Ingresos 2024'!D51</f>
        <v>161999999.99999994</v>
      </c>
      <c r="E18" s="75">
        <f t="shared" si="1"/>
        <v>2.8553067874647524E-3</v>
      </c>
      <c r="F18" s="86">
        <f>+'[1]Ingresos 2024'!I53</f>
        <v>689793415.00164914</v>
      </c>
      <c r="G18" s="193">
        <f t="shared" si="0"/>
        <v>1.2157850739522842E-2</v>
      </c>
      <c r="H18" s="70"/>
    </row>
    <row r="19" spans="1:8" x14ac:dyDescent="0.25">
      <c r="A19" s="190" t="s">
        <v>14</v>
      </c>
      <c r="B19" s="64" t="str">
        <f>+'[1]Ingresos 2024'!B58</f>
        <v>Transferencias corrientes de Instituciones públicas Financieras</v>
      </c>
      <c r="C19" s="82">
        <f t="shared" si="2"/>
        <v>46990400</v>
      </c>
      <c r="D19" s="73">
        <f>+'[1]Ingresos 2024'!D58</f>
        <v>46990400</v>
      </c>
      <c r="E19" s="75">
        <f t="shared" si="1"/>
        <v>8.2822227201039358E-4</v>
      </c>
      <c r="F19" s="83"/>
      <c r="G19" s="193"/>
    </row>
    <row r="20" spans="1:8" x14ac:dyDescent="0.25">
      <c r="A20" s="190"/>
      <c r="B20" s="64"/>
      <c r="C20" s="87"/>
      <c r="D20" s="88"/>
      <c r="E20" s="72"/>
      <c r="F20" s="83"/>
      <c r="G20" s="193"/>
    </row>
    <row r="21" spans="1:8" x14ac:dyDescent="0.25">
      <c r="A21" s="195" t="s">
        <v>15</v>
      </c>
      <c r="B21" s="89" t="s">
        <v>16</v>
      </c>
      <c r="C21" s="88">
        <f>SUM(C22:C25)</f>
        <v>19252611757.000065</v>
      </c>
      <c r="D21" s="88">
        <f t="shared" ref="D21" si="3">SUM(D22:D25)</f>
        <v>5043780768</v>
      </c>
      <c r="E21" s="69">
        <f t="shared" si="1"/>
        <v>8.8898404082435725E-2</v>
      </c>
      <c r="F21" s="90">
        <f>SUM(F22:F23)</f>
        <v>14208830989.000065</v>
      </c>
      <c r="G21" s="191">
        <f t="shared" ref="G21:G23" si="4">F21/$C$8</f>
        <v>0.25043562694340377</v>
      </c>
      <c r="H21" s="79"/>
    </row>
    <row r="22" spans="1:8" x14ac:dyDescent="0.25">
      <c r="A22" s="190" t="s">
        <v>17</v>
      </c>
      <c r="B22" s="64" t="s">
        <v>18</v>
      </c>
      <c r="C22" s="82">
        <f>+D22+F22</f>
        <v>216000000</v>
      </c>
      <c r="D22" s="73">
        <f>+'[1]Ingresos 2024'!D65</f>
        <v>216000000</v>
      </c>
      <c r="E22" s="75">
        <f t="shared" si="1"/>
        <v>3.8070757166196716E-3</v>
      </c>
      <c r="F22" s="74"/>
      <c r="G22" s="193"/>
    </row>
    <row r="23" spans="1:8" x14ac:dyDescent="0.25">
      <c r="A23" s="190" t="s">
        <v>19</v>
      </c>
      <c r="B23" s="64" t="s">
        <v>20</v>
      </c>
      <c r="C23" s="82">
        <f>+D23+F23</f>
        <v>14478112687.000065</v>
      </c>
      <c r="D23" s="73">
        <f>+'[1]Ingresos 2024'!D70</f>
        <v>269281698</v>
      </c>
      <c r="E23" s="75">
        <f t="shared" si="1"/>
        <v>4.7461843212310735E-3</v>
      </c>
      <c r="F23" s="74">
        <f>+'[1]Ingresos 2024'!I71</f>
        <v>14208830989.000065</v>
      </c>
      <c r="G23" s="193">
        <f t="shared" si="4"/>
        <v>0.25043562694340377</v>
      </c>
      <c r="H23" s="70"/>
    </row>
    <row r="24" spans="1:8" x14ac:dyDescent="0.25">
      <c r="A24" s="190"/>
      <c r="B24" s="64" t="s">
        <v>21</v>
      </c>
      <c r="C24" s="82">
        <f>+D24</f>
        <v>500000000</v>
      </c>
      <c r="D24" s="73">
        <f>+'[1]Ingresos 2024'!D75</f>
        <v>500000000</v>
      </c>
      <c r="E24" s="75">
        <f t="shared" si="1"/>
        <v>8.8126752699529427E-3</v>
      </c>
      <c r="F24" s="83"/>
      <c r="G24" s="193"/>
    </row>
    <row r="25" spans="1:8" s="91" customFormat="1" ht="12.75" customHeight="1" x14ac:dyDescent="0.25">
      <c r="A25" s="190" t="s">
        <v>22</v>
      </c>
      <c r="B25" s="85" t="str">
        <f>+'[1]Ingresos 2024'!B76</f>
        <v>Transferencias de Capital de Instituciones Públicas financieras</v>
      </c>
      <c r="C25" s="82">
        <f>+D25+F25</f>
        <v>4058499070</v>
      </c>
      <c r="D25" s="73">
        <f>+'[1]Ingresos 2024'!D76</f>
        <v>4058499070</v>
      </c>
      <c r="E25" s="75">
        <f t="shared" si="1"/>
        <v>7.1532468774632041E-2</v>
      </c>
      <c r="F25" s="82"/>
      <c r="G25" s="193"/>
    </row>
    <row r="26" spans="1:8" s="91" customFormat="1" x14ac:dyDescent="0.25">
      <c r="A26" s="190"/>
      <c r="B26" s="64"/>
      <c r="C26" s="92"/>
      <c r="D26" s="73"/>
      <c r="E26" s="72"/>
      <c r="F26" s="93"/>
      <c r="G26" s="193"/>
    </row>
    <row r="27" spans="1:8" s="91" customFormat="1" x14ac:dyDescent="0.25">
      <c r="A27" s="194"/>
      <c r="B27" s="89" t="s">
        <v>23</v>
      </c>
      <c r="C27" s="94">
        <f>C28+C30</f>
        <v>11303875394</v>
      </c>
      <c r="D27" s="94">
        <f>D28+D30</f>
        <v>8690062093</v>
      </c>
      <c r="E27" s="69">
        <f t="shared" si="1"/>
        <v>0.15316539060267323</v>
      </c>
      <c r="F27" s="95">
        <f>SUM(F28)</f>
        <v>2613813301</v>
      </c>
      <c r="G27" s="191">
        <f t="shared" ref="G27:G28" si="5">F27/$C$8</f>
        <v>4.6069375675993535E-2</v>
      </c>
      <c r="H27" s="79"/>
    </row>
    <row r="28" spans="1:8" ht="13.5" customHeight="1" x14ac:dyDescent="0.25">
      <c r="A28" s="190"/>
      <c r="B28" s="64" t="str">
        <f>+'[1]Ingresos 2024'!B82</f>
        <v>Préstamos directos del Sector Privado</v>
      </c>
      <c r="C28" s="82">
        <f>+D28+F28</f>
        <v>2613813301</v>
      </c>
      <c r="D28" s="82">
        <v>0</v>
      </c>
      <c r="E28" s="75"/>
      <c r="F28" s="74">
        <f>+'[1]Ingresos 2024'!I83</f>
        <v>2613813301</v>
      </c>
      <c r="G28" s="193">
        <f t="shared" si="5"/>
        <v>4.6069375675993535E-2</v>
      </c>
    </row>
    <row r="29" spans="1:8" x14ac:dyDescent="0.25">
      <c r="A29" s="196"/>
      <c r="B29" s="96"/>
      <c r="C29" s="96"/>
      <c r="D29" s="73"/>
      <c r="E29" s="72"/>
      <c r="F29" s="97"/>
      <c r="G29" s="193"/>
      <c r="H29" s="98"/>
    </row>
    <row r="30" spans="1:8" s="91" customFormat="1" x14ac:dyDescent="0.25">
      <c r="A30" s="194"/>
      <c r="B30" s="99" t="s">
        <v>24</v>
      </c>
      <c r="C30" s="88">
        <f>C32+C34</f>
        <v>8690062093</v>
      </c>
      <c r="D30" s="88">
        <f>D32+D34</f>
        <v>8690062093</v>
      </c>
      <c r="E30" s="69">
        <f t="shared" si="1"/>
        <v>0.15316539060267323</v>
      </c>
      <c r="F30" s="82"/>
      <c r="G30" s="193"/>
      <c r="H30" s="100"/>
    </row>
    <row r="31" spans="1:8" s="91" customFormat="1" hidden="1" x14ac:dyDescent="0.25">
      <c r="A31" s="190"/>
      <c r="B31" s="101" t="s">
        <v>25</v>
      </c>
      <c r="C31" s="82">
        <f>+C32</f>
        <v>2705000000</v>
      </c>
      <c r="D31" s="82">
        <f>+D32</f>
        <v>2705000000</v>
      </c>
      <c r="E31" s="75">
        <f t="shared" si="1"/>
        <v>4.7676573210445425E-2</v>
      </c>
      <c r="F31" s="102"/>
      <c r="G31" s="193"/>
    </row>
    <row r="32" spans="1:8" s="91" customFormat="1" x14ac:dyDescent="0.25">
      <c r="A32" s="190"/>
      <c r="B32" s="101" t="str">
        <f>+'[2]Ingresos 2023'!B83</f>
        <v>Superávit libre</v>
      </c>
      <c r="C32" s="92">
        <f>+D32</f>
        <v>2705000000</v>
      </c>
      <c r="D32" s="92">
        <f>+'[1]Ingresos 2024'!D87</f>
        <v>2705000000</v>
      </c>
      <c r="E32" s="75">
        <f t="shared" si="1"/>
        <v>4.7676573210445425E-2</v>
      </c>
      <c r="F32" s="102"/>
      <c r="G32" s="193"/>
      <c r="H32" s="103"/>
    </row>
    <row r="33" spans="1:8" s="91" customFormat="1" x14ac:dyDescent="0.25">
      <c r="A33" s="190"/>
      <c r="B33" s="104">
        <f>+'[2]Ingresos 2023'!B84</f>
        <v>0</v>
      </c>
      <c r="C33" s="94"/>
      <c r="D33" s="94"/>
      <c r="E33" s="75"/>
      <c r="F33" s="105"/>
      <c r="G33" s="193"/>
    </row>
    <row r="34" spans="1:8" s="91" customFormat="1" x14ac:dyDescent="0.25">
      <c r="A34" s="190"/>
      <c r="B34" s="104" t="s">
        <v>26</v>
      </c>
      <c r="C34" s="88">
        <f>SUM(C35:C44)</f>
        <v>5985062093</v>
      </c>
      <c r="D34" s="88">
        <f>SUM(D35:D44)</f>
        <v>5985062093</v>
      </c>
      <c r="E34" s="75">
        <f t="shared" si="1"/>
        <v>0.1054888173922278</v>
      </c>
      <c r="F34" s="105"/>
      <c r="G34" s="193"/>
      <c r="H34" s="103"/>
    </row>
    <row r="35" spans="1:8" s="91" customFormat="1" x14ac:dyDescent="0.25">
      <c r="A35" s="190"/>
      <c r="B35" s="101" t="str">
        <f>+'[2]Ingresos 2023'!B86</f>
        <v>Superávit BANHVI</v>
      </c>
      <c r="C35" s="82">
        <f>D35</f>
        <v>90000000</v>
      </c>
      <c r="D35" s="82">
        <f>+'[1]Ingresos 2024'!D90</f>
        <v>90000000</v>
      </c>
      <c r="E35" s="75">
        <f t="shared" si="1"/>
        <v>1.5862815485915298E-3</v>
      </c>
      <c r="F35" s="102"/>
      <c r="G35" s="193"/>
      <c r="H35" s="103"/>
    </row>
    <row r="36" spans="1:8" s="91" customFormat="1" x14ac:dyDescent="0.25">
      <c r="A36" s="190"/>
      <c r="B36" s="101" t="str">
        <f>+'[2]Ingresos 2023'!B87</f>
        <v>Superávit Específico Aporte Clientes BFV</v>
      </c>
      <c r="C36" s="82">
        <f t="shared" ref="C36:C44" si="6">D36</f>
        <v>15000000</v>
      </c>
      <c r="D36" s="82">
        <f>+'[1]Ingresos 2024'!D91</f>
        <v>15000000</v>
      </c>
      <c r="E36" s="75">
        <f t="shared" si="1"/>
        <v>2.6438025809858828E-4</v>
      </c>
      <c r="F36" s="102"/>
      <c r="G36" s="193"/>
    </row>
    <row r="37" spans="1:8" s="91" customFormat="1" x14ac:dyDescent="0.25">
      <c r="A37" s="190"/>
      <c r="B37" s="101" t="s">
        <v>27</v>
      </c>
      <c r="C37" s="82">
        <f t="shared" si="6"/>
        <v>250000000</v>
      </c>
      <c r="D37" s="82">
        <f>+'[1]Ingresos 2024'!D95</f>
        <v>250000000</v>
      </c>
      <c r="E37" s="75">
        <f t="shared" si="1"/>
        <v>4.4063376349764713E-3</v>
      </c>
      <c r="F37" s="102"/>
      <c r="G37" s="193"/>
    </row>
    <row r="38" spans="1:8" s="91" customFormat="1" x14ac:dyDescent="0.25">
      <c r="A38" s="190"/>
      <c r="B38" s="101" t="str">
        <f>+'[2]Ingresos 2023'!B88</f>
        <v>Superávit Específico Ley 8785</v>
      </c>
      <c r="C38" s="82">
        <f t="shared" si="6"/>
        <v>680000000</v>
      </c>
      <c r="D38" s="82">
        <f>+'[1]Ingresos 2024'!D96</f>
        <v>680000000</v>
      </c>
      <c r="E38" s="75">
        <f t="shared" si="1"/>
        <v>1.1985238367136003E-2</v>
      </c>
      <c r="F38" s="102"/>
      <c r="G38" s="193"/>
    </row>
    <row r="39" spans="1:8" s="91" customFormat="1" x14ac:dyDescent="0.25">
      <c r="A39" s="190"/>
      <c r="B39" s="101" t="s">
        <v>28</v>
      </c>
      <c r="C39" s="82">
        <f t="shared" si="6"/>
        <v>425000000</v>
      </c>
      <c r="D39" s="82">
        <f>+'[1]Ingresos 2024'!C97</f>
        <v>425000000</v>
      </c>
      <c r="E39" s="75">
        <f t="shared" si="1"/>
        <v>7.4907739794600019E-3</v>
      </c>
      <c r="F39" s="102"/>
      <c r="G39" s="193"/>
    </row>
    <row r="40" spans="1:8" s="91" customFormat="1" x14ac:dyDescent="0.25">
      <c r="A40" s="190"/>
      <c r="B40" s="101" t="s">
        <v>29</v>
      </c>
      <c r="C40" s="82">
        <f t="shared" si="6"/>
        <v>275000000</v>
      </c>
      <c r="D40" s="82">
        <f>+'[1]Ingresos 2024'!D98</f>
        <v>275000000</v>
      </c>
      <c r="E40" s="75">
        <f t="shared" si="1"/>
        <v>4.8469713984741186E-3</v>
      </c>
      <c r="F40" s="102"/>
      <c r="G40" s="193"/>
    </row>
    <row r="41" spans="1:8" s="91" customFormat="1" x14ac:dyDescent="0.25">
      <c r="A41" s="190"/>
      <c r="B41" s="101" t="s">
        <v>30</v>
      </c>
      <c r="C41" s="82">
        <f t="shared" si="6"/>
        <v>223931883</v>
      </c>
      <c r="D41" s="82">
        <f>+'[1]Ingresos 2024'!D99</f>
        <v>223931883</v>
      </c>
      <c r="E41" s="75">
        <f t="shared" si="1"/>
        <v>3.9468779349361915E-3</v>
      </c>
      <c r="F41" s="102"/>
      <c r="G41" s="193"/>
    </row>
    <row r="42" spans="1:8" s="91" customFormat="1" x14ac:dyDescent="0.25">
      <c r="A42" s="190"/>
      <c r="B42" s="101" t="str">
        <f>+'[2]Ingresos 2023'!B91</f>
        <v>Superávit Específico  Ley 9344</v>
      </c>
      <c r="C42" s="82">
        <f t="shared" si="6"/>
        <v>38457294</v>
      </c>
      <c r="D42" s="82">
        <f>+'[1]Ingresos 2024'!D102</f>
        <v>38457294</v>
      </c>
      <c r="E42" s="75">
        <f t="shared" si="1"/>
        <v>6.7782328756621946E-4</v>
      </c>
      <c r="F42" s="102"/>
      <c r="G42" s="193"/>
      <c r="H42" s="103"/>
    </row>
    <row r="43" spans="1:8" s="91" customFormat="1" x14ac:dyDescent="0.25">
      <c r="A43" s="190"/>
      <c r="B43" s="101" t="str">
        <f>+'[2]Ingresos 2023'!B92</f>
        <v>Superávit Específico  Ley 9304 (Talud Alajuelita)</v>
      </c>
      <c r="C43" s="82">
        <f t="shared" si="6"/>
        <v>400000000</v>
      </c>
      <c r="D43" s="82">
        <f>+'[1]Ingresos 2024'!D103</f>
        <v>400000000</v>
      </c>
      <c r="E43" s="75">
        <f t="shared" si="1"/>
        <v>7.0501402159623546E-3</v>
      </c>
      <c r="F43" s="102"/>
      <c r="G43" s="193"/>
    </row>
    <row r="44" spans="1:8" x14ac:dyDescent="0.25">
      <c r="A44" s="197"/>
      <c r="B44" s="198" t="str">
        <f>+'[2]Ingresos 2023'!B94</f>
        <v>Superávit Específico Ley 8448</v>
      </c>
      <c r="C44" s="199">
        <f t="shared" si="6"/>
        <v>3587672916</v>
      </c>
      <c r="D44" s="199">
        <f>+'[1]Ingresos 2024'!D105</f>
        <v>3587672916</v>
      </c>
      <c r="E44" s="200">
        <f t="shared" si="1"/>
        <v>6.323399276702632E-2</v>
      </c>
      <c r="F44" s="201"/>
      <c r="G44" s="202"/>
    </row>
    <row r="45" spans="1:8" x14ac:dyDescent="0.25">
      <c r="D45" s="70"/>
      <c r="E45" s="106"/>
      <c r="F45" s="107"/>
    </row>
    <row r="46" spans="1:8" x14ac:dyDescent="0.25">
      <c r="A46" s="91" t="s">
        <v>699</v>
      </c>
      <c r="D46" s="70"/>
      <c r="E46" s="106"/>
      <c r="F46" s="107"/>
    </row>
    <row r="47" spans="1:8" x14ac:dyDescent="0.25">
      <c r="C47" s="79"/>
      <c r="D47" s="70"/>
      <c r="E47" s="106"/>
      <c r="F47" s="107"/>
    </row>
    <row r="48" spans="1:8" x14ac:dyDescent="0.25">
      <c r="D48" s="70"/>
      <c r="E48" s="106"/>
      <c r="F48" s="107"/>
    </row>
    <row r="49" spans="4:6" x14ac:dyDescent="0.25">
      <c r="D49" s="70"/>
      <c r="E49" s="106"/>
      <c r="F49" s="107"/>
    </row>
    <row r="50" spans="4:6" x14ac:dyDescent="0.25">
      <c r="D50" s="70"/>
      <c r="E50" s="106"/>
      <c r="F50" s="107"/>
    </row>
    <row r="51" spans="4:6" x14ac:dyDescent="0.25">
      <c r="D51" s="70"/>
      <c r="E51" s="106"/>
      <c r="F51" s="107"/>
    </row>
    <row r="52" spans="4:6" x14ac:dyDescent="0.25">
      <c r="D52" s="70"/>
      <c r="E52" s="106"/>
      <c r="F52" s="107"/>
    </row>
    <row r="53" spans="4:6" x14ac:dyDescent="0.25">
      <c r="D53" s="70"/>
      <c r="E53" s="106"/>
      <c r="F53" s="107"/>
    </row>
    <row r="54" spans="4:6" x14ac:dyDescent="0.25">
      <c r="D54" s="70"/>
      <c r="E54" s="106"/>
      <c r="F54" s="107"/>
    </row>
    <row r="55" spans="4:6" x14ac:dyDescent="0.25">
      <c r="D55" s="70"/>
      <c r="E55" s="106"/>
      <c r="F55" s="107"/>
    </row>
    <row r="56" spans="4:6" x14ac:dyDescent="0.25">
      <c r="D56" s="70"/>
      <c r="E56" s="106"/>
      <c r="F56" s="107"/>
    </row>
    <row r="57" spans="4:6" x14ac:dyDescent="0.25">
      <c r="D57" s="70"/>
      <c r="E57" s="106"/>
      <c r="F57" s="107"/>
    </row>
    <row r="58" spans="4:6" x14ac:dyDescent="0.25">
      <c r="D58" s="70"/>
      <c r="E58" s="106"/>
      <c r="F58" s="107"/>
    </row>
    <row r="59" spans="4:6" x14ac:dyDescent="0.25">
      <c r="D59" s="70"/>
      <c r="E59" s="106"/>
      <c r="F59" s="107"/>
    </row>
    <row r="60" spans="4:6" x14ac:dyDescent="0.25">
      <c r="D60" s="70"/>
      <c r="E60" s="106"/>
      <c r="F60" s="107"/>
    </row>
    <row r="61" spans="4:6" x14ac:dyDescent="0.25">
      <c r="D61" s="70"/>
      <c r="E61" s="106"/>
      <c r="F61" s="107"/>
    </row>
    <row r="62" spans="4:6" x14ac:dyDescent="0.25">
      <c r="D62" s="70"/>
      <c r="E62" s="106"/>
      <c r="F62" s="107"/>
    </row>
    <row r="63" spans="4:6" x14ac:dyDescent="0.25">
      <c r="D63" s="70"/>
      <c r="E63" s="106"/>
      <c r="F63" s="107"/>
    </row>
    <row r="64" spans="4:6" x14ac:dyDescent="0.25">
      <c r="D64" s="70"/>
      <c r="E64" s="106"/>
      <c r="F64" s="107"/>
    </row>
    <row r="65" spans="4:6" x14ac:dyDescent="0.25">
      <c r="D65" s="70"/>
      <c r="E65" s="106"/>
      <c r="F65" s="107"/>
    </row>
    <row r="66" spans="4:6" x14ac:dyDescent="0.25">
      <c r="D66" s="70"/>
      <c r="E66" s="106"/>
      <c r="F66" s="107"/>
    </row>
    <row r="67" spans="4:6" x14ac:dyDescent="0.25">
      <c r="D67" s="70"/>
      <c r="E67" s="106"/>
      <c r="F67" s="107"/>
    </row>
    <row r="68" spans="4:6" x14ac:dyDescent="0.25">
      <c r="D68" s="70"/>
      <c r="E68" s="106"/>
      <c r="F68" s="107"/>
    </row>
    <row r="69" spans="4:6" x14ac:dyDescent="0.25">
      <c r="D69" s="70"/>
      <c r="E69" s="106"/>
      <c r="F69" s="107"/>
    </row>
    <row r="70" spans="4:6" x14ac:dyDescent="0.25">
      <c r="D70" s="70"/>
      <c r="E70" s="106"/>
      <c r="F70" s="107"/>
    </row>
    <row r="71" spans="4:6" x14ac:dyDescent="0.25">
      <c r="D71" s="70"/>
      <c r="E71" s="106"/>
      <c r="F71" s="107"/>
    </row>
    <row r="72" spans="4:6" x14ac:dyDescent="0.25">
      <c r="D72" s="70"/>
      <c r="E72" s="106"/>
      <c r="F72" s="107"/>
    </row>
    <row r="73" spans="4:6" x14ac:dyDescent="0.25">
      <c r="D73" s="70"/>
      <c r="E73" s="106"/>
      <c r="F73" s="107"/>
    </row>
    <row r="74" spans="4:6" x14ac:dyDescent="0.25">
      <c r="D74" s="70"/>
      <c r="E74" s="106"/>
      <c r="F74" s="107"/>
    </row>
    <row r="75" spans="4:6" x14ac:dyDescent="0.25">
      <c r="D75" s="70"/>
      <c r="E75" s="106"/>
      <c r="F75" s="107"/>
    </row>
    <row r="76" spans="4:6" x14ac:dyDescent="0.25">
      <c r="D76" s="70"/>
      <c r="E76" s="106"/>
      <c r="F76" s="107"/>
    </row>
    <row r="77" spans="4:6" x14ac:dyDescent="0.25">
      <c r="D77" s="70"/>
      <c r="E77" s="106"/>
      <c r="F77" s="107"/>
    </row>
    <row r="78" spans="4:6" x14ac:dyDescent="0.25">
      <c r="D78" s="70"/>
      <c r="E78" s="106"/>
      <c r="F78" s="107"/>
    </row>
    <row r="79" spans="4:6" x14ac:dyDescent="0.25">
      <c r="D79" s="70"/>
      <c r="E79" s="106"/>
      <c r="F79" s="107"/>
    </row>
    <row r="80" spans="4:6" x14ac:dyDescent="0.25">
      <c r="D80" s="70"/>
      <c r="E80" s="106"/>
      <c r="F80" s="107"/>
    </row>
    <row r="81" spans="4:6" x14ac:dyDescent="0.25">
      <c r="D81" s="70"/>
      <c r="E81" s="106"/>
      <c r="F81" s="107"/>
    </row>
    <row r="82" spans="4:6" x14ac:dyDescent="0.25">
      <c r="D82" s="70"/>
      <c r="E82" s="106"/>
      <c r="F82" s="107"/>
    </row>
    <row r="83" spans="4:6" x14ac:dyDescent="0.25">
      <c r="D83" s="70"/>
      <c r="E83" s="106"/>
      <c r="F83" s="107"/>
    </row>
    <row r="84" spans="4:6" x14ac:dyDescent="0.25">
      <c r="D84" s="70"/>
      <c r="E84" s="106"/>
      <c r="F84" s="107"/>
    </row>
    <row r="85" spans="4:6" x14ac:dyDescent="0.25">
      <c r="D85" s="70"/>
      <c r="E85" s="106"/>
      <c r="F85" s="107"/>
    </row>
    <row r="86" spans="4:6" x14ac:dyDescent="0.25">
      <c r="D86" s="70"/>
      <c r="E86" s="106"/>
      <c r="F86" s="107"/>
    </row>
    <row r="87" spans="4:6" x14ac:dyDescent="0.25">
      <c r="D87" s="70"/>
      <c r="E87" s="106"/>
      <c r="F87" s="107"/>
    </row>
    <row r="88" spans="4:6" x14ac:dyDescent="0.25">
      <c r="D88" s="70"/>
      <c r="E88" s="106"/>
      <c r="F88" s="107"/>
    </row>
    <row r="89" spans="4:6" x14ac:dyDescent="0.25">
      <c r="D89" s="70"/>
      <c r="E89" s="106"/>
      <c r="F89" s="107"/>
    </row>
    <row r="90" spans="4:6" x14ac:dyDescent="0.25">
      <c r="D90" s="70"/>
      <c r="E90" s="106"/>
      <c r="F90" s="107"/>
    </row>
    <row r="91" spans="4:6" x14ac:dyDescent="0.25">
      <c r="D91" s="70"/>
      <c r="E91" s="106"/>
      <c r="F91" s="107"/>
    </row>
    <row r="92" spans="4:6" x14ac:dyDescent="0.25">
      <c r="D92" s="70"/>
      <c r="E92" s="106"/>
      <c r="F92" s="107"/>
    </row>
    <row r="93" spans="4:6" x14ac:dyDescent="0.25">
      <c r="D93" s="70"/>
      <c r="E93" s="106"/>
      <c r="F93" s="107"/>
    </row>
    <row r="94" spans="4:6" x14ac:dyDescent="0.25">
      <c r="D94" s="70"/>
      <c r="E94" s="106"/>
      <c r="F94" s="107"/>
    </row>
    <row r="95" spans="4:6" x14ac:dyDescent="0.25">
      <c r="D95" s="70"/>
      <c r="E95" s="106"/>
      <c r="F95" s="107"/>
    </row>
    <row r="96" spans="4:6" x14ac:dyDescent="0.25">
      <c r="D96" s="70"/>
      <c r="E96" s="106"/>
      <c r="F96" s="107"/>
    </row>
    <row r="97" spans="4:6" x14ac:dyDescent="0.25">
      <c r="D97" s="70"/>
      <c r="E97" s="106"/>
      <c r="F97" s="107"/>
    </row>
    <row r="98" spans="4:6" x14ac:dyDescent="0.25">
      <c r="D98" s="70"/>
      <c r="E98" s="106"/>
      <c r="F98" s="107"/>
    </row>
    <row r="99" spans="4:6" x14ac:dyDescent="0.25">
      <c r="D99" s="70"/>
      <c r="E99" s="106"/>
      <c r="F99" s="107"/>
    </row>
    <row r="100" spans="4:6" x14ac:dyDescent="0.25">
      <c r="D100" s="70"/>
      <c r="E100" s="106"/>
      <c r="F100" s="107"/>
    </row>
    <row r="101" spans="4:6" x14ac:dyDescent="0.25">
      <c r="D101" s="70"/>
      <c r="E101" s="106"/>
      <c r="F101" s="107"/>
    </row>
    <row r="102" spans="4:6" x14ac:dyDescent="0.25">
      <c r="D102" s="70"/>
      <c r="E102" s="106"/>
      <c r="F102" s="107"/>
    </row>
    <row r="103" spans="4:6" x14ac:dyDescent="0.25">
      <c r="D103" s="70"/>
      <c r="E103" s="106"/>
      <c r="F103" s="107"/>
    </row>
    <row r="104" spans="4:6" x14ac:dyDescent="0.25">
      <c r="D104" s="70"/>
      <c r="E104" s="106"/>
      <c r="F104" s="107"/>
    </row>
    <row r="105" spans="4:6" x14ac:dyDescent="0.25">
      <c r="D105" s="70"/>
      <c r="E105" s="106"/>
      <c r="F105" s="107"/>
    </row>
    <row r="106" spans="4:6" x14ac:dyDescent="0.25">
      <c r="D106" s="70"/>
      <c r="E106" s="106"/>
      <c r="F106" s="107"/>
    </row>
    <row r="107" spans="4:6" x14ac:dyDescent="0.25">
      <c r="D107" s="70"/>
      <c r="E107" s="106"/>
      <c r="F107" s="107"/>
    </row>
    <row r="108" spans="4:6" x14ac:dyDescent="0.25">
      <c r="D108" s="70"/>
      <c r="E108" s="106"/>
      <c r="F108" s="107"/>
    </row>
    <row r="109" spans="4:6" x14ac:dyDescent="0.25">
      <c r="D109" s="70"/>
      <c r="E109" s="106"/>
      <c r="F109" s="107"/>
    </row>
    <row r="110" spans="4:6" x14ac:dyDescent="0.25">
      <c r="D110" s="70"/>
      <c r="E110" s="106"/>
      <c r="F110" s="107"/>
    </row>
    <row r="111" spans="4:6" x14ac:dyDescent="0.25">
      <c r="D111" s="70"/>
      <c r="E111" s="106"/>
      <c r="F111" s="107"/>
    </row>
    <row r="112" spans="4:6" x14ac:dyDescent="0.25">
      <c r="D112" s="70"/>
      <c r="E112" s="106"/>
      <c r="F112" s="107"/>
    </row>
    <row r="113" spans="4:6" x14ac:dyDescent="0.25">
      <c r="D113" s="70"/>
      <c r="E113" s="106"/>
      <c r="F113" s="107"/>
    </row>
    <row r="114" spans="4:6" x14ac:dyDescent="0.25">
      <c r="D114" s="70"/>
      <c r="E114" s="106"/>
      <c r="F114" s="107"/>
    </row>
    <row r="115" spans="4:6" x14ac:dyDescent="0.25">
      <c r="D115" s="70"/>
      <c r="E115" s="106"/>
      <c r="F115" s="107"/>
    </row>
    <row r="116" spans="4:6" x14ac:dyDescent="0.25">
      <c r="D116" s="70"/>
      <c r="E116" s="106"/>
      <c r="F116" s="107"/>
    </row>
    <row r="117" spans="4:6" x14ac:dyDescent="0.25">
      <c r="D117" s="70"/>
      <c r="E117" s="106"/>
      <c r="F117" s="107"/>
    </row>
    <row r="118" spans="4:6" x14ac:dyDescent="0.25">
      <c r="D118" s="70"/>
      <c r="E118" s="106"/>
      <c r="F118" s="107"/>
    </row>
    <row r="119" spans="4:6" x14ac:dyDescent="0.25">
      <c r="D119" s="70"/>
      <c r="E119" s="106"/>
      <c r="F119" s="107"/>
    </row>
    <row r="120" spans="4:6" x14ac:dyDescent="0.25">
      <c r="D120" s="70"/>
      <c r="E120" s="106"/>
      <c r="F120" s="107"/>
    </row>
    <row r="121" spans="4:6" x14ac:dyDescent="0.25">
      <c r="D121" s="70"/>
      <c r="E121" s="106"/>
      <c r="F121" s="107"/>
    </row>
    <row r="122" spans="4:6" x14ac:dyDescent="0.25">
      <c r="D122" s="70"/>
      <c r="E122" s="106"/>
      <c r="F122" s="107"/>
    </row>
    <row r="123" spans="4:6" x14ac:dyDescent="0.25">
      <c r="D123" s="70"/>
      <c r="E123" s="106"/>
      <c r="F123" s="107"/>
    </row>
    <row r="124" spans="4:6" x14ac:dyDescent="0.25">
      <c r="D124" s="70"/>
      <c r="E124" s="106"/>
      <c r="F124" s="107"/>
    </row>
    <row r="125" spans="4:6" x14ac:dyDescent="0.25">
      <c r="D125" s="70"/>
      <c r="E125" s="106"/>
      <c r="F125" s="107"/>
    </row>
    <row r="126" spans="4:6" x14ac:dyDescent="0.25">
      <c r="D126" s="70"/>
      <c r="E126" s="106"/>
      <c r="F126" s="107"/>
    </row>
    <row r="127" spans="4:6" x14ac:dyDescent="0.25">
      <c r="D127" s="70"/>
      <c r="E127" s="106"/>
      <c r="F127" s="107"/>
    </row>
    <row r="128" spans="4:6" x14ac:dyDescent="0.25">
      <c r="D128" s="70"/>
      <c r="E128" s="106"/>
      <c r="F128" s="107"/>
    </row>
    <row r="129" spans="4:6" x14ac:dyDescent="0.25">
      <c r="D129" s="70"/>
      <c r="E129" s="106"/>
      <c r="F129" s="107"/>
    </row>
    <row r="130" spans="4:6" x14ac:dyDescent="0.25">
      <c r="D130" s="70"/>
      <c r="E130" s="106"/>
      <c r="F130" s="107"/>
    </row>
    <row r="131" spans="4:6" x14ac:dyDescent="0.25">
      <c r="D131" s="70"/>
      <c r="E131" s="106"/>
      <c r="F131" s="107"/>
    </row>
    <row r="132" spans="4:6" x14ac:dyDescent="0.25">
      <c r="D132" s="70"/>
      <c r="E132" s="106"/>
      <c r="F132" s="107"/>
    </row>
    <row r="133" spans="4:6" x14ac:dyDescent="0.25">
      <c r="D133" s="70"/>
      <c r="E133" s="106"/>
      <c r="F133" s="107"/>
    </row>
    <row r="134" spans="4:6" x14ac:dyDescent="0.25">
      <c r="D134" s="70"/>
      <c r="E134" s="106"/>
      <c r="F134" s="107"/>
    </row>
    <row r="135" spans="4:6" x14ac:dyDescent="0.25">
      <c r="D135" s="70"/>
      <c r="E135" s="106"/>
      <c r="F135" s="107"/>
    </row>
    <row r="136" spans="4:6" x14ac:dyDescent="0.25">
      <c r="D136" s="70"/>
      <c r="E136" s="106"/>
      <c r="F136" s="107"/>
    </row>
    <row r="137" spans="4:6" x14ac:dyDescent="0.25">
      <c r="D137" s="70"/>
      <c r="E137" s="106"/>
      <c r="F137" s="107"/>
    </row>
    <row r="138" spans="4:6" x14ac:dyDescent="0.25">
      <c r="D138" s="70"/>
      <c r="E138" s="106"/>
      <c r="F138" s="107"/>
    </row>
    <row r="139" spans="4:6" x14ac:dyDescent="0.25">
      <c r="D139" s="70"/>
      <c r="E139" s="106"/>
      <c r="F139" s="107"/>
    </row>
    <row r="140" spans="4:6" x14ac:dyDescent="0.25">
      <c r="D140" s="70"/>
      <c r="E140" s="106"/>
      <c r="F140" s="107"/>
    </row>
    <row r="141" spans="4:6" x14ac:dyDescent="0.25">
      <c r="D141" s="70"/>
      <c r="E141" s="106"/>
      <c r="F141" s="107"/>
    </row>
    <row r="142" spans="4:6" x14ac:dyDescent="0.25">
      <c r="D142" s="70"/>
      <c r="E142" s="106"/>
      <c r="F142" s="107"/>
    </row>
    <row r="143" spans="4:6" x14ac:dyDescent="0.25">
      <c r="D143" s="70"/>
      <c r="E143" s="106"/>
      <c r="F143" s="107"/>
    </row>
    <row r="144" spans="4:6" x14ac:dyDescent="0.25">
      <c r="D144" s="70"/>
      <c r="E144" s="106"/>
      <c r="F144" s="107"/>
    </row>
    <row r="145" spans="4:6" x14ac:dyDescent="0.25">
      <c r="D145" s="70"/>
      <c r="E145" s="106"/>
      <c r="F145" s="107"/>
    </row>
    <row r="146" spans="4:6" x14ac:dyDescent="0.25">
      <c r="D146" s="70"/>
      <c r="E146" s="106"/>
      <c r="F146" s="107"/>
    </row>
    <row r="147" spans="4:6" x14ac:dyDescent="0.25">
      <c r="D147" s="70"/>
      <c r="E147" s="106"/>
      <c r="F147" s="107"/>
    </row>
    <row r="148" spans="4:6" x14ac:dyDescent="0.25">
      <c r="D148" s="70"/>
      <c r="E148" s="106"/>
      <c r="F148" s="107"/>
    </row>
    <row r="149" spans="4:6" x14ac:dyDescent="0.25">
      <c r="D149" s="70"/>
      <c r="E149" s="106"/>
      <c r="F149" s="107"/>
    </row>
    <row r="150" spans="4:6" x14ac:dyDescent="0.25">
      <c r="D150" s="70"/>
      <c r="E150" s="106"/>
      <c r="F150" s="107"/>
    </row>
    <row r="151" spans="4:6" x14ac:dyDescent="0.25">
      <c r="D151" s="70"/>
      <c r="E151" s="106"/>
      <c r="F151" s="107"/>
    </row>
    <row r="152" spans="4:6" x14ac:dyDescent="0.25">
      <c r="D152" s="70"/>
      <c r="E152" s="106"/>
      <c r="F152" s="107"/>
    </row>
    <row r="153" spans="4:6" x14ac:dyDescent="0.25">
      <c r="D153" s="70"/>
      <c r="E153" s="106"/>
      <c r="F153" s="107"/>
    </row>
    <row r="154" spans="4:6" x14ac:dyDescent="0.25">
      <c r="D154" s="70"/>
      <c r="E154" s="106"/>
      <c r="F154" s="107"/>
    </row>
    <row r="155" spans="4:6" x14ac:dyDescent="0.25">
      <c r="D155" s="70"/>
      <c r="E155" s="106"/>
      <c r="F155" s="107"/>
    </row>
    <row r="156" spans="4:6" x14ac:dyDescent="0.25">
      <c r="D156" s="70"/>
      <c r="E156" s="106"/>
      <c r="F156" s="107"/>
    </row>
    <row r="157" spans="4:6" x14ac:dyDescent="0.25">
      <c r="D157" s="70"/>
      <c r="E157" s="106"/>
      <c r="F157" s="107"/>
    </row>
    <row r="158" spans="4:6" x14ac:dyDescent="0.25">
      <c r="D158" s="70"/>
      <c r="E158" s="106"/>
      <c r="F158" s="107"/>
    </row>
    <row r="159" spans="4:6" x14ac:dyDescent="0.25">
      <c r="D159" s="70"/>
      <c r="E159" s="106"/>
      <c r="F159" s="107"/>
    </row>
    <row r="160" spans="4:6" x14ac:dyDescent="0.25">
      <c r="D160" s="70"/>
      <c r="E160" s="106"/>
      <c r="F160" s="107"/>
    </row>
    <row r="161" spans="4:6" x14ac:dyDescent="0.25">
      <c r="D161" s="70"/>
      <c r="E161" s="106"/>
      <c r="F161" s="107"/>
    </row>
    <row r="162" spans="4:6" x14ac:dyDescent="0.25">
      <c r="D162" s="70"/>
      <c r="E162" s="106"/>
      <c r="F162" s="107"/>
    </row>
    <row r="163" spans="4:6" x14ac:dyDescent="0.25">
      <c r="D163" s="70"/>
      <c r="E163" s="106"/>
      <c r="F163" s="107"/>
    </row>
    <row r="164" spans="4:6" x14ac:dyDescent="0.25">
      <c r="D164" s="70"/>
      <c r="E164" s="106"/>
      <c r="F164" s="107"/>
    </row>
    <row r="165" spans="4:6" x14ac:dyDescent="0.25">
      <c r="D165" s="70"/>
      <c r="E165" s="106"/>
      <c r="F165" s="107"/>
    </row>
    <row r="166" spans="4:6" x14ac:dyDescent="0.25">
      <c r="D166" s="70"/>
      <c r="E166" s="106"/>
      <c r="F166" s="107"/>
    </row>
    <row r="167" spans="4:6" x14ac:dyDescent="0.25">
      <c r="D167" s="70"/>
      <c r="E167" s="106"/>
      <c r="F167" s="107"/>
    </row>
    <row r="168" spans="4:6" x14ac:dyDescent="0.25">
      <c r="D168" s="70"/>
      <c r="E168" s="106"/>
      <c r="F168" s="107"/>
    </row>
    <row r="169" spans="4:6" x14ac:dyDescent="0.25">
      <c r="D169" s="70"/>
      <c r="E169" s="106"/>
      <c r="F169" s="107"/>
    </row>
    <row r="170" spans="4:6" x14ac:dyDescent="0.25">
      <c r="D170" s="70"/>
      <c r="E170" s="106"/>
      <c r="F170" s="107"/>
    </row>
    <row r="171" spans="4:6" x14ac:dyDescent="0.25">
      <c r="D171" s="70"/>
      <c r="E171" s="106"/>
      <c r="F171" s="107"/>
    </row>
    <row r="172" spans="4:6" x14ac:dyDescent="0.25">
      <c r="D172" s="70"/>
      <c r="E172" s="106"/>
      <c r="F172" s="107"/>
    </row>
    <row r="173" spans="4:6" x14ac:dyDescent="0.25">
      <c r="D173" s="70"/>
      <c r="E173" s="106"/>
      <c r="F173" s="107"/>
    </row>
    <row r="174" spans="4:6" x14ac:dyDescent="0.25">
      <c r="D174" s="70"/>
      <c r="E174" s="106"/>
      <c r="F174" s="107"/>
    </row>
    <row r="175" spans="4:6" x14ac:dyDescent="0.25">
      <c r="D175" s="70"/>
      <c r="E175" s="106"/>
      <c r="F175" s="107"/>
    </row>
    <row r="176" spans="4:6" x14ac:dyDescent="0.25">
      <c r="D176" s="70"/>
      <c r="E176" s="106"/>
      <c r="F176" s="107"/>
    </row>
    <row r="177" spans="4:6" x14ac:dyDescent="0.25">
      <c r="D177" s="70"/>
      <c r="E177" s="106"/>
      <c r="F177" s="107"/>
    </row>
    <row r="178" spans="4:6" x14ac:dyDescent="0.25">
      <c r="D178" s="70"/>
      <c r="E178" s="106"/>
      <c r="F178" s="107"/>
    </row>
    <row r="179" spans="4:6" x14ac:dyDescent="0.25">
      <c r="D179" s="70"/>
      <c r="E179" s="106"/>
      <c r="F179" s="107"/>
    </row>
    <row r="180" spans="4:6" x14ac:dyDescent="0.25">
      <c r="D180" s="70"/>
      <c r="E180" s="106"/>
      <c r="F180" s="107"/>
    </row>
    <row r="181" spans="4:6" x14ac:dyDescent="0.25">
      <c r="D181" s="70"/>
      <c r="E181" s="106"/>
      <c r="F181" s="107"/>
    </row>
    <row r="182" spans="4:6" x14ac:dyDescent="0.25">
      <c r="D182" s="70"/>
      <c r="E182" s="106"/>
      <c r="F182" s="107"/>
    </row>
    <row r="183" spans="4:6" x14ac:dyDescent="0.25">
      <c r="D183" s="70"/>
      <c r="E183" s="106"/>
      <c r="F183" s="107"/>
    </row>
    <row r="184" spans="4:6" x14ac:dyDescent="0.25">
      <c r="D184" s="70"/>
      <c r="E184" s="106"/>
      <c r="F184" s="107"/>
    </row>
    <row r="185" spans="4:6" x14ac:dyDescent="0.25">
      <c r="D185" s="70"/>
      <c r="E185" s="106"/>
      <c r="F185" s="107"/>
    </row>
    <row r="186" spans="4:6" x14ac:dyDescent="0.25">
      <c r="D186" s="70"/>
      <c r="E186" s="106"/>
      <c r="F186" s="107"/>
    </row>
    <row r="187" spans="4:6" x14ac:dyDescent="0.25">
      <c r="D187" s="70"/>
      <c r="E187" s="106"/>
      <c r="F187" s="107"/>
    </row>
    <row r="188" spans="4:6" x14ac:dyDescent="0.25">
      <c r="D188" s="70"/>
      <c r="E188" s="106"/>
      <c r="F188" s="107"/>
    </row>
    <row r="189" spans="4:6" x14ac:dyDescent="0.25">
      <c r="D189" s="70"/>
      <c r="E189" s="106"/>
      <c r="F189" s="107"/>
    </row>
    <row r="190" spans="4:6" x14ac:dyDescent="0.25">
      <c r="D190" s="70"/>
      <c r="E190" s="106"/>
      <c r="F190" s="107"/>
    </row>
    <row r="191" spans="4:6" x14ac:dyDescent="0.25">
      <c r="D191" s="70"/>
      <c r="E191" s="106"/>
      <c r="F191" s="107"/>
    </row>
    <row r="192" spans="4:6" x14ac:dyDescent="0.25">
      <c r="D192" s="70"/>
      <c r="E192" s="106"/>
      <c r="F192" s="107"/>
    </row>
    <row r="193" spans="4:6" x14ac:dyDescent="0.25">
      <c r="D193" s="70"/>
      <c r="E193" s="106"/>
      <c r="F193" s="107"/>
    </row>
    <row r="194" spans="4:6" x14ac:dyDescent="0.25">
      <c r="D194" s="70"/>
      <c r="E194" s="106"/>
      <c r="F194" s="107"/>
    </row>
    <row r="195" spans="4:6" x14ac:dyDescent="0.25">
      <c r="D195" s="70"/>
      <c r="E195" s="106"/>
      <c r="F195" s="107"/>
    </row>
    <row r="196" spans="4:6" x14ac:dyDescent="0.25">
      <c r="D196" s="70"/>
      <c r="E196" s="106"/>
      <c r="F196" s="107"/>
    </row>
    <row r="197" spans="4:6" x14ac:dyDescent="0.25">
      <c r="D197" s="70"/>
      <c r="E197" s="106"/>
      <c r="F197" s="107"/>
    </row>
    <row r="198" spans="4:6" x14ac:dyDescent="0.25">
      <c r="D198" s="70"/>
      <c r="E198" s="106"/>
      <c r="F198" s="107"/>
    </row>
    <row r="199" spans="4:6" x14ac:dyDescent="0.25">
      <c r="D199" s="70"/>
      <c r="E199" s="106"/>
      <c r="F199" s="107"/>
    </row>
    <row r="200" spans="4:6" x14ac:dyDescent="0.25">
      <c r="D200" s="70"/>
      <c r="E200" s="106"/>
      <c r="F200" s="107"/>
    </row>
    <row r="201" spans="4:6" x14ac:dyDescent="0.25">
      <c r="D201" s="70"/>
      <c r="E201" s="106"/>
      <c r="F201" s="107"/>
    </row>
    <row r="202" spans="4:6" x14ac:dyDescent="0.25">
      <c r="D202" s="70"/>
      <c r="E202" s="106"/>
      <c r="F202" s="107"/>
    </row>
    <row r="203" spans="4:6" x14ac:dyDescent="0.25">
      <c r="D203" s="70"/>
      <c r="E203" s="106"/>
      <c r="F203" s="107"/>
    </row>
    <row r="204" spans="4:6" x14ac:dyDescent="0.25">
      <c r="D204" s="70"/>
      <c r="E204" s="106"/>
      <c r="F204" s="107"/>
    </row>
    <row r="205" spans="4:6" x14ac:dyDescent="0.25">
      <c r="D205" s="70"/>
      <c r="E205" s="106"/>
      <c r="F205" s="107"/>
    </row>
    <row r="206" spans="4:6" x14ac:dyDescent="0.25">
      <c r="D206" s="70"/>
      <c r="E206" s="106"/>
      <c r="F206" s="107"/>
    </row>
    <row r="207" spans="4:6" x14ac:dyDescent="0.25">
      <c r="D207" s="70"/>
      <c r="E207" s="106"/>
      <c r="F207" s="107"/>
    </row>
    <row r="208" spans="4:6" x14ac:dyDescent="0.25">
      <c r="D208" s="70"/>
      <c r="E208" s="106"/>
      <c r="F208" s="107"/>
    </row>
    <row r="209" spans="4:6" x14ac:dyDescent="0.25">
      <c r="D209" s="70"/>
      <c r="E209" s="106"/>
      <c r="F209" s="107"/>
    </row>
    <row r="210" spans="4:6" x14ac:dyDescent="0.25">
      <c r="D210" s="70"/>
      <c r="E210" s="106"/>
      <c r="F210" s="107"/>
    </row>
    <row r="211" spans="4:6" x14ac:dyDescent="0.25">
      <c r="D211" s="70"/>
      <c r="E211" s="106"/>
      <c r="F211" s="107"/>
    </row>
    <row r="212" spans="4:6" x14ac:dyDescent="0.25">
      <c r="D212" s="70"/>
      <c r="E212" s="106"/>
      <c r="F212" s="107"/>
    </row>
    <row r="213" spans="4:6" x14ac:dyDescent="0.25">
      <c r="D213" s="70"/>
      <c r="E213" s="106"/>
      <c r="F213" s="107"/>
    </row>
    <row r="214" spans="4:6" x14ac:dyDescent="0.25">
      <c r="D214" s="70"/>
      <c r="E214" s="106"/>
      <c r="F214" s="107"/>
    </row>
    <row r="215" spans="4:6" x14ac:dyDescent="0.25">
      <c r="D215" s="70"/>
      <c r="E215" s="106"/>
      <c r="F215" s="107"/>
    </row>
    <row r="216" spans="4:6" x14ac:dyDescent="0.25">
      <c r="D216" s="70"/>
      <c r="E216" s="106"/>
      <c r="F216" s="107"/>
    </row>
    <row r="217" spans="4:6" x14ac:dyDescent="0.25">
      <c r="D217" s="70"/>
      <c r="E217" s="106"/>
      <c r="F217" s="107"/>
    </row>
    <row r="218" spans="4:6" x14ac:dyDescent="0.25">
      <c r="D218" s="70"/>
      <c r="E218" s="106"/>
      <c r="F218" s="107"/>
    </row>
    <row r="219" spans="4:6" x14ac:dyDescent="0.25">
      <c r="D219" s="70"/>
      <c r="E219" s="106"/>
      <c r="F219" s="107"/>
    </row>
    <row r="220" spans="4:6" x14ac:dyDescent="0.25">
      <c r="D220" s="70"/>
      <c r="E220" s="106"/>
      <c r="F220" s="107"/>
    </row>
    <row r="221" spans="4:6" x14ac:dyDescent="0.25">
      <c r="D221" s="70"/>
      <c r="E221" s="106"/>
      <c r="F221" s="107"/>
    </row>
    <row r="222" spans="4:6" x14ac:dyDescent="0.25">
      <c r="D222" s="70"/>
      <c r="E222" s="106"/>
      <c r="F222" s="107"/>
    </row>
    <row r="223" spans="4:6" x14ac:dyDescent="0.25">
      <c r="D223" s="70"/>
      <c r="E223" s="106"/>
      <c r="F223" s="107"/>
    </row>
    <row r="224" spans="4:6" x14ac:dyDescent="0.25">
      <c r="D224" s="70"/>
      <c r="E224" s="106"/>
      <c r="F224" s="107"/>
    </row>
    <row r="225" spans="4:6" x14ac:dyDescent="0.25">
      <c r="D225" s="70"/>
      <c r="E225" s="106"/>
      <c r="F225" s="107"/>
    </row>
    <row r="226" spans="4:6" x14ac:dyDescent="0.25">
      <c r="D226" s="70"/>
      <c r="E226" s="106"/>
      <c r="F226" s="107"/>
    </row>
    <row r="227" spans="4:6" x14ac:dyDescent="0.25">
      <c r="D227" s="70"/>
      <c r="E227" s="106"/>
      <c r="F227" s="107"/>
    </row>
    <row r="228" spans="4:6" x14ac:dyDescent="0.25">
      <c r="D228" s="70"/>
      <c r="E228" s="106"/>
      <c r="F228" s="107"/>
    </row>
    <row r="229" spans="4:6" x14ac:dyDescent="0.25">
      <c r="D229" s="70"/>
      <c r="E229" s="106"/>
      <c r="F229" s="107"/>
    </row>
    <row r="230" spans="4:6" x14ac:dyDescent="0.25">
      <c r="D230" s="70"/>
      <c r="E230" s="106"/>
      <c r="F230" s="107"/>
    </row>
    <row r="231" spans="4:6" x14ac:dyDescent="0.25">
      <c r="D231" s="70"/>
      <c r="E231" s="106"/>
      <c r="F231" s="107"/>
    </row>
    <row r="232" spans="4:6" x14ac:dyDescent="0.25">
      <c r="D232" s="70"/>
      <c r="E232" s="106"/>
      <c r="F232" s="107"/>
    </row>
    <row r="233" spans="4:6" x14ac:dyDescent="0.25">
      <c r="D233" s="70"/>
      <c r="E233" s="106"/>
      <c r="F233" s="107"/>
    </row>
    <row r="234" spans="4:6" x14ac:dyDescent="0.25">
      <c r="D234" s="70"/>
      <c r="E234" s="106"/>
      <c r="F234" s="107"/>
    </row>
    <row r="235" spans="4:6" x14ac:dyDescent="0.25">
      <c r="D235" s="70"/>
      <c r="E235" s="106"/>
      <c r="F235" s="107"/>
    </row>
    <row r="236" spans="4:6" x14ac:dyDescent="0.25">
      <c r="D236" s="70"/>
      <c r="E236" s="106"/>
      <c r="F236" s="107"/>
    </row>
    <row r="237" spans="4:6" x14ac:dyDescent="0.25">
      <c r="D237" s="70"/>
      <c r="E237" s="106"/>
      <c r="F237" s="107"/>
    </row>
    <row r="238" spans="4:6" x14ac:dyDescent="0.25">
      <c r="D238" s="70"/>
      <c r="E238" s="106"/>
      <c r="F238" s="107"/>
    </row>
    <row r="239" spans="4:6" x14ac:dyDescent="0.25">
      <c r="D239" s="70"/>
      <c r="E239" s="106"/>
      <c r="F239" s="107"/>
    </row>
    <row r="240" spans="4:6" x14ac:dyDescent="0.25">
      <c r="D240" s="70"/>
      <c r="E240" s="106"/>
      <c r="F240" s="107"/>
    </row>
    <row r="241" spans="4:6" x14ac:dyDescent="0.25">
      <c r="D241" s="70"/>
      <c r="E241" s="106"/>
      <c r="F241" s="107"/>
    </row>
    <row r="242" spans="4:6" x14ac:dyDescent="0.25">
      <c r="D242" s="70"/>
      <c r="E242" s="106"/>
      <c r="F242" s="107"/>
    </row>
    <row r="243" spans="4:6" x14ac:dyDescent="0.25">
      <c r="D243" s="70"/>
      <c r="E243" s="106"/>
      <c r="F243" s="107"/>
    </row>
    <row r="244" spans="4:6" x14ac:dyDescent="0.25">
      <c r="D244" s="70"/>
      <c r="E244" s="106"/>
      <c r="F244" s="107"/>
    </row>
    <row r="245" spans="4:6" x14ac:dyDescent="0.25">
      <c r="D245" s="70"/>
      <c r="E245" s="106"/>
      <c r="F245" s="107"/>
    </row>
    <row r="246" spans="4:6" x14ac:dyDescent="0.25">
      <c r="D246" s="70"/>
      <c r="E246" s="106"/>
      <c r="F246" s="107"/>
    </row>
    <row r="247" spans="4:6" x14ac:dyDescent="0.25">
      <c r="D247" s="70"/>
      <c r="E247" s="106"/>
      <c r="F247" s="107"/>
    </row>
    <row r="248" spans="4:6" x14ac:dyDescent="0.25">
      <c r="D248" s="70"/>
      <c r="E248" s="106"/>
      <c r="F248" s="107"/>
    </row>
    <row r="249" spans="4:6" x14ac:dyDescent="0.25">
      <c r="D249" s="70"/>
      <c r="E249" s="106"/>
      <c r="F249" s="107"/>
    </row>
    <row r="250" spans="4:6" x14ac:dyDescent="0.25">
      <c r="D250" s="70"/>
      <c r="E250" s="106"/>
      <c r="F250" s="107"/>
    </row>
    <row r="251" spans="4:6" x14ac:dyDescent="0.25">
      <c r="D251" s="70"/>
      <c r="E251" s="106"/>
      <c r="F251" s="107"/>
    </row>
    <row r="252" spans="4:6" x14ac:dyDescent="0.25">
      <c r="D252" s="70"/>
      <c r="E252" s="106"/>
      <c r="F252" s="107"/>
    </row>
    <row r="253" spans="4:6" x14ac:dyDescent="0.25">
      <c r="D253" s="70"/>
      <c r="E253" s="106"/>
      <c r="F253" s="107"/>
    </row>
    <row r="254" spans="4:6" x14ac:dyDescent="0.25">
      <c r="D254" s="70"/>
      <c r="E254" s="106"/>
      <c r="F254" s="107"/>
    </row>
    <row r="255" spans="4:6" x14ac:dyDescent="0.25">
      <c r="D255" s="70"/>
      <c r="E255" s="106"/>
      <c r="F255" s="107"/>
    </row>
    <row r="256" spans="4:6" x14ac:dyDescent="0.25">
      <c r="D256" s="70"/>
      <c r="E256" s="106"/>
      <c r="F256" s="107"/>
    </row>
    <row r="257" spans="4:6" x14ac:dyDescent="0.25">
      <c r="D257" s="70"/>
      <c r="E257" s="106"/>
      <c r="F257" s="107"/>
    </row>
    <row r="258" spans="4:6" x14ac:dyDescent="0.25">
      <c r="D258" s="70"/>
      <c r="E258" s="106"/>
      <c r="F258" s="107"/>
    </row>
    <row r="259" spans="4:6" x14ac:dyDescent="0.25">
      <c r="D259" s="70"/>
      <c r="E259" s="106"/>
      <c r="F259" s="107"/>
    </row>
    <row r="260" spans="4:6" x14ac:dyDescent="0.25">
      <c r="D260" s="70"/>
      <c r="E260" s="106"/>
      <c r="F260" s="107"/>
    </row>
    <row r="261" spans="4:6" x14ac:dyDescent="0.25">
      <c r="D261" s="70"/>
      <c r="E261" s="106"/>
      <c r="F261" s="107"/>
    </row>
    <row r="262" spans="4:6" x14ac:dyDescent="0.25">
      <c r="D262" s="70"/>
      <c r="E262" s="106"/>
      <c r="F262" s="107"/>
    </row>
    <row r="263" spans="4:6" x14ac:dyDescent="0.25">
      <c r="D263" s="70"/>
      <c r="E263" s="106"/>
      <c r="F263" s="107"/>
    </row>
    <row r="264" spans="4:6" x14ac:dyDescent="0.25">
      <c r="D264" s="70"/>
      <c r="E264" s="106"/>
      <c r="F264" s="107"/>
    </row>
    <row r="265" spans="4:6" x14ac:dyDescent="0.25">
      <c r="D265" s="70"/>
      <c r="E265" s="106"/>
      <c r="F265" s="107"/>
    </row>
    <row r="266" spans="4:6" x14ac:dyDescent="0.25">
      <c r="D266" s="70"/>
      <c r="E266" s="106"/>
      <c r="F266" s="107"/>
    </row>
    <row r="267" spans="4:6" x14ac:dyDescent="0.25">
      <c r="D267" s="70"/>
      <c r="E267" s="106"/>
      <c r="F267" s="107"/>
    </row>
    <row r="268" spans="4:6" x14ac:dyDescent="0.25">
      <c r="D268" s="70"/>
      <c r="E268" s="106"/>
      <c r="F268" s="107"/>
    </row>
    <row r="269" spans="4:6" x14ac:dyDescent="0.25">
      <c r="D269" s="70"/>
      <c r="E269" s="106"/>
      <c r="F269" s="107"/>
    </row>
    <row r="270" spans="4:6" x14ac:dyDescent="0.25">
      <c r="D270" s="70"/>
      <c r="E270" s="106"/>
      <c r="F270" s="107"/>
    </row>
    <row r="271" spans="4:6" x14ac:dyDescent="0.25">
      <c r="D271" s="70"/>
      <c r="E271" s="106"/>
      <c r="F271" s="107"/>
    </row>
    <row r="272" spans="4:6" x14ac:dyDescent="0.25">
      <c r="D272" s="70"/>
      <c r="E272" s="106"/>
      <c r="F272" s="107"/>
    </row>
    <row r="273" spans="4:6" x14ac:dyDescent="0.25">
      <c r="D273" s="70"/>
      <c r="E273" s="106"/>
      <c r="F273" s="107"/>
    </row>
    <row r="274" spans="4:6" x14ac:dyDescent="0.25">
      <c r="D274" s="70"/>
      <c r="E274" s="106"/>
      <c r="F274" s="107"/>
    </row>
    <row r="275" spans="4:6" x14ac:dyDescent="0.25">
      <c r="D275" s="70"/>
      <c r="E275" s="106"/>
      <c r="F275" s="107"/>
    </row>
    <row r="276" spans="4:6" x14ac:dyDescent="0.25">
      <c r="D276" s="70"/>
      <c r="E276" s="106"/>
      <c r="F276" s="107"/>
    </row>
    <row r="277" spans="4:6" x14ac:dyDescent="0.25">
      <c r="D277" s="70"/>
      <c r="E277" s="106"/>
      <c r="F277" s="107"/>
    </row>
    <row r="278" spans="4:6" x14ac:dyDescent="0.25">
      <c r="D278" s="70"/>
      <c r="E278" s="106"/>
      <c r="F278" s="107"/>
    </row>
    <row r="279" spans="4:6" x14ac:dyDescent="0.25">
      <c r="D279" s="70"/>
      <c r="E279" s="106"/>
      <c r="F279" s="107"/>
    </row>
    <row r="280" spans="4:6" x14ac:dyDescent="0.25">
      <c r="D280" s="70"/>
      <c r="E280" s="106"/>
      <c r="F280" s="107"/>
    </row>
    <row r="281" spans="4:6" x14ac:dyDescent="0.25">
      <c r="D281" s="70"/>
      <c r="E281" s="106"/>
      <c r="F281" s="107"/>
    </row>
    <row r="282" spans="4:6" x14ac:dyDescent="0.25">
      <c r="D282" s="70"/>
      <c r="E282" s="106"/>
      <c r="F282" s="107"/>
    </row>
    <row r="283" spans="4:6" x14ac:dyDescent="0.25">
      <c r="D283" s="70"/>
      <c r="E283" s="106"/>
      <c r="F283" s="107"/>
    </row>
    <row r="284" spans="4:6" x14ac:dyDescent="0.25">
      <c r="D284" s="70"/>
      <c r="E284" s="106"/>
      <c r="F284" s="107"/>
    </row>
    <row r="285" spans="4:6" x14ac:dyDescent="0.25">
      <c r="D285" s="70"/>
      <c r="E285" s="106"/>
      <c r="F285" s="107"/>
    </row>
    <row r="286" spans="4:6" x14ac:dyDescent="0.25">
      <c r="D286" s="70"/>
      <c r="E286" s="106"/>
      <c r="F286" s="107"/>
    </row>
    <row r="287" spans="4:6" x14ac:dyDescent="0.25">
      <c r="D287" s="70"/>
      <c r="E287" s="106"/>
      <c r="F287" s="107"/>
    </row>
    <row r="288" spans="4:6" x14ac:dyDescent="0.25">
      <c r="D288" s="70"/>
      <c r="E288" s="106"/>
      <c r="F288" s="107"/>
    </row>
    <row r="289" spans="4:6" x14ac:dyDescent="0.25">
      <c r="D289" s="70"/>
      <c r="E289" s="106"/>
      <c r="F289" s="107"/>
    </row>
    <row r="290" spans="4:6" x14ac:dyDescent="0.25">
      <c r="D290" s="70"/>
      <c r="E290" s="106"/>
      <c r="F290" s="107"/>
    </row>
    <row r="291" spans="4:6" x14ac:dyDescent="0.25">
      <c r="D291" s="70"/>
      <c r="E291" s="106"/>
      <c r="F291" s="107"/>
    </row>
    <row r="292" spans="4:6" x14ac:dyDescent="0.25">
      <c r="D292" s="70"/>
      <c r="E292" s="106"/>
      <c r="F292" s="107"/>
    </row>
    <row r="293" spans="4:6" x14ac:dyDescent="0.25">
      <c r="D293" s="70"/>
      <c r="E293" s="106"/>
      <c r="F293" s="107"/>
    </row>
    <row r="294" spans="4:6" x14ac:dyDescent="0.25">
      <c r="D294" s="70"/>
      <c r="E294" s="106"/>
      <c r="F294" s="107"/>
    </row>
    <row r="295" spans="4:6" x14ac:dyDescent="0.25">
      <c r="D295" s="70"/>
      <c r="E295" s="106"/>
      <c r="F295" s="107"/>
    </row>
    <row r="296" spans="4:6" x14ac:dyDescent="0.25">
      <c r="D296" s="70"/>
      <c r="E296" s="106"/>
      <c r="F296" s="107"/>
    </row>
    <row r="297" spans="4:6" x14ac:dyDescent="0.25">
      <c r="D297" s="70"/>
      <c r="E297" s="106"/>
      <c r="F297" s="107"/>
    </row>
    <row r="298" spans="4:6" x14ac:dyDescent="0.25">
      <c r="D298" s="70"/>
      <c r="E298" s="106"/>
      <c r="F298" s="107"/>
    </row>
    <row r="299" spans="4:6" x14ac:dyDescent="0.25">
      <c r="D299" s="70"/>
      <c r="E299" s="106"/>
      <c r="F299" s="107"/>
    </row>
    <row r="300" spans="4:6" x14ac:dyDescent="0.25">
      <c r="D300" s="70"/>
      <c r="E300" s="106"/>
      <c r="F300" s="107"/>
    </row>
    <row r="301" spans="4:6" x14ac:dyDescent="0.25">
      <c r="D301" s="70"/>
      <c r="E301" s="106"/>
      <c r="F301" s="107"/>
    </row>
    <row r="302" spans="4:6" x14ac:dyDescent="0.25">
      <c r="D302" s="70"/>
      <c r="E302" s="106"/>
      <c r="F302" s="107"/>
    </row>
    <row r="303" spans="4:6" x14ac:dyDescent="0.25">
      <c r="D303" s="70"/>
      <c r="E303" s="106"/>
      <c r="F303" s="107"/>
    </row>
    <row r="304" spans="4:6" x14ac:dyDescent="0.25">
      <c r="D304" s="70"/>
      <c r="E304" s="106"/>
      <c r="F304" s="107"/>
    </row>
    <row r="305" spans="4:6" x14ac:dyDescent="0.25">
      <c r="D305" s="70"/>
      <c r="E305" s="106"/>
      <c r="F305" s="107"/>
    </row>
    <row r="306" spans="4:6" x14ac:dyDescent="0.25">
      <c r="D306" s="70"/>
      <c r="E306" s="106"/>
      <c r="F306" s="107"/>
    </row>
    <row r="307" spans="4:6" x14ac:dyDescent="0.25">
      <c r="D307" s="70"/>
      <c r="E307" s="106"/>
      <c r="F307" s="107"/>
    </row>
    <row r="308" spans="4:6" x14ac:dyDescent="0.25">
      <c r="D308" s="70"/>
      <c r="E308" s="106"/>
      <c r="F308" s="107"/>
    </row>
    <row r="309" spans="4:6" x14ac:dyDescent="0.25">
      <c r="D309" s="70"/>
      <c r="E309" s="106"/>
      <c r="F309" s="107"/>
    </row>
    <row r="310" spans="4:6" x14ac:dyDescent="0.25">
      <c r="D310" s="70"/>
      <c r="E310" s="106"/>
      <c r="F310" s="107"/>
    </row>
    <row r="311" spans="4:6" x14ac:dyDescent="0.25">
      <c r="D311" s="70"/>
      <c r="E311" s="106"/>
      <c r="F311" s="107"/>
    </row>
    <row r="312" spans="4:6" x14ac:dyDescent="0.25">
      <c r="D312" s="70"/>
      <c r="E312" s="106"/>
      <c r="F312" s="107"/>
    </row>
    <row r="313" spans="4:6" x14ac:dyDescent="0.25">
      <c r="D313" s="70"/>
      <c r="E313" s="106"/>
      <c r="F313" s="107"/>
    </row>
    <row r="314" spans="4:6" x14ac:dyDescent="0.25">
      <c r="D314" s="70"/>
      <c r="E314" s="106"/>
      <c r="F314" s="107"/>
    </row>
    <row r="315" spans="4:6" x14ac:dyDescent="0.25">
      <c r="D315" s="70"/>
      <c r="E315" s="106"/>
      <c r="F315" s="107"/>
    </row>
    <row r="316" spans="4:6" x14ac:dyDescent="0.25">
      <c r="D316" s="70"/>
      <c r="E316" s="106"/>
      <c r="F316" s="107"/>
    </row>
    <row r="317" spans="4:6" x14ac:dyDescent="0.25">
      <c r="D317" s="70"/>
      <c r="E317" s="106"/>
      <c r="F317" s="107"/>
    </row>
    <row r="318" spans="4:6" x14ac:dyDescent="0.25">
      <c r="D318" s="70"/>
      <c r="E318" s="106"/>
      <c r="F318" s="107"/>
    </row>
    <row r="319" spans="4:6" x14ac:dyDescent="0.25">
      <c r="D319" s="70"/>
      <c r="E319" s="106"/>
      <c r="F319" s="107"/>
    </row>
    <row r="320" spans="4:6" x14ac:dyDescent="0.25">
      <c r="D320" s="70"/>
      <c r="E320" s="106"/>
      <c r="F320" s="107"/>
    </row>
    <row r="321" spans="4:6" x14ac:dyDescent="0.25">
      <c r="D321" s="70"/>
      <c r="E321" s="106"/>
      <c r="F321" s="107"/>
    </row>
    <row r="322" spans="4:6" x14ac:dyDescent="0.25">
      <c r="D322" s="70"/>
      <c r="E322" s="106"/>
      <c r="F322" s="107"/>
    </row>
    <row r="323" spans="4:6" x14ac:dyDescent="0.25">
      <c r="D323" s="70"/>
      <c r="E323" s="106"/>
      <c r="F323" s="107"/>
    </row>
    <row r="324" spans="4:6" x14ac:dyDescent="0.25">
      <c r="D324" s="70"/>
      <c r="E324" s="106"/>
      <c r="F324" s="107"/>
    </row>
    <row r="325" spans="4:6" x14ac:dyDescent="0.25">
      <c r="D325" s="70"/>
      <c r="E325" s="106"/>
      <c r="F325" s="107"/>
    </row>
    <row r="326" spans="4:6" x14ac:dyDescent="0.25">
      <c r="D326" s="70"/>
      <c r="E326" s="106"/>
      <c r="F326" s="107"/>
    </row>
    <row r="327" spans="4:6" x14ac:dyDescent="0.25">
      <c r="D327" s="70"/>
      <c r="E327" s="106"/>
      <c r="F327" s="107"/>
    </row>
    <row r="328" spans="4:6" x14ac:dyDescent="0.25">
      <c r="D328" s="70"/>
      <c r="E328" s="106"/>
      <c r="F328" s="107"/>
    </row>
    <row r="329" spans="4:6" x14ac:dyDescent="0.25">
      <c r="D329" s="70"/>
      <c r="E329" s="106"/>
      <c r="F329" s="107"/>
    </row>
    <row r="330" spans="4:6" x14ac:dyDescent="0.25">
      <c r="D330" s="70"/>
      <c r="E330" s="106"/>
      <c r="F330" s="107"/>
    </row>
    <row r="331" spans="4:6" x14ac:dyDescent="0.25">
      <c r="D331" s="70"/>
      <c r="E331" s="106"/>
      <c r="F331" s="107"/>
    </row>
    <row r="332" spans="4:6" x14ac:dyDescent="0.25">
      <c r="D332" s="70"/>
      <c r="E332" s="106"/>
      <c r="F332" s="107"/>
    </row>
    <row r="333" spans="4:6" x14ac:dyDescent="0.25">
      <c r="D333" s="70"/>
      <c r="E333" s="106"/>
      <c r="F333" s="107"/>
    </row>
    <row r="334" spans="4:6" x14ac:dyDescent="0.25">
      <c r="D334" s="70"/>
      <c r="E334" s="106"/>
      <c r="F334" s="107"/>
    </row>
    <row r="335" spans="4:6" x14ac:dyDescent="0.25">
      <c r="D335" s="70"/>
      <c r="E335" s="106"/>
      <c r="F335" s="107"/>
    </row>
    <row r="336" spans="4:6" x14ac:dyDescent="0.25">
      <c r="D336" s="70"/>
      <c r="E336" s="106"/>
      <c r="F336" s="107"/>
    </row>
    <row r="337" spans="4:6" x14ac:dyDescent="0.25">
      <c r="D337" s="70"/>
      <c r="E337" s="106"/>
      <c r="F337" s="107"/>
    </row>
    <row r="338" spans="4:6" x14ac:dyDescent="0.25">
      <c r="D338" s="70"/>
      <c r="E338" s="106"/>
      <c r="F338" s="107"/>
    </row>
    <row r="339" spans="4:6" x14ac:dyDescent="0.25">
      <c r="D339" s="70"/>
      <c r="E339" s="106"/>
      <c r="F339" s="107"/>
    </row>
    <row r="340" spans="4:6" x14ac:dyDescent="0.25">
      <c r="D340" s="70"/>
      <c r="E340" s="106"/>
      <c r="F340" s="107"/>
    </row>
    <row r="341" spans="4:6" x14ac:dyDescent="0.25">
      <c r="D341" s="70"/>
      <c r="E341" s="106"/>
      <c r="F341" s="107"/>
    </row>
    <row r="342" spans="4:6" x14ac:dyDescent="0.25">
      <c r="D342" s="70"/>
      <c r="E342" s="106"/>
      <c r="F342" s="107"/>
    </row>
    <row r="343" spans="4:6" x14ac:dyDescent="0.25">
      <c r="D343" s="70"/>
      <c r="E343" s="106"/>
      <c r="F343" s="107"/>
    </row>
    <row r="344" spans="4:6" x14ac:dyDescent="0.25">
      <c r="D344" s="70"/>
      <c r="E344" s="106"/>
      <c r="F344" s="107"/>
    </row>
    <row r="345" spans="4:6" x14ac:dyDescent="0.25">
      <c r="D345" s="70"/>
      <c r="E345" s="106"/>
      <c r="F345" s="107"/>
    </row>
    <row r="346" spans="4:6" x14ac:dyDescent="0.25">
      <c r="D346" s="70"/>
      <c r="E346" s="106"/>
      <c r="F346" s="107"/>
    </row>
    <row r="347" spans="4:6" x14ac:dyDescent="0.25">
      <c r="D347" s="70"/>
      <c r="E347" s="106"/>
      <c r="F347" s="107"/>
    </row>
    <row r="348" spans="4:6" x14ac:dyDescent="0.25">
      <c r="D348" s="70"/>
      <c r="E348" s="106"/>
      <c r="F348" s="107"/>
    </row>
    <row r="349" spans="4:6" x14ac:dyDescent="0.25">
      <c r="D349" s="70"/>
      <c r="E349" s="106"/>
      <c r="F349" s="107"/>
    </row>
    <row r="350" spans="4:6" x14ac:dyDescent="0.25">
      <c r="D350" s="70"/>
      <c r="E350" s="106"/>
      <c r="F350" s="107"/>
    </row>
    <row r="351" spans="4:6" x14ac:dyDescent="0.25">
      <c r="D351" s="70"/>
      <c r="E351" s="106"/>
      <c r="F351" s="107"/>
    </row>
    <row r="352" spans="4:6" x14ac:dyDescent="0.25">
      <c r="D352" s="70"/>
      <c r="E352" s="106"/>
      <c r="F352" s="107"/>
    </row>
    <row r="353" spans="4:6" x14ac:dyDescent="0.25">
      <c r="D353" s="70"/>
      <c r="E353" s="106"/>
      <c r="F353" s="107"/>
    </row>
    <row r="354" spans="4:6" x14ac:dyDescent="0.25">
      <c r="D354" s="70"/>
      <c r="E354" s="106"/>
      <c r="F354" s="107"/>
    </row>
    <row r="355" spans="4:6" x14ac:dyDescent="0.25">
      <c r="D355" s="70"/>
      <c r="E355" s="106"/>
      <c r="F355" s="107"/>
    </row>
    <row r="356" spans="4:6" x14ac:dyDescent="0.25">
      <c r="D356" s="70"/>
      <c r="E356" s="106"/>
      <c r="F356" s="107"/>
    </row>
    <row r="357" spans="4:6" x14ac:dyDescent="0.25">
      <c r="D357" s="70"/>
      <c r="E357" s="106"/>
      <c r="F357" s="107"/>
    </row>
    <row r="358" spans="4:6" x14ac:dyDescent="0.25">
      <c r="D358" s="70"/>
      <c r="E358" s="106"/>
      <c r="F358" s="107"/>
    </row>
    <row r="359" spans="4:6" x14ac:dyDescent="0.25">
      <c r="D359" s="70"/>
      <c r="E359" s="106"/>
      <c r="F359" s="107"/>
    </row>
    <row r="360" spans="4:6" x14ac:dyDescent="0.25">
      <c r="D360" s="70"/>
      <c r="E360" s="106"/>
      <c r="F360" s="107"/>
    </row>
    <row r="361" spans="4:6" x14ac:dyDescent="0.25">
      <c r="D361" s="70"/>
      <c r="E361" s="106"/>
      <c r="F361" s="107"/>
    </row>
    <row r="362" spans="4:6" x14ac:dyDescent="0.25">
      <c r="D362" s="70"/>
      <c r="E362" s="106"/>
      <c r="F362" s="107"/>
    </row>
    <row r="363" spans="4:6" x14ac:dyDescent="0.25">
      <c r="D363" s="70"/>
      <c r="E363" s="106"/>
      <c r="F363" s="107"/>
    </row>
    <row r="364" spans="4:6" x14ac:dyDescent="0.25">
      <c r="D364" s="70"/>
      <c r="E364" s="106"/>
      <c r="F364" s="107"/>
    </row>
    <row r="365" spans="4:6" x14ac:dyDescent="0.25">
      <c r="D365" s="70"/>
      <c r="E365" s="106"/>
      <c r="F365" s="107"/>
    </row>
    <row r="366" spans="4:6" x14ac:dyDescent="0.25">
      <c r="D366" s="70"/>
      <c r="E366" s="106"/>
      <c r="F366" s="107"/>
    </row>
    <row r="367" spans="4:6" x14ac:dyDescent="0.25">
      <c r="D367" s="70"/>
      <c r="E367" s="106"/>
      <c r="F367" s="107"/>
    </row>
    <row r="368" spans="4:6" x14ac:dyDescent="0.25">
      <c r="D368" s="70"/>
      <c r="E368" s="106"/>
      <c r="F368" s="107"/>
    </row>
    <row r="369" spans="4:6" x14ac:dyDescent="0.25">
      <c r="D369" s="70"/>
      <c r="E369" s="106"/>
      <c r="F369" s="107"/>
    </row>
    <row r="370" spans="4:6" x14ac:dyDescent="0.25">
      <c r="D370" s="70"/>
      <c r="E370" s="106"/>
      <c r="F370" s="107"/>
    </row>
    <row r="371" spans="4:6" x14ac:dyDescent="0.25">
      <c r="D371" s="70"/>
      <c r="E371" s="106"/>
      <c r="F371" s="107"/>
    </row>
    <row r="372" spans="4:6" x14ac:dyDescent="0.25">
      <c r="D372" s="70"/>
      <c r="E372" s="106"/>
      <c r="F372" s="107"/>
    </row>
    <row r="373" spans="4:6" x14ac:dyDescent="0.25">
      <c r="D373" s="70"/>
      <c r="E373" s="106"/>
      <c r="F373" s="107"/>
    </row>
    <row r="374" spans="4:6" x14ac:dyDescent="0.25">
      <c r="D374" s="70"/>
      <c r="E374" s="106"/>
      <c r="F374" s="107"/>
    </row>
    <row r="375" spans="4:6" x14ac:dyDescent="0.25">
      <c r="D375" s="70"/>
      <c r="E375" s="106"/>
      <c r="F375" s="107"/>
    </row>
    <row r="376" spans="4:6" x14ac:dyDescent="0.25">
      <c r="D376" s="70"/>
      <c r="E376" s="106"/>
      <c r="F376" s="107"/>
    </row>
    <row r="377" spans="4:6" x14ac:dyDescent="0.25">
      <c r="D377" s="70"/>
      <c r="E377" s="106"/>
      <c r="F377" s="107"/>
    </row>
    <row r="378" spans="4:6" x14ac:dyDescent="0.25">
      <c r="D378" s="70"/>
      <c r="E378" s="106"/>
      <c r="F378" s="107"/>
    </row>
    <row r="379" spans="4:6" x14ac:dyDescent="0.25">
      <c r="D379" s="70"/>
      <c r="E379" s="106"/>
      <c r="F379" s="107"/>
    </row>
    <row r="380" spans="4:6" x14ac:dyDescent="0.25">
      <c r="D380" s="70"/>
      <c r="E380" s="106"/>
      <c r="F380" s="107"/>
    </row>
    <row r="381" spans="4:6" x14ac:dyDescent="0.25">
      <c r="D381" s="70"/>
      <c r="E381" s="106"/>
      <c r="F381" s="107"/>
    </row>
    <row r="382" spans="4:6" x14ac:dyDescent="0.25">
      <c r="D382" s="70"/>
      <c r="E382" s="106"/>
      <c r="F382" s="107"/>
    </row>
    <row r="383" spans="4:6" x14ac:dyDescent="0.25">
      <c r="D383" s="70"/>
      <c r="E383" s="106"/>
      <c r="F383" s="107"/>
    </row>
    <row r="384" spans="4:6" x14ac:dyDescent="0.25">
      <c r="D384" s="70"/>
      <c r="E384" s="106"/>
      <c r="F384" s="107"/>
    </row>
    <row r="385" spans="4:6" x14ac:dyDescent="0.25">
      <c r="D385" s="70"/>
      <c r="E385" s="106"/>
      <c r="F385" s="107"/>
    </row>
    <row r="386" spans="4:6" x14ac:dyDescent="0.25">
      <c r="D386" s="70"/>
      <c r="E386" s="106"/>
      <c r="F386" s="107"/>
    </row>
    <row r="387" spans="4:6" x14ac:dyDescent="0.25">
      <c r="D387" s="70"/>
      <c r="E387" s="106"/>
      <c r="F387" s="107"/>
    </row>
    <row r="388" spans="4:6" x14ac:dyDescent="0.25">
      <c r="D388" s="70"/>
      <c r="E388" s="106"/>
      <c r="F388" s="107"/>
    </row>
    <row r="389" spans="4:6" x14ac:dyDescent="0.25">
      <c r="D389" s="70"/>
      <c r="E389" s="106"/>
      <c r="F389" s="107"/>
    </row>
    <row r="390" spans="4:6" x14ac:dyDescent="0.25">
      <c r="D390" s="70"/>
      <c r="E390" s="106"/>
      <c r="F390" s="107"/>
    </row>
    <row r="391" spans="4:6" x14ac:dyDescent="0.25">
      <c r="D391" s="70"/>
      <c r="E391" s="106"/>
      <c r="F391" s="107"/>
    </row>
    <row r="392" spans="4:6" x14ac:dyDescent="0.25">
      <c r="D392" s="70"/>
      <c r="E392" s="106"/>
      <c r="F392" s="107"/>
    </row>
    <row r="393" spans="4:6" x14ac:dyDescent="0.25">
      <c r="D393" s="70"/>
      <c r="E393" s="106"/>
      <c r="F393" s="107"/>
    </row>
    <row r="394" spans="4:6" x14ac:dyDescent="0.25">
      <c r="D394" s="70"/>
      <c r="E394" s="106"/>
      <c r="F394" s="107"/>
    </row>
    <row r="395" spans="4:6" x14ac:dyDescent="0.25">
      <c r="D395" s="70"/>
      <c r="E395" s="106"/>
      <c r="F395" s="107"/>
    </row>
    <row r="396" spans="4:6" x14ac:dyDescent="0.25">
      <c r="D396" s="70"/>
      <c r="E396" s="106"/>
      <c r="F396" s="107"/>
    </row>
    <row r="397" spans="4:6" x14ac:dyDescent="0.25">
      <c r="D397" s="70"/>
      <c r="E397" s="106"/>
      <c r="F397" s="107"/>
    </row>
    <row r="398" spans="4:6" x14ac:dyDescent="0.25">
      <c r="D398" s="70"/>
      <c r="E398" s="106"/>
      <c r="F398" s="107"/>
    </row>
    <row r="399" spans="4:6" x14ac:dyDescent="0.25">
      <c r="D399" s="70"/>
      <c r="E399" s="106"/>
      <c r="F399" s="107"/>
    </row>
    <row r="400" spans="4:6" x14ac:dyDescent="0.25">
      <c r="D400" s="70"/>
      <c r="E400" s="106"/>
      <c r="F400" s="107"/>
    </row>
    <row r="401" spans="4:6" x14ac:dyDescent="0.25">
      <c r="D401" s="70"/>
      <c r="E401" s="106"/>
      <c r="F401" s="107"/>
    </row>
    <row r="402" spans="4:6" x14ac:dyDescent="0.25">
      <c r="D402" s="70"/>
      <c r="E402" s="106"/>
      <c r="F402" s="107"/>
    </row>
    <row r="403" spans="4:6" x14ac:dyDescent="0.25">
      <c r="D403" s="70"/>
      <c r="E403" s="106"/>
      <c r="F403" s="107"/>
    </row>
    <row r="404" spans="4:6" x14ac:dyDescent="0.25">
      <c r="D404" s="70"/>
      <c r="E404" s="106"/>
      <c r="F404" s="107"/>
    </row>
    <row r="405" spans="4:6" x14ac:dyDescent="0.25">
      <c r="D405" s="70"/>
      <c r="E405" s="106"/>
      <c r="F405" s="107"/>
    </row>
    <row r="406" spans="4:6" x14ac:dyDescent="0.25">
      <c r="D406" s="70"/>
      <c r="E406" s="106"/>
      <c r="F406" s="107"/>
    </row>
    <row r="407" spans="4:6" x14ac:dyDescent="0.25">
      <c r="D407" s="70"/>
      <c r="E407" s="106"/>
      <c r="F407" s="107"/>
    </row>
    <row r="408" spans="4:6" x14ac:dyDescent="0.25">
      <c r="D408" s="70"/>
      <c r="E408" s="106"/>
      <c r="F408" s="107"/>
    </row>
    <row r="409" spans="4:6" x14ac:dyDescent="0.25">
      <c r="D409" s="70"/>
      <c r="E409" s="106"/>
      <c r="F409" s="107"/>
    </row>
    <row r="410" spans="4:6" x14ac:dyDescent="0.25">
      <c r="D410" s="70"/>
      <c r="E410" s="106"/>
      <c r="F410" s="107"/>
    </row>
    <row r="411" spans="4:6" x14ac:dyDescent="0.25">
      <c r="D411" s="70"/>
      <c r="E411" s="106"/>
      <c r="F411" s="107"/>
    </row>
    <row r="412" spans="4:6" x14ac:dyDescent="0.25">
      <c r="D412" s="70"/>
      <c r="E412" s="106"/>
      <c r="F412" s="107"/>
    </row>
    <row r="413" spans="4:6" x14ac:dyDescent="0.25">
      <c r="D413" s="70"/>
      <c r="E413" s="106"/>
      <c r="F413" s="107"/>
    </row>
    <row r="414" spans="4:6" x14ac:dyDescent="0.25">
      <c r="D414" s="70"/>
      <c r="E414" s="106"/>
      <c r="F414" s="107"/>
    </row>
    <row r="415" spans="4:6" x14ac:dyDescent="0.25">
      <c r="D415" s="70"/>
      <c r="E415" s="106"/>
      <c r="F415" s="107"/>
    </row>
    <row r="416" spans="4:6" x14ac:dyDescent="0.25">
      <c r="D416" s="70"/>
      <c r="E416" s="106"/>
      <c r="F416" s="107"/>
    </row>
    <row r="417" spans="4:6" x14ac:dyDescent="0.25">
      <c r="D417" s="70"/>
      <c r="E417" s="106"/>
      <c r="F417" s="107"/>
    </row>
    <row r="418" spans="4:6" x14ac:dyDescent="0.25">
      <c r="D418" s="70"/>
      <c r="E418" s="106"/>
      <c r="F418" s="107"/>
    </row>
    <row r="419" spans="4:6" x14ac:dyDescent="0.25">
      <c r="D419" s="70"/>
      <c r="E419" s="106"/>
      <c r="F419" s="107"/>
    </row>
    <row r="420" spans="4:6" x14ac:dyDescent="0.25">
      <c r="D420" s="70"/>
      <c r="E420" s="106"/>
      <c r="F420" s="107"/>
    </row>
    <row r="421" spans="4:6" x14ac:dyDescent="0.25">
      <c r="D421" s="70"/>
      <c r="E421" s="106"/>
      <c r="F421" s="107"/>
    </row>
    <row r="422" spans="4:6" x14ac:dyDescent="0.25">
      <c r="D422" s="70"/>
      <c r="E422" s="106"/>
      <c r="F422" s="107"/>
    </row>
    <row r="423" spans="4:6" x14ac:dyDescent="0.25">
      <c r="D423" s="70"/>
      <c r="E423" s="106"/>
      <c r="F423" s="107"/>
    </row>
    <row r="424" spans="4:6" x14ac:dyDescent="0.25">
      <c r="D424" s="70"/>
      <c r="E424" s="106"/>
      <c r="F424" s="107"/>
    </row>
    <row r="425" spans="4:6" x14ac:dyDescent="0.25">
      <c r="D425" s="70"/>
      <c r="E425" s="106"/>
      <c r="F425" s="107"/>
    </row>
    <row r="426" spans="4:6" x14ac:dyDescent="0.25">
      <c r="D426" s="70"/>
      <c r="E426" s="106"/>
      <c r="F426" s="107"/>
    </row>
    <row r="427" spans="4:6" x14ac:dyDescent="0.25">
      <c r="D427" s="70"/>
      <c r="E427" s="106"/>
      <c r="F427" s="107"/>
    </row>
    <row r="428" spans="4:6" x14ac:dyDescent="0.25">
      <c r="D428" s="70"/>
      <c r="E428" s="106"/>
      <c r="F428" s="107"/>
    </row>
    <row r="429" spans="4:6" x14ac:dyDescent="0.25">
      <c r="D429" s="70"/>
      <c r="E429" s="106"/>
      <c r="F429" s="107"/>
    </row>
    <row r="430" spans="4:6" x14ac:dyDescent="0.25">
      <c r="D430" s="70"/>
      <c r="E430" s="106"/>
      <c r="F430" s="107"/>
    </row>
    <row r="431" spans="4:6" x14ac:dyDescent="0.25">
      <c r="D431" s="70"/>
      <c r="E431" s="106"/>
      <c r="F431" s="107"/>
    </row>
    <row r="432" spans="4:6" x14ac:dyDescent="0.25">
      <c r="D432" s="70"/>
      <c r="E432" s="106"/>
      <c r="F432" s="107"/>
    </row>
    <row r="433" spans="4:6" x14ac:dyDescent="0.25">
      <c r="D433" s="70"/>
      <c r="E433" s="106"/>
      <c r="F433" s="107"/>
    </row>
    <row r="434" spans="4:6" x14ac:dyDescent="0.25">
      <c r="D434" s="70"/>
      <c r="E434" s="106"/>
      <c r="F434" s="107"/>
    </row>
    <row r="435" spans="4:6" x14ac:dyDescent="0.25">
      <c r="D435" s="70"/>
      <c r="E435" s="106"/>
      <c r="F435" s="107"/>
    </row>
    <row r="436" spans="4:6" x14ac:dyDescent="0.25">
      <c r="D436" s="70"/>
      <c r="E436" s="106"/>
      <c r="F436" s="107"/>
    </row>
    <row r="437" spans="4:6" x14ac:dyDescent="0.25">
      <c r="D437" s="70"/>
      <c r="E437" s="106"/>
      <c r="F437" s="107"/>
    </row>
    <row r="438" spans="4:6" x14ac:dyDescent="0.25">
      <c r="D438" s="70"/>
      <c r="E438" s="106"/>
      <c r="F438" s="107"/>
    </row>
    <row r="439" spans="4:6" x14ac:dyDescent="0.25">
      <c r="D439" s="70"/>
      <c r="E439" s="106"/>
      <c r="F439" s="107"/>
    </row>
    <row r="440" spans="4:6" x14ac:dyDescent="0.25">
      <c r="D440" s="70"/>
      <c r="E440" s="106"/>
      <c r="F440" s="107"/>
    </row>
    <row r="441" spans="4:6" x14ac:dyDescent="0.25">
      <c r="D441" s="70"/>
      <c r="E441" s="106"/>
      <c r="F441" s="107"/>
    </row>
    <row r="442" spans="4:6" x14ac:dyDescent="0.25">
      <c r="D442" s="70"/>
      <c r="E442" s="106"/>
      <c r="F442" s="107"/>
    </row>
    <row r="443" spans="4:6" x14ac:dyDescent="0.25">
      <c r="D443" s="70"/>
      <c r="E443" s="106"/>
      <c r="F443" s="107"/>
    </row>
    <row r="444" spans="4:6" x14ac:dyDescent="0.25">
      <c r="D444" s="70"/>
      <c r="E444" s="106"/>
      <c r="F444" s="107"/>
    </row>
    <row r="445" spans="4:6" x14ac:dyDescent="0.25">
      <c r="D445" s="70"/>
      <c r="E445" s="106"/>
      <c r="F445" s="107"/>
    </row>
    <row r="446" spans="4:6" x14ac:dyDescent="0.25">
      <c r="D446" s="70"/>
      <c r="E446" s="106"/>
      <c r="F446" s="107"/>
    </row>
    <row r="447" spans="4:6" x14ac:dyDescent="0.25">
      <c r="D447" s="70"/>
      <c r="E447" s="106"/>
      <c r="F447" s="107"/>
    </row>
    <row r="448" spans="4:6" x14ac:dyDescent="0.25">
      <c r="D448" s="70"/>
      <c r="E448" s="106"/>
      <c r="F448" s="107"/>
    </row>
    <row r="449" spans="4:6" x14ac:dyDescent="0.25">
      <c r="D449" s="70"/>
      <c r="E449" s="106"/>
      <c r="F449" s="107"/>
    </row>
    <row r="450" spans="4:6" x14ac:dyDescent="0.25">
      <c r="D450" s="70"/>
      <c r="E450" s="106"/>
      <c r="F450" s="107"/>
    </row>
    <row r="451" spans="4:6" x14ac:dyDescent="0.25">
      <c r="D451" s="70"/>
      <c r="E451" s="106"/>
      <c r="F451" s="107"/>
    </row>
    <row r="452" spans="4:6" x14ac:dyDescent="0.25">
      <c r="D452" s="70"/>
      <c r="E452" s="106"/>
      <c r="F452" s="107"/>
    </row>
    <row r="453" spans="4:6" x14ac:dyDescent="0.25">
      <c r="D453" s="70"/>
      <c r="E453" s="106"/>
      <c r="F453" s="107"/>
    </row>
    <row r="454" spans="4:6" x14ac:dyDescent="0.25">
      <c r="D454" s="70"/>
      <c r="E454" s="106"/>
      <c r="F454" s="107"/>
    </row>
    <row r="455" spans="4:6" x14ac:dyDescent="0.25">
      <c r="D455" s="70"/>
      <c r="E455" s="106"/>
      <c r="F455" s="107"/>
    </row>
    <row r="456" spans="4:6" x14ac:dyDescent="0.25">
      <c r="D456" s="70"/>
      <c r="E456" s="106"/>
      <c r="F456" s="107"/>
    </row>
    <row r="457" spans="4:6" x14ac:dyDescent="0.25">
      <c r="D457" s="70"/>
      <c r="E457" s="106"/>
      <c r="F457" s="107"/>
    </row>
    <row r="458" spans="4:6" x14ac:dyDescent="0.25">
      <c r="D458" s="70"/>
      <c r="E458" s="106"/>
      <c r="F458" s="107"/>
    </row>
    <row r="459" spans="4:6" x14ac:dyDescent="0.25">
      <c r="D459" s="70"/>
      <c r="E459" s="106"/>
      <c r="F459" s="107"/>
    </row>
    <row r="460" spans="4:6" x14ac:dyDescent="0.25">
      <c r="D460" s="70"/>
      <c r="E460" s="106"/>
      <c r="F460" s="107"/>
    </row>
    <row r="461" spans="4:6" x14ac:dyDescent="0.25">
      <c r="D461" s="70"/>
      <c r="E461" s="106"/>
      <c r="F461" s="107"/>
    </row>
    <row r="462" spans="4:6" x14ac:dyDescent="0.25">
      <c r="D462" s="70"/>
      <c r="E462" s="106"/>
      <c r="F462" s="107"/>
    </row>
    <row r="463" spans="4:6" x14ac:dyDescent="0.25">
      <c r="D463" s="70"/>
      <c r="E463" s="106"/>
      <c r="F463" s="107"/>
    </row>
    <row r="464" spans="4:6" x14ac:dyDescent="0.25">
      <c r="D464" s="70"/>
      <c r="E464" s="106"/>
      <c r="F464" s="107"/>
    </row>
    <row r="465" spans="4:6" x14ac:dyDescent="0.25">
      <c r="D465" s="70"/>
      <c r="E465" s="106"/>
      <c r="F465" s="107"/>
    </row>
    <row r="466" spans="4:6" x14ac:dyDescent="0.25">
      <c r="D466" s="70"/>
      <c r="E466" s="106"/>
      <c r="F466" s="107"/>
    </row>
    <row r="467" spans="4:6" x14ac:dyDescent="0.25">
      <c r="D467" s="70"/>
      <c r="E467" s="106"/>
      <c r="F467" s="107"/>
    </row>
    <row r="468" spans="4:6" x14ac:dyDescent="0.25">
      <c r="D468" s="70"/>
      <c r="E468" s="106"/>
      <c r="F468" s="107"/>
    </row>
    <row r="469" spans="4:6" x14ac:dyDescent="0.25">
      <c r="D469" s="70"/>
      <c r="E469" s="106"/>
      <c r="F469" s="107"/>
    </row>
    <row r="470" spans="4:6" x14ac:dyDescent="0.25">
      <c r="D470" s="70"/>
      <c r="E470" s="106"/>
      <c r="F470" s="107"/>
    </row>
    <row r="471" spans="4:6" x14ac:dyDescent="0.25">
      <c r="D471" s="70"/>
      <c r="E471" s="106"/>
      <c r="F471" s="107"/>
    </row>
    <row r="472" spans="4:6" x14ac:dyDescent="0.25">
      <c r="D472" s="70"/>
      <c r="E472" s="106"/>
      <c r="F472" s="107"/>
    </row>
    <row r="473" spans="4:6" x14ac:dyDescent="0.25">
      <c r="D473" s="70"/>
      <c r="E473" s="106"/>
      <c r="F473" s="107"/>
    </row>
    <row r="474" spans="4:6" x14ac:dyDescent="0.25">
      <c r="D474" s="70"/>
      <c r="E474" s="106"/>
      <c r="F474" s="107"/>
    </row>
    <row r="475" spans="4:6" x14ac:dyDescent="0.25">
      <c r="D475" s="70"/>
      <c r="E475" s="106"/>
      <c r="F475" s="107"/>
    </row>
    <row r="476" spans="4:6" x14ac:dyDescent="0.25">
      <c r="D476" s="70"/>
      <c r="E476" s="106"/>
      <c r="F476" s="107"/>
    </row>
    <row r="477" spans="4:6" x14ac:dyDescent="0.25">
      <c r="D477" s="70"/>
      <c r="E477" s="106"/>
      <c r="F477" s="107"/>
    </row>
    <row r="478" spans="4:6" x14ac:dyDescent="0.25">
      <c r="D478" s="70"/>
      <c r="E478" s="106"/>
      <c r="F478" s="107"/>
    </row>
    <row r="479" spans="4:6" x14ac:dyDescent="0.25">
      <c r="D479" s="70"/>
      <c r="E479" s="106"/>
      <c r="F479" s="107"/>
    </row>
    <row r="480" spans="4:6" x14ac:dyDescent="0.25">
      <c r="D480" s="70"/>
      <c r="E480" s="106"/>
      <c r="F480" s="107"/>
    </row>
    <row r="481" spans="4:6" x14ac:dyDescent="0.25">
      <c r="D481" s="70"/>
      <c r="E481" s="106"/>
      <c r="F481" s="107"/>
    </row>
    <row r="482" spans="4:6" x14ac:dyDescent="0.25">
      <c r="D482" s="70"/>
      <c r="E482" s="106"/>
      <c r="F482" s="107"/>
    </row>
    <row r="483" spans="4:6" x14ac:dyDescent="0.25">
      <c r="D483" s="70"/>
      <c r="E483" s="106"/>
      <c r="F483" s="107"/>
    </row>
    <row r="484" spans="4:6" x14ac:dyDescent="0.25">
      <c r="D484" s="70"/>
      <c r="E484" s="106"/>
      <c r="F484" s="107"/>
    </row>
    <row r="485" spans="4:6" x14ac:dyDescent="0.25">
      <c r="D485" s="70"/>
      <c r="E485" s="106"/>
      <c r="F485" s="107"/>
    </row>
    <row r="486" spans="4:6" x14ac:dyDescent="0.25">
      <c r="D486" s="70"/>
      <c r="E486" s="106"/>
      <c r="F486" s="107"/>
    </row>
    <row r="487" spans="4:6" x14ac:dyDescent="0.25">
      <c r="D487" s="70"/>
      <c r="E487" s="106"/>
      <c r="F487" s="107"/>
    </row>
    <row r="488" spans="4:6" x14ac:dyDescent="0.25">
      <c r="D488" s="70"/>
      <c r="E488" s="106"/>
      <c r="F488" s="107"/>
    </row>
    <row r="489" spans="4:6" x14ac:dyDescent="0.25">
      <c r="D489" s="70"/>
      <c r="E489" s="106"/>
      <c r="F489" s="107"/>
    </row>
    <row r="490" spans="4:6" x14ac:dyDescent="0.25">
      <c r="D490" s="70"/>
      <c r="E490" s="106"/>
      <c r="F490" s="107"/>
    </row>
    <row r="491" spans="4:6" x14ac:dyDescent="0.25">
      <c r="D491" s="70"/>
      <c r="E491" s="106"/>
      <c r="F491" s="107"/>
    </row>
    <row r="492" spans="4:6" x14ac:dyDescent="0.25">
      <c r="D492" s="70"/>
      <c r="E492" s="106"/>
      <c r="F492" s="107"/>
    </row>
    <row r="493" spans="4:6" x14ac:dyDescent="0.25">
      <c r="D493" s="70"/>
      <c r="E493" s="106"/>
      <c r="F493" s="107"/>
    </row>
    <row r="494" spans="4:6" x14ac:dyDescent="0.25">
      <c r="D494" s="70"/>
      <c r="E494" s="106"/>
      <c r="F494" s="107"/>
    </row>
    <row r="495" spans="4:6" x14ac:dyDescent="0.25">
      <c r="D495" s="70"/>
      <c r="E495" s="106"/>
      <c r="F495" s="107"/>
    </row>
    <row r="496" spans="4:6" x14ac:dyDescent="0.25">
      <c r="D496" s="70"/>
      <c r="E496" s="106"/>
      <c r="F496" s="107"/>
    </row>
    <row r="497" spans="4:6" x14ac:dyDescent="0.25">
      <c r="D497" s="70"/>
      <c r="E497" s="106"/>
      <c r="F497" s="107"/>
    </row>
    <row r="498" spans="4:6" x14ac:dyDescent="0.25">
      <c r="D498" s="70"/>
      <c r="E498" s="106"/>
      <c r="F498" s="107"/>
    </row>
    <row r="499" spans="4:6" x14ac:dyDescent="0.25">
      <c r="D499" s="70"/>
      <c r="E499" s="106"/>
      <c r="F499" s="107"/>
    </row>
    <row r="500" spans="4:6" x14ac:dyDescent="0.25">
      <c r="D500" s="70"/>
      <c r="E500" s="106"/>
      <c r="F500" s="107"/>
    </row>
    <row r="501" spans="4:6" x14ac:dyDescent="0.25">
      <c r="D501" s="70"/>
      <c r="E501" s="106"/>
      <c r="F501" s="107"/>
    </row>
    <row r="502" spans="4:6" x14ac:dyDescent="0.25">
      <c r="D502" s="70"/>
      <c r="E502" s="106"/>
      <c r="F502" s="107"/>
    </row>
    <row r="503" spans="4:6" x14ac:dyDescent="0.25">
      <c r="D503" s="70"/>
      <c r="E503" s="106"/>
      <c r="F503" s="107"/>
    </row>
    <row r="504" spans="4:6" x14ac:dyDescent="0.25">
      <c r="D504" s="70"/>
      <c r="E504" s="106"/>
      <c r="F504" s="107"/>
    </row>
    <row r="505" spans="4:6" x14ac:dyDescent="0.25">
      <c r="D505" s="70"/>
      <c r="E505" s="106"/>
      <c r="F505" s="107"/>
    </row>
    <row r="506" spans="4:6" x14ac:dyDescent="0.25">
      <c r="D506" s="70"/>
      <c r="E506" s="106"/>
      <c r="F506" s="107"/>
    </row>
    <row r="507" spans="4:6" x14ac:dyDescent="0.25">
      <c r="D507" s="70"/>
      <c r="E507" s="106"/>
      <c r="F507" s="107"/>
    </row>
    <row r="508" spans="4:6" x14ac:dyDescent="0.25">
      <c r="D508" s="70"/>
      <c r="E508" s="106"/>
      <c r="F508" s="107"/>
    </row>
    <row r="509" spans="4:6" x14ac:dyDescent="0.25">
      <c r="D509" s="70"/>
      <c r="E509" s="106"/>
      <c r="F509" s="107"/>
    </row>
    <row r="510" spans="4:6" x14ac:dyDescent="0.25">
      <c r="D510" s="70"/>
      <c r="E510" s="106"/>
      <c r="F510" s="107"/>
    </row>
    <row r="511" spans="4:6" x14ac:dyDescent="0.25">
      <c r="D511" s="70"/>
      <c r="E511" s="106"/>
      <c r="F511" s="107"/>
    </row>
    <row r="512" spans="4:6" x14ac:dyDescent="0.25">
      <c r="D512" s="70"/>
      <c r="E512" s="106"/>
      <c r="F512" s="107"/>
    </row>
    <row r="513" spans="4:6" x14ac:dyDescent="0.25">
      <c r="D513" s="70"/>
      <c r="E513" s="106"/>
      <c r="F513" s="107"/>
    </row>
    <row r="514" spans="4:6" x14ac:dyDescent="0.25">
      <c r="D514" s="70"/>
      <c r="E514" s="106"/>
      <c r="F514" s="107"/>
    </row>
    <row r="515" spans="4:6" x14ac:dyDescent="0.25">
      <c r="D515" s="70"/>
      <c r="E515" s="106"/>
      <c r="F515" s="107"/>
    </row>
    <row r="516" spans="4:6" x14ac:dyDescent="0.25">
      <c r="D516" s="70"/>
      <c r="E516" s="106"/>
      <c r="F516" s="107"/>
    </row>
    <row r="517" spans="4:6" x14ac:dyDescent="0.25">
      <c r="D517" s="70"/>
      <c r="E517" s="106"/>
      <c r="F517" s="107"/>
    </row>
    <row r="518" spans="4:6" x14ac:dyDescent="0.25">
      <c r="D518" s="70"/>
      <c r="E518" s="106"/>
      <c r="F518" s="107"/>
    </row>
    <row r="519" spans="4:6" x14ac:dyDescent="0.25">
      <c r="D519" s="70"/>
      <c r="E519" s="106"/>
      <c r="F519" s="107"/>
    </row>
    <row r="520" spans="4:6" x14ac:dyDescent="0.25">
      <c r="D520" s="70"/>
      <c r="E520" s="106"/>
      <c r="F520" s="107"/>
    </row>
    <row r="521" spans="4:6" x14ac:dyDescent="0.25">
      <c r="D521" s="70"/>
      <c r="E521" s="106"/>
      <c r="F521" s="107"/>
    </row>
    <row r="522" spans="4:6" x14ac:dyDescent="0.25">
      <c r="D522" s="70"/>
      <c r="E522" s="106"/>
      <c r="F522" s="107"/>
    </row>
    <row r="523" spans="4:6" x14ac:dyDescent="0.25">
      <c r="D523" s="70"/>
      <c r="E523" s="106"/>
      <c r="F523" s="107"/>
    </row>
    <row r="524" spans="4:6" x14ac:dyDescent="0.25">
      <c r="D524" s="70"/>
      <c r="E524" s="106"/>
      <c r="F524" s="107"/>
    </row>
    <row r="525" spans="4:6" x14ac:dyDescent="0.25">
      <c r="D525" s="70"/>
      <c r="E525" s="106"/>
      <c r="F525" s="107"/>
    </row>
    <row r="526" spans="4:6" x14ac:dyDescent="0.25">
      <c r="D526" s="70"/>
      <c r="E526" s="106"/>
      <c r="F526" s="107"/>
    </row>
    <row r="527" spans="4:6" x14ac:dyDescent="0.25">
      <c r="D527" s="70"/>
      <c r="E527" s="106"/>
      <c r="F527" s="107"/>
    </row>
    <row r="528" spans="4:6" x14ac:dyDescent="0.25">
      <c r="D528" s="70"/>
      <c r="E528" s="106"/>
      <c r="F528" s="107"/>
    </row>
    <row r="529" spans="4:6" x14ac:dyDescent="0.25">
      <c r="D529" s="70"/>
      <c r="E529" s="106"/>
      <c r="F529" s="107"/>
    </row>
    <row r="530" spans="4:6" x14ac:dyDescent="0.25">
      <c r="D530" s="70"/>
      <c r="E530" s="106"/>
      <c r="F530" s="107"/>
    </row>
    <row r="531" spans="4:6" x14ac:dyDescent="0.25">
      <c r="D531" s="70"/>
      <c r="E531" s="106"/>
      <c r="F531" s="107"/>
    </row>
    <row r="532" spans="4:6" x14ac:dyDescent="0.25">
      <c r="D532" s="70"/>
      <c r="E532" s="106"/>
      <c r="F532" s="107"/>
    </row>
    <row r="533" spans="4:6" x14ac:dyDescent="0.25">
      <c r="D533" s="70"/>
      <c r="E533" s="106"/>
      <c r="F533" s="107"/>
    </row>
    <row r="534" spans="4:6" x14ac:dyDescent="0.25">
      <c r="D534" s="70"/>
      <c r="E534" s="106"/>
      <c r="F534" s="107"/>
    </row>
    <row r="535" spans="4:6" x14ac:dyDescent="0.25">
      <c r="D535" s="70"/>
      <c r="E535" s="106"/>
      <c r="F535" s="107"/>
    </row>
    <row r="536" spans="4:6" x14ac:dyDescent="0.25">
      <c r="D536" s="70"/>
      <c r="E536" s="106"/>
      <c r="F536" s="107"/>
    </row>
    <row r="537" spans="4:6" x14ac:dyDescent="0.25">
      <c r="D537" s="70"/>
      <c r="E537" s="106"/>
      <c r="F537" s="107"/>
    </row>
    <row r="538" spans="4:6" x14ac:dyDescent="0.25">
      <c r="D538" s="70"/>
      <c r="E538" s="106"/>
      <c r="F538" s="107"/>
    </row>
    <row r="539" spans="4:6" x14ac:dyDescent="0.25">
      <c r="D539" s="70"/>
      <c r="E539" s="106"/>
      <c r="F539" s="107"/>
    </row>
    <row r="540" spans="4:6" x14ac:dyDescent="0.25">
      <c r="D540" s="70"/>
      <c r="E540" s="106"/>
      <c r="F540" s="107"/>
    </row>
    <row r="541" spans="4:6" x14ac:dyDescent="0.25">
      <c r="D541" s="70"/>
      <c r="E541" s="106"/>
      <c r="F541" s="107"/>
    </row>
    <row r="542" spans="4:6" x14ac:dyDescent="0.25">
      <c r="D542" s="70"/>
      <c r="E542" s="106"/>
      <c r="F542" s="107"/>
    </row>
    <row r="543" spans="4:6" x14ac:dyDescent="0.25">
      <c r="D543" s="70"/>
      <c r="E543" s="106"/>
      <c r="F543" s="107"/>
    </row>
    <row r="544" spans="4:6" x14ac:dyDescent="0.25">
      <c r="D544" s="70"/>
      <c r="E544" s="106"/>
      <c r="F544" s="107"/>
    </row>
    <row r="545" spans="4:6" x14ac:dyDescent="0.25">
      <c r="D545" s="70"/>
      <c r="E545" s="106"/>
      <c r="F545" s="107"/>
    </row>
    <row r="546" spans="4:6" x14ac:dyDescent="0.25">
      <c r="D546" s="70"/>
      <c r="E546" s="106"/>
      <c r="F546" s="107"/>
    </row>
    <row r="547" spans="4:6" x14ac:dyDescent="0.25">
      <c r="D547" s="70"/>
      <c r="E547" s="106"/>
      <c r="F547" s="107"/>
    </row>
    <row r="548" spans="4:6" x14ac:dyDescent="0.25">
      <c r="D548" s="70"/>
      <c r="E548" s="106"/>
      <c r="F548" s="107"/>
    </row>
    <row r="549" spans="4:6" x14ac:dyDescent="0.25">
      <c r="D549" s="70"/>
      <c r="E549" s="106"/>
      <c r="F549" s="107"/>
    </row>
    <row r="550" spans="4:6" x14ac:dyDescent="0.25">
      <c r="D550" s="70"/>
      <c r="E550" s="106"/>
      <c r="F550" s="107"/>
    </row>
    <row r="551" spans="4:6" x14ac:dyDescent="0.25">
      <c r="D551" s="70"/>
      <c r="E551" s="106"/>
      <c r="F551" s="107"/>
    </row>
    <row r="552" spans="4:6" x14ac:dyDescent="0.25">
      <c r="D552" s="70"/>
      <c r="E552" s="106"/>
      <c r="F552" s="107"/>
    </row>
    <row r="553" spans="4:6" x14ac:dyDescent="0.25">
      <c r="D553" s="70"/>
      <c r="E553" s="106"/>
      <c r="F553" s="107"/>
    </row>
    <row r="554" spans="4:6" x14ac:dyDescent="0.25">
      <c r="D554" s="70"/>
      <c r="E554" s="106"/>
      <c r="F554" s="107"/>
    </row>
    <row r="555" spans="4:6" x14ac:dyDescent="0.25">
      <c r="D555" s="70"/>
      <c r="E555" s="106"/>
      <c r="F555" s="107"/>
    </row>
    <row r="556" spans="4:6" x14ac:dyDescent="0.25">
      <c r="D556" s="70"/>
      <c r="E556" s="106"/>
      <c r="F556" s="107"/>
    </row>
    <row r="557" spans="4:6" x14ac:dyDescent="0.25">
      <c r="D557" s="70"/>
      <c r="E557" s="106"/>
      <c r="F557" s="107"/>
    </row>
    <row r="558" spans="4:6" x14ac:dyDescent="0.25">
      <c r="D558" s="70"/>
      <c r="E558" s="106"/>
      <c r="F558" s="107"/>
    </row>
    <row r="559" spans="4:6" x14ac:dyDescent="0.25">
      <c r="D559" s="70"/>
      <c r="E559" s="106"/>
      <c r="F559" s="107"/>
    </row>
    <row r="560" spans="4:6" x14ac:dyDescent="0.25">
      <c r="D560" s="70"/>
      <c r="E560" s="106"/>
      <c r="F560" s="107"/>
    </row>
    <row r="561" spans="4:6" x14ac:dyDescent="0.25">
      <c r="D561" s="70"/>
      <c r="E561" s="106"/>
      <c r="F561" s="107"/>
    </row>
    <row r="562" spans="4:6" x14ac:dyDescent="0.25">
      <c r="D562" s="70"/>
      <c r="E562" s="106"/>
      <c r="F562" s="107"/>
    </row>
    <row r="563" spans="4:6" x14ac:dyDescent="0.25">
      <c r="D563" s="70"/>
      <c r="E563" s="106"/>
      <c r="F563" s="107"/>
    </row>
    <row r="564" spans="4:6" x14ac:dyDescent="0.25">
      <c r="D564" s="70"/>
      <c r="E564" s="106"/>
      <c r="F564" s="107"/>
    </row>
    <row r="565" spans="4:6" x14ac:dyDescent="0.25">
      <c r="D565" s="70"/>
      <c r="E565" s="106"/>
      <c r="F565" s="107"/>
    </row>
    <row r="566" spans="4:6" x14ac:dyDescent="0.25">
      <c r="D566" s="70"/>
      <c r="E566" s="106"/>
      <c r="F566" s="107"/>
    </row>
    <row r="567" spans="4:6" x14ac:dyDescent="0.25">
      <c r="D567" s="70"/>
      <c r="E567" s="106"/>
      <c r="F567" s="107"/>
    </row>
    <row r="568" spans="4:6" x14ac:dyDescent="0.25">
      <c r="D568" s="70"/>
      <c r="E568" s="106"/>
      <c r="F568" s="107"/>
    </row>
    <row r="569" spans="4:6" x14ac:dyDescent="0.25">
      <c r="D569" s="70"/>
      <c r="E569" s="106"/>
      <c r="F569" s="107"/>
    </row>
    <row r="570" spans="4:6" x14ac:dyDescent="0.25">
      <c r="D570" s="70"/>
      <c r="E570" s="106"/>
      <c r="F570" s="107"/>
    </row>
    <row r="571" spans="4:6" x14ac:dyDescent="0.25">
      <c r="D571" s="70"/>
      <c r="E571" s="106"/>
      <c r="F571" s="107"/>
    </row>
    <row r="572" spans="4:6" x14ac:dyDescent="0.25">
      <c r="D572" s="70"/>
      <c r="E572" s="106"/>
      <c r="F572" s="107"/>
    </row>
    <row r="573" spans="4:6" x14ac:dyDescent="0.25">
      <c r="D573" s="70"/>
      <c r="E573" s="106"/>
      <c r="F573" s="107"/>
    </row>
    <row r="574" spans="4:6" x14ac:dyDescent="0.25">
      <c r="D574" s="70"/>
      <c r="E574" s="106"/>
      <c r="F574" s="107"/>
    </row>
    <row r="575" spans="4:6" x14ac:dyDescent="0.25">
      <c r="D575" s="70"/>
      <c r="E575" s="106"/>
      <c r="F575" s="107"/>
    </row>
    <row r="576" spans="4:6" x14ac:dyDescent="0.25">
      <c r="D576" s="70"/>
      <c r="E576" s="106"/>
      <c r="F576" s="107"/>
    </row>
    <row r="577" spans="4:6" x14ac:dyDescent="0.25">
      <c r="D577" s="70"/>
      <c r="E577" s="106"/>
      <c r="F577" s="107"/>
    </row>
    <row r="578" spans="4:6" x14ac:dyDescent="0.25">
      <c r="D578" s="70"/>
      <c r="E578" s="106"/>
      <c r="F578" s="107"/>
    </row>
    <row r="579" spans="4:6" x14ac:dyDescent="0.25">
      <c r="D579" s="70"/>
      <c r="E579" s="106"/>
      <c r="F579" s="107"/>
    </row>
    <row r="580" spans="4:6" x14ac:dyDescent="0.25">
      <c r="D580" s="70"/>
      <c r="E580" s="106"/>
      <c r="F580" s="107"/>
    </row>
    <row r="581" spans="4:6" x14ac:dyDescent="0.25">
      <c r="D581" s="70"/>
      <c r="E581" s="106"/>
      <c r="F581" s="107"/>
    </row>
    <row r="582" spans="4:6" x14ac:dyDescent="0.25">
      <c r="D582" s="70"/>
      <c r="E582" s="106"/>
      <c r="F582" s="107"/>
    </row>
    <row r="583" spans="4:6" x14ac:dyDescent="0.25">
      <c r="D583" s="70"/>
      <c r="E583" s="106"/>
      <c r="F583" s="107"/>
    </row>
    <row r="584" spans="4:6" x14ac:dyDescent="0.25">
      <c r="D584" s="70"/>
      <c r="E584" s="106"/>
      <c r="F584" s="107"/>
    </row>
    <row r="585" spans="4:6" x14ac:dyDescent="0.25">
      <c r="D585" s="70"/>
      <c r="E585" s="106"/>
      <c r="F585" s="107"/>
    </row>
    <row r="586" spans="4:6" x14ac:dyDescent="0.25">
      <c r="D586" s="70"/>
      <c r="E586" s="106"/>
      <c r="F586" s="107"/>
    </row>
    <row r="587" spans="4:6" x14ac:dyDescent="0.25">
      <c r="D587" s="70"/>
      <c r="E587" s="106"/>
      <c r="F587" s="107"/>
    </row>
    <row r="588" spans="4:6" x14ac:dyDescent="0.25">
      <c r="D588" s="70"/>
      <c r="E588" s="106"/>
      <c r="F588" s="107"/>
    </row>
    <row r="589" spans="4:6" x14ac:dyDescent="0.25">
      <c r="D589" s="70"/>
      <c r="E589" s="106"/>
      <c r="F589" s="107"/>
    </row>
    <row r="590" spans="4:6" x14ac:dyDescent="0.25">
      <c r="D590" s="70"/>
      <c r="E590" s="106"/>
      <c r="F590" s="107"/>
    </row>
    <row r="591" spans="4:6" x14ac:dyDescent="0.25">
      <c r="D591" s="70"/>
      <c r="E591" s="106"/>
      <c r="F591" s="107"/>
    </row>
    <row r="592" spans="4:6" x14ac:dyDescent="0.25">
      <c r="D592" s="70"/>
      <c r="E592" s="106"/>
      <c r="F592" s="107"/>
    </row>
    <row r="593" spans="4:6" x14ac:dyDescent="0.25">
      <c r="D593" s="70"/>
      <c r="E593" s="106"/>
      <c r="F593" s="107"/>
    </row>
    <row r="594" spans="4:6" x14ac:dyDescent="0.25">
      <c r="D594" s="70"/>
      <c r="E594" s="106"/>
      <c r="F594" s="107"/>
    </row>
    <row r="595" spans="4:6" x14ac:dyDescent="0.25">
      <c r="D595" s="70"/>
      <c r="E595" s="106"/>
      <c r="F595" s="107"/>
    </row>
    <row r="596" spans="4:6" x14ac:dyDescent="0.25">
      <c r="D596" s="70"/>
      <c r="E596" s="106"/>
      <c r="F596" s="107"/>
    </row>
    <row r="597" spans="4:6" x14ac:dyDescent="0.25">
      <c r="D597" s="70"/>
      <c r="E597" s="106"/>
      <c r="F597" s="107"/>
    </row>
    <row r="598" spans="4:6" x14ac:dyDescent="0.25">
      <c r="D598" s="70"/>
      <c r="E598" s="106"/>
      <c r="F598" s="107"/>
    </row>
    <row r="599" spans="4:6" x14ac:dyDescent="0.25">
      <c r="D599" s="70"/>
      <c r="E599" s="106"/>
      <c r="F599" s="107"/>
    </row>
    <row r="600" spans="4:6" x14ac:dyDescent="0.25">
      <c r="D600" s="70"/>
      <c r="E600" s="106"/>
      <c r="F600" s="107"/>
    </row>
    <row r="601" spans="4:6" x14ac:dyDescent="0.25">
      <c r="D601" s="70"/>
      <c r="E601" s="106"/>
      <c r="F601" s="107"/>
    </row>
    <row r="602" spans="4:6" x14ac:dyDescent="0.25">
      <c r="D602" s="70"/>
      <c r="E602" s="106"/>
      <c r="F602" s="107"/>
    </row>
    <row r="603" spans="4:6" x14ac:dyDescent="0.25">
      <c r="D603" s="70"/>
      <c r="E603" s="106"/>
      <c r="F603" s="107"/>
    </row>
    <row r="604" spans="4:6" x14ac:dyDescent="0.25">
      <c r="D604" s="70"/>
      <c r="E604" s="106"/>
      <c r="F604" s="107"/>
    </row>
    <row r="605" spans="4:6" x14ac:dyDescent="0.25">
      <c r="D605" s="70"/>
      <c r="E605" s="106"/>
      <c r="F605" s="107"/>
    </row>
    <row r="606" spans="4:6" x14ac:dyDescent="0.25">
      <c r="D606" s="70"/>
      <c r="E606" s="106"/>
      <c r="F606" s="107"/>
    </row>
    <row r="607" spans="4:6" x14ac:dyDescent="0.25">
      <c r="D607" s="70"/>
      <c r="E607" s="106"/>
      <c r="F607" s="107"/>
    </row>
    <row r="608" spans="4:6" x14ac:dyDescent="0.25">
      <c r="D608" s="70"/>
      <c r="E608" s="106"/>
      <c r="F608" s="107"/>
    </row>
    <row r="609" spans="4:6" x14ac:dyDescent="0.25">
      <c r="D609" s="70"/>
      <c r="E609" s="106"/>
      <c r="F609" s="107"/>
    </row>
    <row r="610" spans="4:6" x14ac:dyDescent="0.25">
      <c r="D610" s="70"/>
      <c r="E610" s="106"/>
      <c r="F610" s="107"/>
    </row>
    <row r="611" spans="4:6" x14ac:dyDescent="0.25">
      <c r="D611" s="70"/>
      <c r="E611" s="106"/>
      <c r="F611" s="107"/>
    </row>
    <row r="612" spans="4:6" x14ac:dyDescent="0.25">
      <c r="D612" s="70"/>
      <c r="E612" s="106"/>
      <c r="F612" s="107"/>
    </row>
    <row r="613" spans="4:6" x14ac:dyDescent="0.25">
      <c r="D613" s="70"/>
      <c r="E613" s="106"/>
      <c r="F613" s="107"/>
    </row>
    <row r="614" spans="4:6" x14ac:dyDescent="0.25">
      <c r="D614" s="70"/>
      <c r="E614" s="106"/>
      <c r="F614" s="107"/>
    </row>
    <row r="615" spans="4:6" x14ac:dyDescent="0.25">
      <c r="D615" s="70"/>
      <c r="E615" s="106"/>
      <c r="F615" s="107"/>
    </row>
    <row r="616" spans="4:6" x14ac:dyDescent="0.25">
      <c r="D616" s="70"/>
      <c r="E616" s="106"/>
      <c r="F616" s="107"/>
    </row>
    <row r="617" spans="4:6" x14ac:dyDescent="0.25">
      <c r="D617" s="70"/>
      <c r="E617" s="106"/>
      <c r="F617" s="107"/>
    </row>
    <row r="618" spans="4:6" x14ac:dyDescent="0.25">
      <c r="D618" s="70"/>
      <c r="E618" s="106"/>
      <c r="F618" s="107"/>
    </row>
    <row r="619" spans="4:6" x14ac:dyDescent="0.25">
      <c r="D619" s="70"/>
      <c r="E619" s="106"/>
      <c r="F619" s="107"/>
    </row>
    <row r="620" spans="4:6" x14ac:dyDescent="0.25">
      <c r="D620" s="70"/>
      <c r="E620" s="106"/>
      <c r="F620" s="107"/>
    </row>
    <row r="621" spans="4:6" x14ac:dyDescent="0.25">
      <c r="D621" s="70"/>
      <c r="E621" s="106"/>
      <c r="F621" s="107"/>
    </row>
    <row r="622" spans="4:6" x14ac:dyDescent="0.25">
      <c r="D622" s="70"/>
      <c r="E622" s="106"/>
      <c r="F622" s="107"/>
    </row>
    <row r="623" spans="4:6" x14ac:dyDescent="0.25">
      <c r="D623" s="70"/>
      <c r="E623" s="106"/>
      <c r="F623" s="107"/>
    </row>
    <row r="624" spans="4:6" x14ac:dyDescent="0.25">
      <c r="D624" s="70"/>
      <c r="E624" s="106"/>
      <c r="F624" s="107"/>
    </row>
    <row r="625" spans="4:6" x14ac:dyDescent="0.25">
      <c r="D625" s="70"/>
      <c r="E625" s="106"/>
      <c r="F625" s="107"/>
    </row>
    <row r="626" spans="4:6" x14ac:dyDescent="0.25">
      <c r="D626" s="70"/>
      <c r="E626" s="106"/>
      <c r="F626" s="107"/>
    </row>
    <row r="627" spans="4:6" x14ac:dyDescent="0.25">
      <c r="D627" s="70"/>
      <c r="E627" s="106"/>
      <c r="F627" s="107"/>
    </row>
    <row r="628" spans="4:6" x14ac:dyDescent="0.25">
      <c r="D628" s="70"/>
      <c r="E628" s="106"/>
      <c r="F628" s="107"/>
    </row>
    <row r="629" spans="4:6" x14ac:dyDescent="0.25">
      <c r="D629" s="70"/>
      <c r="E629" s="106"/>
      <c r="F629" s="107"/>
    </row>
    <row r="630" spans="4:6" x14ac:dyDescent="0.25">
      <c r="D630" s="70"/>
      <c r="E630" s="106"/>
      <c r="F630" s="107"/>
    </row>
    <row r="631" spans="4:6" x14ac:dyDescent="0.25">
      <c r="D631" s="70"/>
      <c r="E631" s="106"/>
      <c r="F631" s="107"/>
    </row>
    <row r="632" spans="4:6" x14ac:dyDescent="0.25">
      <c r="D632" s="70"/>
      <c r="E632" s="106"/>
      <c r="F632" s="107"/>
    </row>
    <row r="633" spans="4:6" x14ac:dyDescent="0.25">
      <c r="D633" s="70"/>
      <c r="E633" s="106"/>
      <c r="F633" s="107"/>
    </row>
    <row r="634" spans="4:6" x14ac:dyDescent="0.25">
      <c r="D634" s="70"/>
      <c r="E634" s="106"/>
      <c r="F634" s="107"/>
    </row>
    <row r="635" spans="4:6" x14ac:dyDescent="0.25">
      <c r="D635" s="70"/>
      <c r="E635" s="106"/>
      <c r="F635" s="107"/>
    </row>
    <row r="636" spans="4:6" x14ac:dyDescent="0.25">
      <c r="D636" s="70"/>
      <c r="E636" s="106"/>
      <c r="F636" s="107"/>
    </row>
    <row r="637" spans="4:6" x14ac:dyDescent="0.25">
      <c r="D637" s="70"/>
      <c r="E637" s="106"/>
      <c r="F637" s="107"/>
    </row>
    <row r="638" spans="4:6" x14ac:dyDescent="0.25">
      <c r="D638" s="70"/>
      <c r="E638" s="106"/>
      <c r="F638" s="107"/>
    </row>
    <row r="639" spans="4:6" x14ac:dyDescent="0.25">
      <c r="D639" s="70"/>
      <c r="E639" s="106"/>
      <c r="F639" s="107"/>
    </row>
    <row r="640" spans="4:6" x14ac:dyDescent="0.25">
      <c r="D640" s="70"/>
      <c r="E640" s="106"/>
      <c r="F640" s="107"/>
    </row>
    <row r="641" spans="4:6" x14ac:dyDescent="0.25">
      <c r="D641" s="70"/>
      <c r="E641" s="106"/>
      <c r="F641" s="107"/>
    </row>
    <row r="642" spans="4:6" x14ac:dyDescent="0.25">
      <c r="D642" s="70"/>
      <c r="E642" s="106"/>
      <c r="F642" s="107"/>
    </row>
    <row r="643" spans="4:6" x14ac:dyDescent="0.25">
      <c r="D643" s="70"/>
      <c r="E643" s="106"/>
      <c r="F643" s="107"/>
    </row>
    <row r="644" spans="4:6" x14ac:dyDescent="0.25">
      <c r="D644" s="70"/>
      <c r="E644" s="106"/>
      <c r="F644" s="107"/>
    </row>
    <row r="645" spans="4:6" x14ac:dyDescent="0.25">
      <c r="D645" s="70"/>
      <c r="E645" s="106"/>
      <c r="F645" s="107"/>
    </row>
    <row r="646" spans="4:6" x14ac:dyDescent="0.25">
      <c r="D646" s="70"/>
      <c r="E646" s="106"/>
      <c r="F646" s="107"/>
    </row>
    <row r="647" spans="4:6" x14ac:dyDescent="0.25">
      <c r="D647" s="70"/>
      <c r="E647" s="106"/>
      <c r="F647" s="107"/>
    </row>
    <row r="648" spans="4:6" x14ac:dyDescent="0.25">
      <c r="D648" s="70"/>
      <c r="E648" s="106"/>
      <c r="F648" s="107"/>
    </row>
    <row r="649" spans="4:6" x14ac:dyDescent="0.25">
      <c r="D649" s="70"/>
      <c r="E649" s="106"/>
      <c r="F649" s="107"/>
    </row>
    <row r="650" spans="4:6" x14ac:dyDescent="0.25">
      <c r="D650" s="70"/>
      <c r="E650" s="106"/>
      <c r="F650" s="107"/>
    </row>
    <row r="651" spans="4:6" x14ac:dyDescent="0.25">
      <c r="D651" s="70"/>
      <c r="E651" s="106"/>
      <c r="F651" s="107"/>
    </row>
    <row r="652" spans="4:6" x14ac:dyDescent="0.25">
      <c r="D652" s="70"/>
      <c r="E652" s="106"/>
      <c r="F652" s="107"/>
    </row>
    <row r="653" spans="4:6" x14ac:dyDescent="0.25">
      <c r="D653" s="70"/>
      <c r="E653" s="106"/>
      <c r="F653" s="107"/>
    </row>
    <row r="654" spans="4:6" x14ac:dyDescent="0.25">
      <c r="D654" s="70"/>
      <c r="E654" s="106"/>
      <c r="F654" s="107"/>
    </row>
    <row r="655" spans="4:6" x14ac:dyDescent="0.25">
      <c r="D655" s="70"/>
      <c r="E655" s="106"/>
      <c r="F655" s="107"/>
    </row>
    <row r="656" spans="4:6" x14ac:dyDescent="0.25">
      <c r="D656" s="70"/>
      <c r="E656" s="106"/>
      <c r="F656" s="107"/>
    </row>
    <row r="657" spans="4:6" x14ac:dyDescent="0.25">
      <c r="D657" s="70"/>
      <c r="E657" s="106"/>
      <c r="F657" s="107"/>
    </row>
    <row r="658" spans="4:6" x14ac:dyDescent="0.25">
      <c r="D658" s="70"/>
      <c r="E658" s="106"/>
      <c r="F658" s="107"/>
    </row>
    <row r="659" spans="4:6" x14ac:dyDescent="0.25">
      <c r="D659" s="70"/>
      <c r="E659" s="106"/>
      <c r="F659" s="107"/>
    </row>
    <row r="660" spans="4:6" x14ac:dyDescent="0.25">
      <c r="D660" s="70"/>
      <c r="E660" s="106"/>
      <c r="F660" s="107"/>
    </row>
    <row r="661" spans="4:6" x14ac:dyDescent="0.25">
      <c r="D661" s="70"/>
      <c r="E661" s="106"/>
      <c r="F661" s="107"/>
    </row>
    <row r="662" spans="4:6" x14ac:dyDescent="0.25">
      <c r="D662" s="70"/>
      <c r="E662" s="106"/>
      <c r="F662" s="107"/>
    </row>
    <row r="663" spans="4:6" x14ac:dyDescent="0.25">
      <c r="D663" s="70"/>
      <c r="E663" s="106"/>
      <c r="F663" s="107"/>
    </row>
    <row r="664" spans="4:6" x14ac:dyDescent="0.25">
      <c r="D664" s="70"/>
      <c r="E664" s="106"/>
      <c r="F664" s="107"/>
    </row>
    <row r="665" spans="4:6" x14ac:dyDescent="0.25">
      <c r="D665" s="70"/>
      <c r="E665" s="106"/>
      <c r="F665" s="107"/>
    </row>
    <row r="666" spans="4:6" x14ac:dyDescent="0.25">
      <c r="D666" s="70"/>
      <c r="E666" s="106"/>
      <c r="F666" s="107"/>
    </row>
    <row r="667" spans="4:6" x14ac:dyDescent="0.25">
      <c r="D667" s="70"/>
      <c r="E667" s="106"/>
      <c r="F667" s="107"/>
    </row>
    <row r="668" spans="4:6" x14ac:dyDescent="0.25">
      <c r="D668" s="70"/>
      <c r="E668" s="106"/>
      <c r="F668" s="107"/>
    </row>
    <row r="669" spans="4:6" x14ac:dyDescent="0.25">
      <c r="D669" s="70"/>
      <c r="E669" s="106"/>
      <c r="F669" s="107"/>
    </row>
    <row r="670" spans="4:6" x14ac:dyDescent="0.25">
      <c r="D670" s="70"/>
      <c r="E670" s="106"/>
      <c r="F670" s="107"/>
    </row>
    <row r="671" spans="4:6" x14ac:dyDescent="0.25">
      <c r="D671" s="70"/>
      <c r="E671" s="106"/>
      <c r="F671" s="107"/>
    </row>
    <row r="672" spans="4:6" x14ac:dyDescent="0.25">
      <c r="D672" s="70"/>
      <c r="E672" s="106"/>
      <c r="F672" s="107"/>
    </row>
    <row r="673" spans="4:6" x14ac:dyDescent="0.25">
      <c r="D673" s="70"/>
      <c r="E673" s="106"/>
      <c r="F673" s="107"/>
    </row>
    <row r="674" spans="4:6" x14ac:dyDescent="0.25">
      <c r="D674" s="70"/>
      <c r="E674" s="106"/>
      <c r="F674" s="107"/>
    </row>
    <row r="675" spans="4:6" x14ac:dyDescent="0.25">
      <c r="D675" s="70"/>
      <c r="E675" s="106"/>
      <c r="F675" s="107"/>
    </row>
    <row r="676" spans="4:6" x14ac:dyDescent="0.25">
      <c r="D676" s="70"/>
      <c r="E676" s="106"/>
      <c r="F676" s="107"/>
    </row>
    <row r="677" spans="4:6" x14ac:dyDescent="0.25">
      <c r="D677" s="70"/>
      <c r="E677" s="106"/>
      <c r="F677" s="107"/>
    </row>
    <row r="678" spans="4:6" x14ac:dyDescent="0.25">
      <c r="D678" s="70"/>
      <c r="E678" s="106"/>
      <c r="F678" s="107"/>
    </row>
    <row r="679" spans="4:6" x14ac:dyDescent="0.25">
      <c r="D679" s="70"/>
      <c r="E679" s="106"/>
      <c r="F679" s="107"/>
    </row>
    <row r="680" spans="4:6" x14ac:dyDescent="0.25">
      <c r="D680" s="70"/>
      <c r="E680" s="106"/>
      <c r="F680" s="107"/>
    </row>
    <row r="681" spans="4:6" x14ac:dyDescent="0.25">
      <c r="D681" s="70"/>
      <c r="E681" s="106"/>
      <c r="F681" s="107"/>
    </row>
    <row r="682" spans="4:6" x14ac:dyDescent="0.25">
      <c r="D682" s="70"/>
      <c r="E682" s="106"/>
      <c r="F682" s="107"/>
    </row>
    <row r="683" spans="4:6" x14ac:dyDescent="0.25">
      <c r="D683" s="70"/>
      <c r="E683" s="106"/>
      <c r="F683" s="107"/>
    </row>
    <row r="684" spans="4:6" x14ac:dyDescent="0.25">
      <c r="D684" s="70"/>
      <c r="E684" s="106"/>
      <c r="F684" s="107"/>
    </row>
    <row r="685" spans="4:6" x14ac:dyDescent="0.25">
      <c r="D685" s="70"/>
      <c r="E685" s="106"/>
      <c r="F685" s="107"/>
    </row>
    <row r="686" spans="4:6" x14ac:dyDescent="0.25">
      <c r="D686" s="70"/>
      <c r="E686" s="106"/>
      <c r="F686" s="107"/>
    </row>
    <row r="687" spans="4:6" x14ac:dyDescent="0.25">
      <c r="D687" s="70"/>
      <c r="E687" s="106"/>
      <c r="F687" s="107"/>
    </row>
    <row r="688" spans="4:6" x14ac:dyDescent="0.25">
      <c r="D688" s="70"/>
      <c r="E688" s="106"/>
      <c r="F688" s="107"/>
    </row>
    <row r="689" spans="4:6" x14ac:dyDescent="0.25">
      <c r="D689" s="70"/>
      <c r="E689" s="106"/>
      <c r="F689" s="107"/>
    </row>
    <row r="690" spans="4:6" x14ac:dyDescent="0.25">
      <c r="D690" s="70"/>
      <c r="E690" s="106"/>
      <c r="F690" s="107"/>
    </row>
    <row r="691" spans="4:6" x14ac:dyDescent="0.25">
      <c r="D691" s="70"/>
      <c r="E691" s="106"/>
      <c r="F691" s="107"/>
    </row>
    <row r="692" spans="4:6" x14ac:dyDescent="0.25">
      <c r="D692" s="70"/>
      <c r="E692" s="106"/>
      <c r="F692" s="107"/>
    </row>
    <row r="693" spans="4:6" x14ac:dyDescent="0.25">
      <c r="D693" s="70"/>
      <c r="E693" s="106"/>
      <c r="F693" s="107"/>
    </row>
    <row r="694" spans="4:6" x14ac:dyDescent="0.25">
      <c r="D694" s="70"/>
      <c r="E694" s="106"/>
      <c r="F694" s="107"/>
    </row>
    <row r="695" spans="4:6" x14ac:dyDescent="0.25">
      <c r="D695" s="70"/>
      <c r="E695" s="106"/>
      <c r="F695" s="107"/>
    </row>
    <row r="696" spans="4:6" x14ac:dyDescent="0.25">
      <c r="D696" s="70"/>
      <c r="E696" s="106"/>
      <c r="F696" s="107"/>
    </row>
    <row r="697" spans="4:6" x14ac:dyDescent="0.25">
      <c r="D697" s="70"/>
      <c r="E697" s="106"/>
      <c r="F697" s="107"/>
    </row>
    <row r="698" spans="4:6" x14ac:dyDescent="0.25">
      <c r="D698" s="70"/>
      <c r="E698" s="106"/>
      <c r="F698" s="107"/>
    </row>
    <row r="699" spans="4:6" x14ac:dyDescent="0.25">
      <c r="D699" s="70"/>
      <c r="E699" s="106"/>
      <c r="F699" s="107"/>
    </row>
    <row r="700" spans="4:6" x14ac:dyDescent="0.25">
      <c r="D700" s="70"/>
      <c r="E700" s="106"/>
      <c r="F700" s="107"/>
    </row>
    <row r="701" spans="4:6" x14ac:dyDescent="0.25">
      <c r="D701" s="70"/>
      <c r="E701" s="106"/>
      <c r="F701" s="107"/>
    </row>
    <row r="702" spans="4:6" x14ac:dyDescent="0.25">
      <c r="D702" s="70"/>
      <c r="E702" s="106"/>
      <c r="F702" s="107"/>
    </row>
    <row r="703" spans="4:6" x14ac:dyDescent="0.25">
      <c r="D703" s="70"/>
      <c r="E703" s="106"/>
      <c r="F703" s="107"/>
    </row>
    <row r="704" spans="4:6" x14ac:dyDescent="0.25">
      <c r="D704" s="70"/>
      <c r="E704" s="106"/>
      <c r="F704" s="107"/>
    </row>
    <row r="705" spans="4:6" x14ac:dyDescent="0.25">
      <c r="D705" s="70"/>
      <c r="E705" s="106"/>
      <c r="F705" s="107"/>
    </row>
    <row r="706" spans="4:6" x14ac:dyDescent="0.25">
      <c r="D706" s="70"/>
      <c r="E706" s="106"/>
      <c r="F706" s="107"/>
    </row>
    <row r="707" spans="4:6" x14ac:dyDescent="0.25">
      <c r="D707" s="70"/>
      <c r="E707" s="106"/>
      <c r="F707" s="107"/>
    </row>
    <row r="708" spans="4:6" x14ac:dyDescent="0.25">
      <c r="D708" s="70"/>
      <c r="E708" s="106"/>
      <c r="F708" s="107"/>
    </row>
    <row r="709" spans="4:6" x14ac:dyDescent="0.25">
      <c r="D709" s="70"/>
      <c r="E709" s="106"/>
      <c r="F709" s="107"/>
    </row>
    <row r="710" spans="4:6" x14ac:dyDescent="0.25">
      <c r="D710" s="70"/>
      <c r="E710" s="106"/>
      <c r="F710" s="107"/>
    </row>
    <row r="711" spans="4:6" x14ac:dyDescent="0.25">
      <c r="D711" s="70"/>
      <c r="E711" s="106"/>
      <c r="F711" s="107"/>
    </row>
    <row r="712" spans="4:6" x14ac:dyDescent="0.25">
      <c r="D712" s="70"/>
      <c r="E712" s="106"/>
      <c r="F712" s="107"/>
    </row>
    <row r="713" spans="4:6" x14ac:dyDescent="0.25">
      <c r="D713" s="70"/>
      <c r="E713" s="106"/>
      <c r="F713" s="107"/>
    </row>
    <row r="714" spans="4:6" x14ac:dyDescent="0.25">
      <c r="D714" s="70"/>
      <c r="E714" s="106"/>
      <c r="F714" s="107"/>
    </row>
    <row r="715" spans="4:6" x14ac:dyDescent="0.25">
      <c r="D715" s="70"/>
      <c r="E715" s="106"/>
      <c r="F715" s="107"/>
    </row>
    <row r="716" spans="4:6" x14ac:dyDescent="0.25">
      <c r="D716" s="70"/>
      <c r="E716" s="106"/>
      <c r="F716" s="107"/>
    </row>
    <row r="717" spans="4:6" x14ac:dyDescent="0.25">
      <c r="D717" s="70"/>
      <c r="E717" s="106"/>
      <c r="F717" s="107"/>
    </row>
    <row r="718" spans="4:6" x14ac:dyDescent="0.25">
      <c r="D718" s="70"/>
      <c r="E718" s="106"/>
      <c r="F718" s="107"/>
    </row>
    <row r="719" spans="4:6" x14ac:dyDescent="0.25">
      <c r="D719" s="70"/>
      <c r="E719" s="106"/>
      <c r="F719" s="107"/>
    </row>
    <row r="720" spans="4:6" x14ac:dyDescent="0.25">
      <c r="D720" s="70"/>
      <c r="E720" s="106"/>
      <c r="F720" s="107"/>
    </row>
    <row r="721" spans="4:6" x14ac:dyDescent="0.25">
      <c r="D721" s="70"/>
      <c r="E721" s="106"/>
      <c r="F721" s="107"/>
    </row>
    <row r="722" spans="4:6" x14ac:dyDescent="0.25">
      <c r="D722" s="70"/>
      <c r="E722" s="106"/>
      <c r="F722" s="107"/>
    </row>
    <row r="723" spans="4:6" x14ac:dyDescent="0.25">
      <c r="D723" s="70"/>
      <c r="E723" s="106"/>
      <c r="F723" s="107"/>
    </row>
    <row r="724" spans="4:6" x14ac:dyDescent="0.25">
      <c r="D724" s="70"/>
      <c r="E724" s="106"/>
      <c r="F724" s="107"/>
    </row>
    <row r="725" spans="4:6" x14ac:dyDescent="0.25">
      <c r="D725" s="70"/>
      <c r="E725" s="106"/>
      <c r="F725" s="107"/>
    </row>
    <row r="726" spans="4:6" x14ac:dyDescent="0.25">
      <c r="D726" s="70"/>
      <c r="E726" s="106"/>
      <c r="F726" s="107"/>
    </row>
    <row r="727" spans="4:6" x14ac:dyDescent="0.25">
      <c r="D727" s="70"/>
      <c r="E727" s="106"/>
      <c r="F727" s="107"/>
    </row>
    <row r="728" spans="4:6" x14ac:dyDescent="0.25">
      <c r="D728" s="70"/>
      <c r="E728" s="106"/>
      <c r="F728" s="107"/>
    </row>
    <row r="729" spans="4:6" x14ac:dyDescent="0.25">
      <c r="D729" s="70"/>
      <c r="E729" s="106"/>
      <c r="F729" s="107"/>
    </row>
    <row r="730" spans="4:6" x14ac:dyDescent="0.25">
      <c r="D730" s="70"/>
      <c r="E730" s="106"/>
      <c r="F730" s="107"/>
    </row>
    <row r="731" spans="4:6" x14ac:dyDescent="0.25">
      <c r="D731" s="70"/>
      <c r="E731" s="106"/>
      <c r="F731" s="107"/>
    </row>
    <row r="732" spans="4:6" x14ac:dyDescent="0.25">
      <c r="D732" s="70"/>
      <c r="E732" s="106"/>
      <c r="F732" s="107"/>
    </row>
    <row r="733" spans="4:6" x14ac:dyDescent="0.25">
      <c r="D733" s="70"/>
      <c r="E733" s="106"/>
      <c r="F733" s="107"/>
    </row>
    <row r="734" spans="4:6" x14ac:dyDescent="0.25">
      <c r="D734" s="70"/>
      <c r="E734" s="106"/>
      <c r="F734" s="107"/>
    </row>
    <row r="735" spans="4:6" x14ac:dyDescent="0.25">
      <c r="D735" s="70"/>
      <c r="E735" s="106"/>
      <c r="F735" s="107"/>
    </row>
    <row r="736" spans="4:6" x14ac:dyDescent="0.25">
      <c r="D736" s="70"/>
      <c r="E736" s="106"/>
      <c r="F736" s="107"/>
    </row>
    <row r="737" spans="4:6" x14ac:dyDescent="0.25">
      <c r="D737" s="70"/>
      <c r="E737" s="106"/>
      <c r="F737" s="107"/>
    </row>
    <row r="738" spans="4:6" x14ac:dyDescent="0.25">
      <c r="D738" s="70"/>
      <c r="E738" s="106"/>
      <c r="F738" s="107"/>
    </row>
    <row r="739" spans="4:6" x14ac:dyDescent="0.25">
      <c r="D739" s="70"/>
      <c r="E739" s="106"/>
      <c r="F739" s="107"/>
    </row>
    <row r="740" spans="4:6" x14ac:dyDescent="0.25">
      <c r="D740" s="70"/>
      <c r="E740" s="106"/>
      <c r="F740" s="107"/>
    </row>
    <row r="741" spans="4:6" x14ac:dyDescent="0.25">
      <c r="D741" s="70"/>
      <c r="E741" s="106"/>
      <c r="F741" s="107"/>
    </row>
    <row r="742" spans="4:6" x14ac:dyDescent="0.25">
      <c r="D742" s="70"/>
      <c r="E742" s="106"/>
      <c r="F742" s="107"/>
    </row>
    <row r="743" spans="4:6" x14ac:dyDescent="0.25">
      <c r="D743" s="70"/>
      <c r="E743" s="106"/>
      <c r="F743" s="107"/>
    </row>
    <row r="744" spans="4:6" x14ac:dyDescent="0.25">
      <c r="D744" s="70"/>
      <c r="E744" s="106"/>
      <c r="F744" s="107"/>
    </row>
    <row r="745" spans="4:6" x14ac:dyDescent="0.25">
      <c r="D745" s="70"/>
      <c r="E745" s="106"/>
      <c r="F745" s="107"/>
    </row>
    <row r="746" spans="4:6" x14ac:dyDescent="0.25">
      <c r="D746" s="70"/>
      <c r="E746" s="106"/>
      <c r="F746" s="107"/>
    </row>
    <row r="747" spans="4:6" x14ac:dyDescent="0.25">
      <c r="D747" s="70"/>
      <c r="E747" s="106"/>
      <c r="F747" s="107"/>
    </row>
    <row r="748" spans="4:6" x14ac:dyDescent="0.25">
      <c r="D748" s="70"/>
      <c r="E748" s="106"/>
      <c r="F748" s="107"/>
    </row>
    <row r="749" spans="4:6" x14ac:dyDescent="0.25">
      <c r="D749" s="70"/>
      <c r="E749" s="106"/>
      <c r="F749" s="107"/>
    </row>
    <row r="750" spans="4:6" x14ac:dyDescent="0.25">
      <c r="D750" s="70"/>
      <c r="E750" s="106"/>
      <c r="F750" s="107"/>
    </row>
    <row r="751" spans="4:6" x14ac:dyDescent="0.25">
      <c r="D751" s="70"/>
      <c r="E751" s="106"/>
      <c r="F751" s="107"/>
    </row>
    <row r="752" spans="4:6" x14ac:dyDescent="0.25">
      <c r="D752" s="70"/>
      <c r="E752" s="106"/>
      <c r="F752" s="107"/>
    </row>
    <row r="753" spans="4:6" x14ac:dyDescent="0.25">
      <c r="D753" s="70"/>
      <c r="E753" s="106"/>
      <c r="F753" s="107"/>
    </row>
    <row r="754" spans="4:6" x14ac:dyDescent="0.25">
      <c r="D754" s="70"/>
      <c r="E754" s="106"/>
      <c r="F754" s="107"/>
    </row>
    <row r="755" spans="4:6" x14ac:dyDescent="0.25">
      <c r="D755" s="70"/>
      <c r="E755" s="106"/>
      <c r="F755" s="107"/>
    </row>
    <row r="756" spans="4:6" x14ac:dyDescent="0.25">
      <c r="D756" s="70"/>
      <c r="E756" s="106"/>
      <c r="F756" s="107"/>
    </row>
    <row r="757" spans="4:6" x14ac:dyDescent="0.25">
      <c r="D757" s="70"/>
      <c r="E757" s="106"/>
      <c r="F757" s="107"/>
    </row>
    <row r="758" spans="4:6" x14ac:dyDescent="0.25">
      <c r="D758" s="70"/>
      <c r="E758" s="106"/>
      <c r="F758" s="107"/>
    </row>
    <row r="759" spans="4:6" x14ac:dyDescent="0.25">
      <c r="D759" s="70"/>
      <c r="E759" s="106"/>
      <c r="F759" s="107"/>
    </row>
    <row r="760" spans="4:6" x14ac:dyDescent="0.25">
      <c r="D760" s="70"/>
      <c r="E760" s="106"/>
      <c r="F760" s="107"/>
    </row>
    <row r="761" spans="4:6" x14ac:dyDescent="0.25">
      <c r="D761" s="70"/>
      <c r="E761" s="106"/>
      <c r="F761" s="107"/>
    </row>
    <row r="762" spans="4:6" x14ac:dyDescent="0.25">
      <c r="D762" s="70"/>
      <c r="E762" s="106"/>
      <c r="F762" s="107"/>
    </row>
    <row r="763" spans="4:6" x14ac:dyDescent="0.25">
      <c r="D763" s="70"/>
      <c r="E763" s="106"/>
      <c r="F763" s="107"/>
    </row>
    <row r="764" spans="4:6" x14ac:dyDescent="0.25">
      <c r="D764" s="70"/>
      <c r="E764" s="106"/>
      <c r="F764" s="107"/>
    </row>
    <row r="765" spans="4:6" x14ac:dyDescent="0.25">
      <c r="D765" s="70"/>
      <c r="E765" s="106"/>
      <c r="F765" s="107"/>
    </row>
    <row r="766" spans="4:6" x14ac:dyDescent="0.25">
      <c r="D766" s="70"/>
      <c r="E766" s="106"/>
      <c r="F766" s="107"/>
    </row>
    <row r="767" spans="4:6" x14ac:dyDescent="0.25">
      <c r="D767" s="70"/>
      <c r="E767" s="106"/>
      <c r="F767" s="107"/>
    </row>
    <row r="768" spans="4:6" x14ac:dyDescent="0.25">
      <c r="D768" s="70"/>
      <c r="E768" s="106"/>
      <c r="F768" s="107"/>
    </row>
    <row r="769" spans="4:6" x14ac:dyDescent="0.25">
      <c r="D769" s="70"/>
      <c r="E769" s="106"/>
      <c r="F769" s="107"/>
    </row>
    <row r="770" spans="4:6" x14ac:dyDescent="0.25">
      <c r="D770" s="70"/>
      <c r="E770" s="106"/>
      <c r="F770" s="107"/>
    </row>
    <row r="771" spans="4:6" x14ac:dyDescent="0.25">
      <c r="D771" s="70"/>
      <c r="E771" s="106"/>
      <c r="F771" s="107"/>
    </row>
    <row r="772" spans="4:6" x14ac:dyDescent="0.25">
      <c r="D772" s="70"/>
      <c r="E772" s="106"/>
      <c r="F772" s="107"/>
    </row>
    <row r="773" spans="4:6" x14ac:dyDescent="0.25">
      <c r="D773" s="70"/>
      <c r="E773" s="106"/>
      <c r="F773" s="107"/>
    </row>
    <row r="774" spans="4:6" x14ac:dyDescent="0.25">
      <c r="D774" s="70"/>
      <c r="E774" s="106"/>
      <c r="F774" s="107"/>
    </row>
    <row r="775" spans="4:6" x14ac:dyDescent="0.25">
      <c r="D775" s="70"/>
      <c r="E775" s="106"/>
      <c r="F775" s="107"/>
    </row>
    <row r="776" spans="4:6" x14ac:dyDescent="0.25">
      <c r="D776" s="70"/>
      <c r="E776" s="106"/>
      <c r="F776" s="107"/>
    </row>
    <row r="777" spans="4:6" x14ac:dyDescent="0.25">
      <c r="D777" s="70"/>
      <c r="E777" s="106"/>
      <c r="F777" s="107"/>
    </row>
    <row r="778" spans="4:6" x14ac:dyDescent="0.25">
      <c r="D778" s="70"/>
      <c r="E778" s="106"/>
      <c r="F778" s="107"/>
    </row>
    <row r="779" spans="4:6" x14ac:dyDescent="0.25">
      <c r="D779" s="70"/>
      <c r="E779" s="106"/>
      <c r="F779" s="107"/>
    </row>
    <row r="780" spans="4:6" x14ac:dyDescent="0.25">
      <c r="D780" s="70"/>
      <c r="E780" s="106"/>
      <c r="F780" s="107"/>
    </row>
    <row r="781" spans="4:6" x14ac:dyDescent="0.25">
      <c r="D781" s="70"/>
      <c r="E781" s="106"/>
      <c r="F781" s="107"/>
    </row>
    <row r="782" spans="4:6" x14ac:dyDescent="0.25">
      <c r="D782" s="70"/>
      <c r="E782" s="106"/>
      <c r="F782" s="107"/>
    </row>
    <row r="783" spans="4:6" x14ac:dyDescent="0.25">
      <c r="D783" s="70"/>
      <c r="E783" s="106"/>
      <c r="F783" s="107"/>
    </row>
    <row r="784" spans="4:6" x14ac:dyDescent="0.25">
      <c r="D784" s="70"/>
      <c r="E784" s="106"/>
      <c r="F784" s="107"/>
    </row>
    <row r="785" spans="4:6" x14ac:dyDescent="0.25">
      <c r="D785" s="70"/>
      <c r="E785" s="106"/>
      <c r="F785" s="107"/>
    </row>
    <row r="786" spans="4:6" x14ac:dyDescent="0.25">
      <c r="D786" s="70"/>
      <c r="E786" s="106"/>
      <c r="F786" s="107"/>
    </row>
    <row r="787" spans="4:6" x14ac:dyDescent="0.25">
      <c r="D787" s="70"/>
      <c r="E787" s="106"/>
      <c r="F787" s="107"/>
    </row>
    <row r="788" spans="4:6" x14ac:dyDescent="0.25">
      <c r="D788" s="70"/>
      <c r="E788" s="106"/>
      <c r="F788" s="107"/>
    </row>
  </sheetData>
  <mergeCells count="6">
    <mergeCell ref="B6:B7"/>
    <mergeCell ref="C6:C7"/>
    <mergeCell ref="D6:E6"/>
    <mergeCell ref="F6:G6"/>
    <mergeCell ref="A1:G4"/>
    <mergeCell ref="A6:A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457CD-4090-4C96-A6D4-2FD6FCF211F8}">
  <sheetPr>
    <tabColor theme="5"/>
  </sheetPr>
  <dimension ref="A1:AO277"/>
  <sheetViews>
    <sheetView zoomScale="80" zoomScaleNormal="80" workbookViewId="0">
      <selection activeCell="Y6" sqref="A6:XFD6"/>
    </sheetView>
  </sheetViews>
  <sheetFormatPr baseColWidth="10" defaultColWidth="11.44140625" defaultRowHeight="13.2" x14ac:dyDescent="0.25"/>
  <cols>
    <col min="1" max="1" width="14.5546875" style="112" customWidth="1"/>
    <col min="2" max="2" width="45.5546875" style="112" customWidth="1"/>
    <col min="3" max="3" width="19.44140625" style="171" customWidth="1"/>
    <col min="4" max="4" width="18.88671875" style="171" bestFit="1" customWidth="1"/>
    <col min="5" max="5" width="16.6640625" style="171" hidden="1" customWidth="1"/>
    <col min="6" max="6" width="15.44140625" style="171" hidden="1" customWidth="1"/>
    <col min="7" max="7" width="18.33203125" style="171" hidden="1" customWidth="1"/>
    <col min="8" max="8" width="15.109375" style="171" hidden="1" customWidth="1"/>
    <col min="9" max="9" width="23.88671875" style="171" hidden="1" customWidth="1"/>
    <col min="10" max="10" width="20.44140625" style="171" hidden="1" customWidth="1"/>
    <col min="11" max="11" width="14.33203125" style="171" hidden="1" customWidth="1"/>
    <col min="12" max="14" width="15.44140625" style="171" hidden="1" customWidth="1"/>
    <col min="15" max="15" width="17.33203125" style="171" hidden="1" customWidth="1"/>
    <col min="16" max="16" width="15.44140625" style="171" hidden="1" customWidth="1"/>
    <col min="17" max="17" width="17.6640625" style="171" hidden="1" customWidth="1"/>
    <col min="18" max="20" width="15.44140625" style="171" hidden="1" customWidth="1"/>
    <col min="21" max="21" width="14.33203125" style="171" hidden="1" customWidth="1"/>
    <col min="22" max="22" width="26.6640625" style="171" hidden="1" customWidth="1"/>
    <col min="23" max="23" width="16" style="171" hidden="1" customWidth="1"/>
    <col min="24" max="24" width="23.88671875" style="171" hidden="1" customWidth="1"/>
    <col min="25" max="25" width="18" style="171" customWidth="1"/>
    <col min="26" max="26" width="23" style="171" hidden="1" customWidth="1"/>
    <col min="27" max="27" width="19.6640625" style="171" hidden="1" customWidth="1"/>
    <col min="28" max="28" width="17.33203125" style="171" hidden="1" customWidth="1"/>
    <col min="29" max="29" width="15.44140625" style="171" hidden="1" customWidth="1"/>
    <col min="30" max="30" width="20.44140625" style="171" hidden="1" customWidth="1"/>
    <col min="31" max="31" width="28.109375" style="171" bestFit="1" customWidth="1"/>
    <col min="32" max="32" width="19" style="171" hidden="1" customWidth="1"/>
    <col min="33" max="33" width="21.6640625" style="171" hidden="1" customWidth="1"/>
    <col min="34" max="34" width="27.88671875" style="171" hidden="1" customWidth="1"/>
    <col min="35" max="35" width="18.44140625" style="171" hidden="1" customWidth="1"/>
    <col min="36" max="36" width="31.88671875" style="171" bestFit="1" customWidth="1"/>
    <col min="37" max="37" width="22" style="171" customWidth="1"/>
    <col min="38" max="38" width="27.88671875" style="171" bestFit="1" customWidth="1"/>
    <col min="39" max="39" width="23.88671875" style="171" hidden="1" customWidth="1"/>
    <col min="40" max="40" width="22.33203125" style="171" hidden="1" customWidth="1"/>
    <col min="41" max="41" width="17.44140625" style="171" hidden="1" customWidth="1"/>
    <col min="42" max="16384" width="11.44140625" style="112"/>
  </cols>
  <sheetData>
    <row r="1" spans="1:41" x14ac:dyDescent="0.25">
      <c r="A1" s="217" t="s">
        <v>667</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row>
    <row r="2" spans="1:41" x14ac:dyDescent="0.25">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row>
    <row r="3" spans="1:41" x14ac:dyDescent="0.25">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row>
    <row r="4" spans="1:41" ht="13.8" customHeight="1" x14ac:dyDescent="0.25">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row>
    <row r="5" spans="1:41" ht="13.8" customHeight="1" thickBot="1" x14ac:dyDescent="0.3">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row>
    <row r="6" spans="1:41" s="117" customFormat="1" ht="66" customHeight="1" thickBot="1" x14ac:dyDescent="0.35">
      <c r="A6" s="173" t="s">
        <v>662</v>
      </c>
      <c r="B6" s="174" t="s">
        <v>418</v>
      </c>
      <c r="C6" s="175" t="s">
        <v>663</v>
      </c>
      <c r="D6" s="174" t="s">
        <v>668</v>
      </c>
      <c r="E6" s="176" t="s">
        <v>669</v>
      </c>
      <c r="F6" s="177" t="s">
        <v>670</v>
      </c>
      <c r="G6" s="177" t="s">
        <v>671</v>
      </c>
      <c r="H6" s="177" t="s">
        <v>672</v>
      </c>
      <c r="I6" s="177" t="s">
        <v>673</v>
      </c>
      <c r="J6" s="178" t="s">
        <v>674</v>
      </c>
      <c r="K6" s="177" t="s">
        <v>675</v>
      </c>
      <c r="L6" s="177" t="s">
        <v>676</v>
      </c>
      <c r="M6" s="177" t="s">
        <v>677</v>
      </c>
      <c r="N6" s="177" t="s">
        <v>678</v>
      </c>
      <c r="O6" s="178" t="s">
        <v>679</v>
      </c>
      <c r="P6" s="178" t="s">
        <v>680</v>
      </c>
      <c r="Q6" s="178" t="s">
        <v>681</v>
      </c>
      <c r="R6" s="179" t="s">
        <v>682</v>
      </c>
      <c r="S6" s="180" t="s">
        <v>683</v>
      </c>
      <c r="T6" s="181" t="s">
        <v>684</v>
      </c>
      <c r="U6" s="178" t="s">
        <v>685</v>
      </c>
      <c r="V6" s="178" t="s">
        <v>686</v>
      </c>
      <c r="W6" s="179" t="s">
        <v>687</v>
      </c>
      <c r="X6" s="182" t="s">
        <v>688</v>
      </c>
      <c r="Y6" s="183" t="s">
        <v>689</v>
      </c>
      <c r="Z6" s="184" t="s">
        <v>690</v>
      </c>
      <c r="AA6" s="185" t="s">
        <v>691</v>
      </c>
      <c r="AB6" s="185" t="s">
        <v>692</v>
      </c>
      <c r="AC6" s="185" t="s">
        <v>693</v>
      </c>
      <c r="AD6" s="186" t="s">
        <v>694</v>
      </c>
      <c r="AE6" s="187" t="s">
        <v>695</v>
      </c>
      <c r="AF6" s="114" t="s">
        <v>32</v>
      </c>
      <c r="AG6" s="114" t="s">
        <v>33</v>
      </c>
      <c r="AH6" s="114" t="s">
        <v>34</v>
      </c>
      <c r="AI6" s="114" t="s">
        <v>35</v>
      </c>
      <c r="AJ6" s="180" t="s">
        <v>696</v>
      </c>
      <c r="AK6" s="188" t="s">
        <v>697</v>
      </c>
      <c r="AL6" s="187" t="s">
        <v>698</v>
      </c>
      <c r="AM6" s="115" t="s">
        <v>36</v>
      </c>
      <c r="AN6" s="116" t="s">
        <v>37</v>
      </c>
      <c r="AO6" s="116" t="s">
        <v>38</v>
      </c>
    </row>
    <row r="7" spans="1:41" s="125" customFormat="1" x14ac:dyDescent="0.25">
      <c r="A7" s="118"/>
      <c r="B7" s="119" t="s">
        <v>39</v>
      </c>
      <c r="C7" s="120">
        <f t="shared" ref="C7:AO7" si="0">+C9+C48+C141+C177+C181+C185+C213+C234+C247</f>
        <v>56736460233.001648</v>
      </c>
      <c r="D7" s="121">
        <f t="shared" si="0"/>
        <v>4399086287</v>
      </c>
      <c r="E7" s="120">
        <f t="shared" si="0"/>
        <v>32050209</v>
      </c>
      <c r="F7" s="121">
        <f t="shared" si="0"/>
        <v>181720089</v>
      </c>
      <c r="G7" s="121">
        <f t="shared" si="0"/>
        <v>168533631</v>
      </c>
      <c r="H7" s="121">
        <f t="shared" si="0"/>
        <v>97265570</v>
      </c>
      <c r="I7" s="121">
        <f t="shared" si="0"/>
        <v>718310231</v>
      </c>
      <c r="J7" s="121">
        <f t="shared" si="0"/>
        <v>21289926</v>
      </c>
      <c r="K7" s="121">
        <f t="shared" si="0"/>
        <v>50019659</v>
      </c>
      <c r="L7" s="121">
        <f t="shared" si="0"/>
        <v>153469680</v>
      </c>
      <c r="M7" s="121">
        <f t="shared" si="0"/>
        <v>369960467</v>
      </c>
      <c r="N7" s="121">
        <f t="shared" si="0"/>
        <v>114302119</v>
      </c>
      <c r="O7" s="121">
        <f t="shared" si="0"/>
        <v>898726561</v>
      </c>
      <c r="P7" s="121">
        <f t="shared" si="0"/>
        <v>498436176</v>
      </c>
      <c r="Q7" s="121">
        <f t="shared" si="0"/>
        <v>29557288</v>
      </c>
      <c r="R7" s="121">
        <f t="shared" si="0"/>
        <v>113742454</v>
      </c>
      <c r="S7" s="121">
        <f t="shared" si="0"/>
        <v>481878696</v>
      </c>
      <c r="T7" s="121">
        <f t="shared" si="0"/>
        <v>101565549</v>
      </c>
      <c r="U7" s="121">
        <f t="shared" si="0"/>
        <v>35273765</v>
      </c>
      <c r="V7" s="121">
        <f t="shared" si="0"/>
        <v>106642485</v>
      </c>
      <c r="W7" s="121">
        <f t="shared" si="0"/>
        <v>28913983</v>
      </c>
      <c r="X7" s="121">
        <f t="shared" si="0"/>
        <v>197427749</v>
      </c>
      <c r="Y7" s="121">
        <f t="shared" si="0"/>
        <v>2135608304</v>
      </c>
      <c r="Z7" s="121">
        <f t="shared" si="0"/>
        <v>138457986</v>
      </c>
      <c r="AA7" s="121">
        <f t="shared" si="0"/>
        <v>137283550</v>
      </c>
      <c r="AB7" s="121">
        <f t="shared" si="0"/>
        <v>1522483108</v>
      </c>
      <c r="AC7" s="121">
        <f t="shared" si="0"/>
        <v>243285637</v>
      </c>
      <c r="AD7" s="121">
        <f t="shared" si="0"/>
        <v>94098023</v>
      </c>
      <c r="AE7" s="121">
        <f t="shared" si="0"/>
        <v>7005095419</v>
      </c>
      <c r="AF7" s="121">
        <f t="shared" si="0"/>
        <v>75957094</v>
      </c>
      <c r="AG7" s="121">
        <f t="shared" si="0"/>
        <v>4067188965</v>
      </c>
      <c r="AH7" s="121">
        <f t="shared" si="0"/>
        <v>1797220616</v>
      </c>
      <c r="AI7" s="121">
        <f t="shared" si="0"/>
        <v>1064728744</v>
      </c>
      <c r="AJ7" s="122">
        <f t="shared" si="0"/>
        <v>43196670223.001648</v>
      </c>
      <c r="AK7" s="121">
        <f t="shared" si="0"/>
        <v>40937424951.001648</v>
      </c>
      <c r="AL7" s="121">
        <f t="shared" si="0"/>
        <v>2259245272</v>
      </c>
      <c r="AM7" s="123">
        <f t="shared" si="0"/>
        <v>5321094</v>
      </c>
      <c r="AN7" s="124">
        <f t="shared" si="0"/>
        <v>8123488</v>
      </c>
      <c r="AO7" s="124">
        <f t="shared" si="0"/>
        <v>2245800690</v>
      </c>
    </row>
    <row r="8" spans="1:41" s="125" customFormat="1" x14ac:dyDescent="0.25">
      <c r="A8" s="126"/>
      <c r="B8" s="127"/>
      <c r="C8" s="123"/>
      <c r="D8" s="124"/>
      <c r="E8" s="123"/>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8"/>
      <c r="AK8" s="124"/>
      <c r="AL8" s="124"/>
      <c r="AM8" s="123"/>
      <c r="AN8" s="124"/>
      <c r="AO8" s="124"/>
    </row>
    <row r="9" spans="1:41" s="125" customFormat="1" x14ac:dyDescent="0.25">
      <c r="A9" s="129">
        <v>0</v>
      </c>
      <c r="B9" s="130" t="s">
        <v>40</v>
      </c>
      <c r="C9" s="123">
        <f>+C11+C15+C20+C35+C42</f>
        <v>4062276601</v>
      </c>
      <c r="D9" s="124">
        <f t="shared" ref="D9:AO9" si="1">+D11+D15+D20+D35+D42</f>
        <v>1676231369</v>
      </c>
      <c r="E9" s="123">
        <f t="shared" si="1"/>
        <v>31997209</v>
      </c>
      <c r="F9" s="124">
        <f t="shared" si="1"/>
        <v>169356299</v>
      </c>
      <c r="G9" s="124">
        <f t="shared" si="1"/>
        <v>151533631</v>
      </c>
      <c r="H9" s="124">
        <f t="shared" si="1"/>
        <v>86640570</v>
      </c>
      <c r="I9" s="124">
        <f t="shared" si="1"/>
        <v>140740951</v>
      </c>
      <c r="J9" s="124">
        <f t="shared" si="1"/>
        <v>20789926</v>
      </c>
      <c r="K9" s="124">
        <f t="shared" si="1"/>
        <v>43919659</v>
      </c>
      <c r="L9" s="124">
        <f t="shared" si="1"/>
        <v>117969680</v>
      </c>
      <c r="M9" s="124">
        <f t="shared" si="1"/>
        <v>207100467</v>
      </c>
      <c r="N9" s="124">
        <f t="shared" si="1"/>
        <v>52662050</v>
      </c>
      <c r="O9" s="124">
        <f t="shared" si="1"/>
        <v>138866658</v>
      </c>
      <c r="P9" s="124">
        <f t="shared" si="1"/>
        <v>86723138</v>
      </c>
      <c r="Q9" s="124">
        <f t="shared" si="1"/>
        <v>29057288</v>
      </c>
      <c r="R9" s="124">
        <f t="shared" si="1"/>
        <v>110092454</v>
      </c>
      <c r="S9" s="124">
        <f t="shared" si="1"/>
        <v>15178696</v>
      </c>
      <c r="T9" s="124">
        <f t="shared" si="1"/>
        <v>51585549</v>
      </c>
      <c r="U9" s="124">
        <f t="shared" si="1"/>
        <v>28278765</v>
      </c>
      <c r="V9" s="124">
        <f t="shared" si="1"/>
        <v>74320647</v>
      </c>
      <c r="W9" s="124">
        <f t="shared" si="1"/>
        <v>16339983</v>
      </c>
      <c r="X9" s="124">
        <f t="shared" si="1"/>
        <v>103077749</v>
      </c>
      <c r="Y9" s="124">
        <f t="shared" si="1"/>
        <v>750460904</v>
      </c>
      <c r="Z9" s="124">
        <f t="shared" si="1"/>
        <v>123817986</v>
      </c>
      <c r="AA9" s="124">
        <f t="shared" si="1"/>
        <v>96690050</v>
      </c>
      <c r="AB9" s="124">
        <f t="shared" si="1"/>
        <v>222064208</v>
      </c>
      <c r="AC9" s="124">
        <f t="shared" si="1"/>
        <v>219985637</v>
      </c>
      <c r="AD9" s="124">
        <f t="shared" si="1"/>
        <v>87903023</v>
      </c>
      <c r="AE9" s="124">
        <f t="shared" si="1"/>
        <v>746596464</v>
      </c>
      <c r="AF9" s="124">
        <f t="shared" si="1"/>
        <v>49307847</v>
      </c>
      <c r="AG9" s="124">
        <f t="shared" si="1"/>
        <v>373025257</v>
      </c>
      <c r="AH9" s="124">
        <f t="shared" si="1"/>
        <v>141654616</v>
      </c>
      <c r="AI9" s="124">
        <f t="shared" si="1"/>
        <v>182608744</v>
      </c>
      <c r="AJ9" s="128">
        <f t="shared" si="1"/>
        <v>888987864</v>
      </c>
      <c r="AK9" s="124">
        <f t="shared" si="1"/>
        <v>873730030</v>
      </c>
      <c r="AL9" s="124">
        <f t="shared" si="1"/>
        <v>15257834</v>
      </c>
      <c r="AM9" s="123">
        <f t="shared" si="1"/>
        <v>3621094</v>
      </c>
      <c r="AN9" s="124">
        <f t="shared" si="1"/>
        <v>4423488</v>
      </c>
      <c r="AO9" s="124">
        <f t="shared" si="1"/>
        <v>7213252</v>
      </c>
    </row>
    <row r="10" spans="1:41" s="125" customFormat="1" x14ac:dyDescent="0.25">
      <c r="A10" s="129"/>
      <c r="B10" s="130"/>
      <c r="C10" s="123"/>
      <c r="D10" s="124"/>
      <c r="E10" s="123"/>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8"/>
      <c r="AK10" s="124"/>
      <c r="AL10" s="124"/>
      <c r="AM10" s="123"/>
      <c r="AN10" s="124"/>
      <c r="AO10" s="124"/>
    </row>
    <row r="11" spans="1:41" s="125" customFormat="1" x14ac:dyDescent="0.25">
      <c r="A11" s="131" t="s">
        <v>41</v>
      </c>
      <c r="B11" s="132" t="s">
        <v>42</v>
      </c>
      <c r="C11" s="123">
        <f>SUM(C12:C13)</f>
        <v>1558139793</v>
      </c>
      <c r="D11" s="124">
        <f t="shared" ref="D11:AO11" si="2">SUM(D12:D13)</f>
        <v>658075658</v>
      </c>
      <c r="E11" s="123">
        <f t="shared" si="2"/>
        <v>0</v>
      </c>
      <c r="F11" s="124">
        <f t="shared" si="2"/>
        <v>61409741</v>
      </c>
      <c r="G11" s="124">
        <f t="shared" si="2"/>
        <v>75829864</v>
      </c>
      <c r="H11" s="124">
        <f t="shared" si="2"/>
        <v>43720870</v>
      </c>
      <c r="I11" s="124">
        <f t="shared" si="2"/>
        <v>46173100</v>
      </c>
      <c r="J11" s="124">
        <f t="shared" si="2"/>
        <v>9190173</v>
      </c>
      <c r="K11" s="124">
        <f t="shared" si="2"/>
        <v>27392724</v>
      </c>
      <c r="L11" s="124">
        <f t="shared" si="2"/>
        <v>44117152</v>
      </c>
      <c r="M11" s="124">
        <f t="shared" si="2"/>
        <v>79039740</v>
      </c>
      <c r="N11" s="124">
        <f t="shared" si="2"/>
        <v>24229559</v>
      </c>
      <c r="O11" s="124">
        <f t="shared" si="2"/>
        <v>57135214</v>
      </c>
      <c r="P11" s="124">
        <f t="shared" si="2"/>
        <v>32118270</v>
      </c>
      <c r="Q11" s="124">
        <f t="shared" si="2"/>
        <v>11609294</v>
      </c>
      <c r="R11" s="124">
        <f t="shared" si="2"/>
        <v>43237803</v>
      </c>
      <c r="S11" s="124">
        <f t="shared" si="2"/>
        <v>5750205</v>
      </c>
      <c r="T11" s="124">
        <f t="shared" si="2"/>
        <v>21695558</v>
      </c>
      <c r="U11" s="124">
        <f t="shared" si="2"/>
        <v>10446228</v>
      </c>
      <c r="V11" s="124">
        <f t="shared" si="2"/>
        <v>25023861</v>
      </c>
      <c r="W11" s="124">
        <f t="shared" si="2"/>
        <v>4857083</v>
      </c>
      <c r="X11" s="124">
        <f t="shared" si="2"/>
        <v>35099219</v>
      </c>
      <c r="Y11" s="124">
        <f t="shared" si="2"/>
        <v>295122667</v>
      </c>
      <c r="Z11" s="124">
        <f t="shared" si="2"/>
        <v>44600526</v>
      </c>
      <c r="AA11" s="124">
        <f t="shared" si="2"/>
        <v>42246405</v>
      </c>
      <c r="AB11" s="124">
        <f t="shared" si="2"/>
        <v>89715416</v>
      </c>
      <c r="AC11" s="124">
        <f t="shared" si="2"/>
        <v>79562079</v>
      </c>
      <c r="AD11" s="124">
        <f t="shared" si="2"/>
        <v>38998241</v>
      </c>
      <c r="AE11" s="124">
        <f t="shared" si="2"/>
        <v>262243600</v>
      </c>
      <c r="AF11" s="124">
        <f t="shared" si="2"/>
        <v>18728430</v>
      </c>
      <c r="AG11" s="124">
        <f t="shared" si="2"/>
        <v>125475798</v>
      </c>
      <c r="AH11" s="124">
        <f t="shared" si="2"/>
        <v>47146800</v>
      </c>
      <c r="AI11" s="124">
        <f t="shared" si="2"/>
        <v>70892572</v>
      </c>
      <c r="AJ11" s="128">
        <f t="shared" si="2"/>
        <v>342697868</v>
      </c>
      <c r="AK11" s="124">
        <f t="shared" si="2"/>
        <v>337112645</v>
      </c>
      <c r="AL11" s="124">
        <f t="shared" si="2"/>
        <v>5585223</v>
      </c>
      <c r="AM11" s="123">
        <f t="shared" si="2"/>
        <v>1259394</v>
      </c>
      <c r="AN11" s="124">
        <f t="shared" si="2"/>
        <v>1778956</v>
      </c>
      <c r="AO11" s="124">
        <f t="shared" si="2"/>
        <v>2546873</v>
      </c>
    </row>
    <row r="12" spans="1:41" s="138" customFormat="1" x14ac:dyDescent="0.25">
      <c r="A12" s="133" t="s">
        <v>43</v>
      </c>
      <c r="B12" s="134" t="s">
        <v>44</v>
      </c>
      <c r="C12" s="135">
        <f>D12+Y12+AE12+AJ12</f>
        <v>1446658863</v>
      </c>
      <c r="D12" s="136">
        <f>SUM(E12:X12)</f>
        <v>611608027</v>
      </c>
      <c r="E12" s="135">
        <v>0</v>
      </c>
      <c r="F12" s="136">
        <f>+'[3]FORMULACION PRESUPUESTO 2024'!F4</f>
        <v>59184371</v>
      </c>
      <c r="G12" s="136">
        <f>+'[3]FORMULACION PRESUPUESTO 2024'!G4</f>
        <v>75829864</v>
      </c>
      <c r="H12" s="136">
        <f>+'[3]FORMULACION PRESUPUESTO 2024'!H4</f>
        <v>43720870</v>
      </c>
      <c r="I12" s="136">
        <f>+'[3]FORMULACION PRESUPUESTO 2024'!I4</f>
        <v>46173100</v>
      </c>
      <c r="J12" s="136">
        <f>+'[3]FORMULACION PRESUPUESTO 2024'!J4</f>
        <v>6428903</v>
      </c>
      <c r="K12" s="136">
        <f>+'[3]FORMULACION PRESUPUESTO 2024'!K4</f>
        <v>27392724</v>
      </c>
      <c r="L12" s="136">
        <f>+'[3]FORMULACION PRESUPUESTO 2024'!L4</f>
        <v>44117152</v>
      </c>
      <c r="M12" s="136">
        <f>+'[3]FORMULACION PRESUPUESTO 2024'!M4</f>
        <v>60562682</v>
      </c>
      <c r="N12" s="136">
        <f>+'[3]FORMULACION PRESUPUESTO 2024'!N4</f>
        <v>17920248</v>
      </c>
      <c r="O12" s="136">
        <f>+'[3]FORMULACION PRESUPUESTO 2024'!O4</f>
        <v>54104873</v>
      </c>
      <c r="P12" s="136">
        <f>+'[3]FORMULACION PRESUPUESTO 2024'!P4</f>
        <v>27749952</v>
      </c>
      <c r="Q12" s="136">
        <f>+'[3]FORMULACION PRESUPUESTO 2024'!Q4</f>
        <v>11609294</v>
      </c>
      <c r="R12" s="136">
        <f>+'[3]FORMULACION PRESUPUESTO 2024'!R4</f>
        <v>37928831</v>
      </c>
      <c r="S12" s="136">
        <f>+'[3]FORMULACION PRESUPUESTO 2024'!S4</f>
        <v>5750205</v>
      </c>
      <c r="T12" s="136">
        <f>+'[3]FORMULACION PRESUPUESTO 2024'!T4</f>
        <v>21695558</v>
      </c>
      <c r="U12" s="136">
        <f>+'[3]FORMULACION PRESUPUESTO 2024'!U4</f>
        <v>10446228</v>
      </c>
      <c r="V12" s="136">
        <f>+'[3]FORMULACION PRESUPUESTO 2024'!V4</f>
        <v>25023861</v>
      </c>
      <c r="W12" s="136">
        <f>+'[3]FORMULACION PRESUPUESTO 2024'!W4</f>
        <v>4857083</v>
      </c>
      <c r="X12" s="136">
        <f>+'[3]FORMULACION PRESUPUESTO 2024'!X4</f>
        <v>31112228</v>
      </c>
      <c r="Y12" s="136">
        <f>SUM(Z12:AD12)</f>
        <v>281256308</v>
      </c>
      <c r="Z12" s="136">
        <f>+'[3]FORMULACION PRESUPUESTO 2024'!Z4</f>
        <v>44600526</v>
      </c>
      <c r="AA12" s="136">
        <f>+'[3]FORMULACION PRESUPUESTO 2024'!AA4</f>
        <v>42246405</v>
      </c>
      <c r="AB12" s="136">
        <f>+'[3]FORMULACION PRESUPUESTO 2024'!AB4</f>
        <v>83321616</v>
      </c>
      <c r="AC12" s="136">
        <f>+'[3]FORMULACION PRESUPUESTO 2024'!AC4</f>
        <v>74126402</v>
      </c>
      <c r="AD12" s="136">
        <f>+'[3]FORMULACION PRESUPUESTO 2024'!AD4</f>
        <v>36961359</v>
      </c>
      <c r="AE12" s="136">
        <f>SUM(AF12:AI12)</f>
        <v>235002377</v>
      </c>
      <c r="AF12" s="136">
        <f>+'[3]FORMULACION PRESUPUESTO 2024'!AF4</f>
        <v>18728430</v>
      </c>
      <c r="AG12" s="136">
        <f>+'[3]FORMULACION PRESUPUESTO 2024'!AG4</f>
        <v>104038135</v>
      </c>
      <c r="AH12" s="136">
        <f>+'[3]FORMULACION PRESUPUESTO 2024'!AH4</f>
        <v>47146800</v>
      </c>
      <c r="AI12" s="136">
        <f>+'[3]FORMULACION PRESUPUESTO 2024'!AI4</f>
        <v>65089012</v>
      </c>
      <c r="AJ12" s="137">
        <f>SUM(AK12+AL12)</f>
        <v>318792151</v>
      </c>
      <c r="AK12" s="136">
        <f>+'[3]FORMULACION PRESUPUESTO 2024'!AK4</f>
        <v>313206928</v>
      </c>
      <c r="AL12" s="136">
        <f>SUM(AM12:AO12)</f>
        <v>5585223</v>
      </c>
      <c r="AM12" s="135">
        <f>+'[3]FORMULACION PRESUPUESTO 2024'!AM4</f>
        <v>1259394</v>
      </c>
      <c r="AN12" s="136">
        <f>+'[3]FORMULACION PRESUPUESTO 2024'!AN4</f>
        <v>1778956</v>
      </c>
      <c r="AO12" s="136">
        <f>+'[3]FORMULACION PRESUPUESTO 2024'!AO4</f>
        <v>2546873</v>
      </c>
    </row>
    <row r="13" spans="1:41" s="138" customFormat="1" x14ac:dyDescent="0.25">
      <c r="A13" s="133" t="s">
        <v>45</v>
      </c>
      <c r="B13" s="134" t="s">
        <v>46</v>
      </c>
      <c r="C13" s="135">
        <f>D13+Y13+AE13+AJ13</f>
        <v>111480930</v>
      </c>
      <c r="D13" s="136">
        <f>SUM(E13:X13)</f>
        <v>46467631</v>
      </c>
      <c r="E13" s="135">
        <v>0</v>
      </c>
      <c r="F13" s="136">
        <f>+'[3]FORMULACION PRESUPUESTO 2024'!F5</f>
        <v>2225370</v>
      </c>
      <c r="G13" s="136">
        <f>+'[3]FORMULACION PRESUPUESTO 2024'!G5</f>
        <v>0</v>
      </c>
      <c r="H13" s="136">
        <f>+'[3]FORMULACION PRESUPUESTO 2024'!H5</f>
        <v>0</v>
      </c>
      <c r="I13" s="136">
        <f>+'[3]FORMULACION PRESUPUESTO 2024'!I5</f>
        <v>0</v>
      </c>
      <c r="J13" s="136">
        <f>+'[3]FORMULACION PRESUPUESTO 2024'!J5</f>
        <v>2761270</v>
      </c>
      <c r="K13" s="136">
        <f>+'[3]FORMULACION PRESUPUESTO 2024'!K5</f>
        <v>0</v>
      </c>
      <c r="L13" s="136">
        <f>+'[3]FORMULACION PRESUPUESTO 2024'!L5</f>
        <v>0</v>
      </c>
      <c r="M13" s="136">
        <f>+'[3]FORMULACION PRESUPUESTO 2024'!M5</f>
        <v>18477058</v>
      </c>
      <c r="N13" s="136">
        <f>+'[3]FORMULACION PRESUPUESTO 2024'!N5</f>
        <v>6309311</v>
      </c>
      <c r="O13" s="136">
        <f>+'[3]FORMULACION PRESUPUESTO 2024'!O5</f>
        <v>3030341</v>
      </c>
      <c r="P13" s="136">
        <f>+'[3]FORMULACION PRESUPUESTO 2024'!P5</f>
        <v>4368318</v>
      </c>
      <c r="Q13" s="136">
        <f>+'[3]FORMULACION PRESUPUESTO 2024'!Q5</f>
        <v>0</v>
      </c>
      <c r="R13" s="136">
        <f>+'[3]FORMULACION PRESUPUESTO 2024'!R5</f>
        <v>5308972</v>
      </c>
      <c r="S13" s="136">
        <f>+'[3]FORMULACION PRESUPUESTO 2024'!S5</f>
        <v>0</v>
      </c>
      <c r="T13" s="136">
        <f>+'[3]FORMULACION PRESUPUESTO 2024'!T5</f>
        <v>0</v>
      </c>
      <c r="U13" s="136">
        <f>+'[3]FORMULACION PRESUPUESTO 2024'!U5</f>
        <v>0</v>
      </c>
      <c r="V13" s="136">
        <f>+'[3]FORMULACION PRESUPUESTO 2024'!V5</f>
        <v>0</v>
      </c>
      <c r="W13" s="136">
        <f>+'[3]FORMULACION PRESUPUESTO 2024'!W5</f>
        <v>0</v>
      </c>
      <c r="X13" s="136">
        <f>+'[3]FORMULACION PRESUPUESTO 2024'!X5</f>
        <v>3986991</v>
      </c>
      <c r="Y13" s="136">
        <f>SUM(Z13:AD13)</f>
        <v>13866359</v>
      </c>
      <c r="Z13" s="136">
        <f>+'[3]FORMULACION PRESUPUESTO 2024'!Z5</f>
        <v>0</v>
      </c>
      <c r="AA13" s="136">
        <f>+'[3]FORMULACION PRESUPUESTO 2024'!AA5</f>
        <v>0</v>
      </c>
      <c r="AB13" s="136">
        <f>+'[3]FORMULACION PRESUPUESTO 2024'!AB5</f>
        <v>6393800</v>
      </c>
      <c r="AC13" s="136">
        <f>+'[3]FORMULACION PRESUPUESTO 2024'!AC5</f>
        <v>5435677</v>
      </c>
      <c r="AD13" s="136">
        <f>+'[3]FORMULACION PRESUPUESTO 2024'!AD5</f>
        <v>2036882</v>
      </c>
      <c r="AE13" s="136">
        <f>SUM(AF13:AI13)</f>
        <v>27241223</v>
      </c>
      <c r="AF13" s="136">
        <f>+'[3]FORMULACION PRESUPUESTO 2024'!AF5</f>
        <v>0</v>
      </c>
      <c r="AG13" s="136">
        <f>+'[3]FORMULACION PRESUPUESTO 2024'!AG5</f>
        <v>21437663</v>
      </c>
      <c r="AH13" s="136">
        <f>+'[3]FORMULACION PRESUPUESTO 2024'!AH5</f>
        <v>0</v>
      </c>
      <c r="AI13" s="136">
        <f>+'[3]FORMULACION PRESUPUESTO 2024'!AI5</f>
        <v>5803560</v>
      </c>
      <c r="AJ13" s="137">
        <f>SUM(AK13+AL13)</f>
        <v>23905717</v>
      </c>
      <c r="AK13" s="136">
        <f>+'[3]FORMULACION PRESUPUESTO 2024'!AK5</f>
        <v>23905717</v>
      </c>
      <c r="AL13" s="136">
        <f>SUM(AM13:AO13)</f>
        <v>0</v>
      </c>
      <c r="AM13" s="135">
        <f>+'[3]FORMULACION PRESUPUESTO 2024'!AM5</f>
        <v>0</v>
      </c>
      <c r="AN13" s="136">
        <f>+'[3]FORMULACION PRESUPUESTO 2024'!AN5</f>
        <v>0</v>
      </c>
      <c r="AO13" s="136">
        <f>+'[3]FORMULACION PRESUPUESTO 2024'!AO5</f>
        <v>0</v>
      </c>
    </row>
    <row r="14" spans="1:41" s="138" customFormat="1" x14ac:dyDescent="0.25">
      <c r="A14" s="133"/>
      <c r="B14" s="134"/>
      <c r="C14" s="135"/>
      <c r="D14" s="136"/>
      <c r="E14" s="135"/>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7"/>
      <c r="AK14" s="136"/>
      <c r="AL14" s="136"/>
      <c r="AM14" s="135"/>
      <c r="AN14" s="136"/>
      <c r="AO14" s="136"/>
    </row>
    <row r="15" spans="1:41" s="138" customFormat="1" x14ac:dyDescent="0.25">
      <c r="A15" s="131" t="s">
        <v>47</v>
      </c>
      <c r="B15" s="139" t="s">
        <v>48</v>
      </c>
      <c r="C15" s="140">
        <f>SUM(C16:C18)</f>
        <v>73914234</v>
      </c>
      <c r="D15" s="141">
        <f t="shared" ref="D15:AO15" si="3">SUM(D16:D18)</f>
        <v>43961786</v>
      </c>
      <c r="E15" s="140">
        <f t="shared" si="3"/>
        <v>31997209</v>
      </c>
      <c r="F15" s="141">
        <f t="shared" si="3"/>
        <v>0</v>
      </c>
      <c r="G15" s="141">
        <f t="shared" si="3"/>
        <v>0</v>
      </c>
      <c r="H15" s="141">
        <f t="shared" si="3"/>
        <v>0</v>
      </c>
      <c r="I15" s="141">
        <f t="shared" si="3"/>
        <v>813990</v>
      </c>
      <c r="J15" s="141">
        <f t="shared" si="3"/>
        <v>0</v>
      </c>
      <c r="K15" s="141">
        <f t="shared" si="3"/>
        <v>0</v>
      </c>
      <c r="L15" s="141">
        <f t="shared" si="3"/>
        <v>0</v>
      </c>
      <c r="M15" s="141">
        <f t="shared" si="3"/>
        <v>0</v>
      </c>
      <c r="N15" s="141">
        <f t="shared" si="3"/>
        <v>0</v>
      </c>
      <c r="O15" s="141">
        <f t="shared" si="3"/>
        <v>6948487</v>
      </c>
      <c r="P15" s="141">
        <f t="shared" si="3"/>
        <v>162502</v>
      </c>
      <c r="Q15" s="141">
        <f t="shared" si="3"/>
        <v>0</v>
      </c>
      <c r="R15" s="141">
        <f t="shared" si="3"/>
        <v>3836846</v>
      </c>
      <c r="S15" s="141">
        <f t="shared" si="3"/>
        <v>202752</v>
      </c>
      <c r="T15" s="141">
        <f t="shared" si="3"/>
        <v>0</v>
      </c>
      <c r="U15" s="141">
        <f t="shared" si="3"/>
        <v>0</v>
      </c>
      <c r="V15" s="141">
        <f t="shared" si="3"/>
        <v>0</v>
      </c>
      <c r="W15" s="141">
        <f t="shared" si="3"/>
        <v>0</v>
      </c>
      <c r="X15" s="141">
        <f t="shared" si="3"/>
        <v>0</v>
      </c>
      <c r="Y15" s="141">
        <f t="shared" si="3"/>
        <v>2118952</v>
      </c>
      <c r="Z15" s="141">
        <f t="shared" si="3"/>
        <v>0</v>
      </c>
      <c r="AA15" s="141">
        <f t="shared" si="3"/>
        <v>0</v>
      </c>
      <c r="AB15" s="141">
        <f t="shared" si="3"/>
        <v>2118952</v>
      </c>
      <c r="AC15" s="141">
        <f t="shared" si="3"/>
        <v>0</v>
      </c>
      <c r="AD15" s="141">
        <f t="shared" si="3"/>
        <v>0</v>
      </c>
      <c r="AE15" s="141">
        <f t="shared" si="3"/>
        <v>18653501</v>
      </c>
      <c r="AF15" s="141">
        <f t="shared" si="3"/>
        <v>0</v>
      </c>
      <c r="AG15" s="141">
        <f t="shared" si="3"/>
        <v>14831771</v>
      </c>
      <c r="AH15" s="141">
        <f t="shared" si="3"/>
        <v>0</v>
      </c>
      <c r="AI15" s="141">
        <f t="shared" si="3"/>
        <v>3821730</v>
      </c>
      <c r="AJ15" s="142">
        <f t="shared" si="3"/>
        <v>9179995</v>
      </c>
      <c r="AK15" s="141">
        <f t="shared" si="3"/>
        <v>9179995</v>
      </c>
      <c r="AL15" s="141">
        <f t="shared" si="3"/>
        <v>0</v>
      </c>
      <c r="AM15" s="140">
        <f t="shared" si="3"/>
        <v>0</v>
      </c>
      <c r="AN15" s="141">
        <f t="shared" si="3"/>
        <v>0</v>
      </c>
      <c r="AO15" s="141">
        <f t="shared" si="3"/>
        <v>0</v>
      </c>
    </row>
    <row r="16" spans="1:41" s="138" customFormat="1" x14ac:dyDescent="0.25">
      <c r="A16" s="133" t="s">
        <v>49</v>
      </c>
      <c r="B16" s="134" t="s">
        <v>50</v>
      </c>
      <c r="C16" s="135">
        <f t="shared" ref="C16:C18" si="4">D16+Y16+AE16+AJ16</f>
        <v>13965653</v>
      </c>
      <c r="D16" s="136">
        <f t="shared" ref="D16:D18" si="5">SUM(E16:X16)</f>
        <v>7924979</v>
      </c>
      <c r="E16" s="135">
        <v>0</v>
      </c>
      <c r="F16" s="136">
        <v>0</v>
      </c>
      <c r="G16" s="136">
        <v>0</v>
      </c>
      <c r="H16" s="136">
        <f>+'[3]FORMULACION PRESUPUESTO 2024'!H6</f>
        <v>0</v>
      </c>
      <c r="I16" s="136">
        <f>+'[3]FORMULACION PRESUPUESTO 2024'!I6</f>
        <v>813990</v>
      </c>
      <c r="J16" s="136">
        <f>+'[3]FORMULACION PRESUPUESTO 2024'!J6</f>
        <v>0</v>
      </c>
      <c r="K16" s="136">
        <f>+'[3]FORMULACION PRESUPUESTO 2024'!K6</f>
        <v>0</v>
      </c>
      <c r="L16" s="136">
        <f>+'[3]FORMULACION PRESUPUESTO 2024'!L6</f>
        <v>0</v>
      </c>
      <c r="M16" s="136">
        <f>+'[3]FORMULACION PRESUPUESTO 2024'!M6</f>
        <v>0</v>
      </c>
      <c r="N16" s="136">
        <f>+'[3]FORMULACION PRESUPUESTO 2024'!N6</f>
        <v>0</v>
      </c>
      <c r="O16" s="136">
        <f>+'[3]FORMULACION PRESUPUESTO 2024'!O6</f>
        <v>6948487</v>
      </c>
      <c r="P16" s="136">
        <f>+'[3]FORMULACION PRESUPUESTO 2024'!P6</f>
        <v>162502</v>
      </c>
      <c r="Q16" s="136">
        <f>+'[3]FORMULACION PRESUPUESTO 2024'!Q6</f>
        <v>0</v>
      </c>
      <c r="R16" s="136">
        <f>+'[3]FORMULACION PRESUPUESTO 2024'!R6</f>
        <v>0</v>
      </c>
      <c r="S16" s="136">
        <f>+'[3]FORMULACION PRESUPUESTO 2024'!S6</f>
        <v>0</v>
      </c>
      <c r="T16" s="136">
        <f>+'[3]FORMULACION PRESUPUESTO 2024'!T6</f>
        <v>0</v>
      </c>
      <c r="U16" s="136">
        <f>+'[3]FORMULACION PRESUPUESTO 2024'!U6</f>
        <v>0</v>
      </c>
      <c r="V16" s="136">
        <f>+'[3]FORMULACION PRESUPUESTO 2024'!V6</f>
        <v>0</v>
      </c>
      <c r="W16" s="136">
        <f>+'[3]FORMULACION PRESUPUESTO 2024'!W6</f>
        <v>0</v>
      </c>
      <c r="X16" s="136">
        <f>+'[3]FORMULACION PRESUPUESTO 2024'!X6</f>
        <v>0</v>
      </c>
      <c r="Y16" s="136">
        <f>+'[3]FORMULACION PRESUPUESTO 2024'!Y6</f>
        <v>2118952</v>
      </c>
      <c r="Z16" s="136">
        <f>+'[3]FORMULACION PRESUPUESTO 2024'!Z6</f>
        <v>0</v>
      </c>
      <c r="AA16" s="136">
        <f>+'[3]FORMULACION PRESUPUESTO 2024'!AA6</f>
        <v>0</v>
      </c>
      <c r="AB16" s="136">
        <f>+'[3]FORMULACION PRESUPUESTO 2024'!AB6</f>
        <v>2118952</v>
      </c>
      <c r="AC16" s="136">
        <f>+'[3]FORMULACION PRESUPUESTO 2024'!AC6</f>
        <v>0</v>
      </c>
      <c r="AD16" s="136">
        <f>+'[3]FORMULACION PRESUPUESTO 2024'!AD6</f>
        <v>0</v>
      </c>
      <c r="AE16" s="136">
        <f t="shared" ref="AE16:AE18" si="6">SUM(AF16:AI16)</f>
        <v>280492</v>
      </c>
      <c r="AF16" s="136">
        <f>+'[3]FORMULACION PRESUPUESTO 2024'!AF6</f>
        <v>0</v>
      </c>
      <c r="AG16" s="136">
        <f>+'[3]FORMULACION PRESUPUESTO 2024'!AG6</f>
        <v>0</v>
      </c>
      <c r="AH16" s="136">
        <f>+'[3]FORMULACION PRESUPUESTO 2024'!AH6</f>
        <v>0</v>
      </c>
      <c r="AI16" s="136">
        <f>+'[3]FORMULACION PRESUPUESTO 2024'!AI6</f>
        <v>280492</v>
      </c>
      <c r="AJ16" s="137">
        <f t="shared" ref="AJ16:AJ18" si="7">SUM(AK16+AL16)</f>
        <v>3641230</v>
      </c>
      <c r="AK16" s="136">
        <f>+'[3]FORMULACION PRESUPUESTO 2024'!AK6</f>
        <v>3641230</v>
      </c>
      <c r="AL16" s="136">
        <f t="shared" ref="AL16:AL17" si="8">SUM(AM16:AO16)</f>
        <v>0</v>
      </c>
      <c r="AM16" s="135">
        <f>+'[3]FORMULACION PRESUPUESTO 2024'!AM6</f>
        <v>0</v>
      </c>
      <c r="AN16" s="136">
        <f>+'[3]FORMULACION PRESUPUESTO 2024'!AN6</f>
        <v>0</v>
      </c>
      <c r="AO16" s="136">
        <f>+'[3]FORMULACION PRESUPUESTO 2024'!AO6</f>
        <v>0</v>
      </c>
    </row>
    <row r="17" spans="1:41" s="138" customFormat="1" x14ac:dyDescent="0.25">
      <c r="A17" s="133" t="s">
        <v>51</v>
      </c>
      <c r="B17" s="134" t="s">
        <v>52</v>
      </c>
      <c r="C17" s="135">
        <f t="shared" si="4"/>
        <v>27951372</v>
      </c>
      <c r="D17" s="136">
        <f t="shared" si="5"/>
        <v>4039598</v>
      </c>
      <c r="E17" s="135">
        <v>0</v>
      </c>
      <c r="F17" s="136">
        <v>0</v>
      </c>
      <c r="G17" s="136">
        <v>0</v>
      </c>
      <c r="H17" s="136">
        <f>+'[3]FORMULACION PRESUPUESTO 2024'!H7</f>
        <v>0</v>
      </c>
      <c r="I17" s="136">
        <f>+'[3]FORMULACION PRESUPUESTO 2024'!I7</f>
        <v>0</v>
      </c>
      <c r="J17" s="136">
        <f>+'[3]FORMULACION PRESUPUESTO 2024'!J7</f>
        <v>0</v>
      </c>
      <c r="K17" s="136">
        <f>+'[3]FORMULACION PRESUPUESTO 2024'!K7</f>
        <v>0</v>
      </c>
      <c r="L17" s="136">
        <f>+'[3]FORMULACION PRESUPUESTO 2024'!L7</f>
        <v>0</v>
      </c>
      <c r="M17" s="136">
        <f>+'[3]FORMULACION PRESUPUESTO 2024'!M7</f>
        <v>0</v>
      </c>
      <c r="N17" s="136">
        <f>+'[3]FORMULACION PRESUPUESTO 2024'!N7</f>
        <v>0</v>
      </c>
      <c r="O17" s="136">
        <f>+'[3]FORMULACION PRESUPUESTO 2024'!O7</f>
        <v>0</v>
      </c>
      <c r="P17" s="136">
        <f>+'[3]FORMULACION PRESUPUESTO 2024'!P7</f>
        <v>0</v>
      </c>
      <c r="Q17" s="136">
        <f>+'[3]FORMULACION PRESUPUESTO 2024'!Q7</f>
        <v>0</v>
      </c>
      <c r="R17" s="136">
        <f>+'[3]FORMULACION PRESUPUESTO 2024'!R7</f>
        <v>3836846</v>
      </c>
      <c r="S17" s="136">
        <f>+'[3]FORMULACION PRESUPUESTO 2024'!S7</f>
        <v>202752</v>
      </c>
      <c r="T17" s="136">
        <f>+'[3]FORMULACION PRESUPUESTO 2024'!T7</f>
        <v>0</v>
      </c>
      <c r="U17" s="136">
        <f>+'[3]FORMULACION PRESUPUESTO 2024'!U7</f>
        <v>0</v>
      </c>
      <c r="V17" s="136">
        <f>+'[3]FORMULACION PRESUPUESTO 2024'!V7</f>
        <v>0</v>
      </c>
      <c r="W17" s="136">
        <f>+'[3]FORMULACION PRESUPUESTO 2024'!W7</f>
        <v>0</v>
      </c>
      <c r="X17" s="136">
        <f>+'[3]FORMULACION PRESUPUESTO 2024'!X7</f>
        <v>0</v>
      </c>
      <c r="Y17" s="136">
        <f>+'[3]FORMULACION PRESUPUESTO 2024'!Y7</f>
        <v>0</v>
      </c>
      <c r="Z17" s="136">
        <f>+'[3]FORMULACION PRESUPUESTO 2024'!Z7</f>
        <v>0</v>
      </c>
      <c r="AA17" s="136">
        <f>+'[3]FORMULACION PRESUPUESTO 2024'!AA7</f>
        <v>0</v>
      </c>
      <c r="AB17" s="136">
        <f>+'[3]FORMULACION PRESUPUESTO 2024'!AB7</f>
        <v>0</v>
      </c>
      <c r="AC17" s="136">
        <f>+'[3]FORMULACION PRESUPUESTO 2024'!AC7</f>
        <v>0</v>
      </c>
      <c r="AD17" s="136">
        <f>+'[3]FORMULACION PRESUPUESTO 2024'!AD7</f>
        <v>0</v>
      </c>
      <c r="AE17" s="136">
        <f t="shared" si="6"/>
        <v>18373009</v>
      </c>
      <c r="AF17" s="136">
        <f>+'[3]FORMULACION PRESUPUESTO 2024'!AF7</f>
        <v>0</v>
      </c>
      <c r="AG17" s="136">
        <f>+'[3]FORMULACION PRESUPUESTO 2024'!AG7</f>
        <v>14831771</v>
      </c>
      <c r="AH17" s="136">
        <f>+'[3]FORMULACION PRESUPUESTO 2024'!AH7</f>
        <v>0</v>
      </c>
      <c r="AI17" s="136">
        <f>+'[3]FORMULACION PRESUPUESTO 2024'!AI7</f>
        <v>3541238</v>
      </c>
      <c r="AJ17" s="137">
        <f t="shared" si="7"/>
        <v>5538765</v>
      </c>
      <c r="AK17" s="136">
        <f>+'[3]FORMULACION PRESUPUESTO 2024'!AK7</f>
        <v>5538765</v>
      </c>
      <c r="AL17" s="136">
        <f t="shared" si="8"/>
        <v>0</v>
      </c>
      <c r="AM17" s="135">
        <f>+'[3]FORMULACION PRESUPUESTO 2024'!AM7</f>
        <v>0</v>
      </c>
      <c r="AN17" s="136">
        <f>+'[3]FORMULACION PRESUPUESTO 2024'!AN7</f>
        <v>0</v>
      </c>
      <c r="AO17" s="136">
        <f>+'[3]FORMULACION PRESUPUESTO 2024'!AO7</f>
        <v>0</v>
      </c>
    </row>
    <row r="18" spans="1:41" s="138" customFormat="1" x14ac:dyDescent="0.25">
      <c r="A18" s="133" t="s">
        <v>53</v>
      </c>
      <c r="B18" s="134" t="s">
        <v>54</v>
      </c>
      <c r="C18" s="135">
        <f t="shared" si="4"/>
        <v>31997209</v>
      </c>
      <c r="D18" s="136">
        <f t="shared" si="5"/>
        <v>31997209</v>
      </c>
      <c r="E18" s="135">
        <v>31997209</v>
      </c>
      <c r="F18" s="136">
        <v>0</v>
      </c>
      <c r="G18" s="136">
        <v>0</v>
      </c>
      <c r="H18" s="136">
        <f>+'[3]FORMULACION PRESUPUESTO 2024'!H8</f>
        <v>0</v>
      </c>
      <c r="I18" s="136">
        <f>+'[3]FORMULACION PRESUPUESTO 2024'!I8</f>
        <v>0</v>
      </c>
      <c r="J18" s="136">
        <f>+'[3]FORMULACION PRESUPUESTO 2024'!J8</f>
        <v>0</v>
      </c>
      <c r="K18" s="136">
        <f>+'[3]FORMULACION PRESUPUESTO 2024'!K8</f>
        <v>0</v>
      </c>
      <c r="L18" s="136">
        <f>+'[3]FORMULACION PRESUPUESTO 2024'!L8</f>
        <v>0</v>
      </c>
      <c r="M18" s="136">
        <f>+'[3]FORMULACION PRESUPUESTO 2024'!M8</f>
        <v>0</v>
      </c>
      <c r="N18" s="136">
        <f>+'[3]FORMULACION PRESUPUESTO 2024'!N8</f>
        <v>0</v>
      </c>
      <c r="O18" s="136">
        <f>+'[3]FORMULACION PRESUPUESTO 2024'!O8</f>
        <v>0</v>
      </c>
      <c r="P18" s="136">
        <f>+'[3]FORMULACION PRESUPUESTO 2024'!P8</f>
        <v>0</v>
      </c>
      <c r="Q18" s="136">
        <f>+'[3]FORMULACION PRESUPUESTO 2024'!Q8</f>
        <v>0</v>
      </c>
      <c r="R18" s="136">
        <f>+'[3]FORMULACION PRESUPUESTO 2024'!R8</f>
        <v>0</v>
      </c>
      <c r="S18" s="136">
        <f>+'[3]FORMULACION PRESUPUESTO 2024'!S8</f>
        <v>0</v>
      </c>
      <c r="T18" s="136">
        <f>+'[3]FORMULACION PRESUPUESTO 2024'!T8</f>
        <v>0</v>
      </c>
      <c r="U18" s="136">
        <f>+'[3]FORMULACION PRESUPUESTO 2024'!U8</f>
        <v>0</v>
      </c>
      <c r="V18" s="136">
        <f>+'[3]FORMULACION PRESUPUESTO 2024'!V8</f>
        <v>0</v>
      </c>
      <c r="W18" s="136">
        <f>+'[3]FORMULACION PRESUPUESTO 2024'!W8</f>
        <v>0</v>
      </c>
      <c r="X18" s="136">
        <f>+'[3]FORMULACION PRESUPUESTO 2024'!X8</f>
        <v>0</v>
      </c>
      <c r="Y18" s="136">
        <f>+'[3]FORMULACION PRESUPUESTO 2024'!Y8</f>
        <v>0</v>
      </c>
      <c r="Z18" s="136">
        <f>+'[3]FORMULACION PRESUPUESTO 2024'!Z8</f>
        <v>0</v>
      </c>
      <c r="AA18" s="136">
        <f>+'[3]FORMULACION PRESUPUESTO 2024'!AA8</f>
        <v>0</v>
      </c>
      <c r="AB18" s="136">
        <f>+'[3]FORMULACION PRESUPUESTO 2024'!AB8</f>
        <v>0</v>
      </c>
      <c r="AC18" s="136">
        <f>+'[3]FORMULACION PRESUPUESTO 2024'!AC8</f>
        <v>0</v>
      </c>
      <c r="AD18" s="136">
        <f>+'[3]FORMULACION PRESUPUESTO 2024'!AD8</f>
        <v>0</v>
      </c>
      <c r="AE18" s="136">
        <f t="shared" si="6"/>
        <v>0</v>
      </c>
      <c r="AF18" s="136">
        <f>+'[3]FORMULACION PRESUPUESTO 2024'!AF8</f>
        <v>0</v>
      </c>
      <c r="AG18" s="136">
        <f>+'[3]FORMULACION PRESUPUESTO 2024'!AG8</f>
        <v>0</v>
      </c>
      <c r="AH18" s="136">
        <f>+'[3]FORMULACION PRESUPUESTO 2024'!AH8</f>
        <v>0</v>
      </c>
      <c r="AI18" s="136">
        <f>+'[3]FORMULACION PRESUPUESTO 2024'!AI8</f>
        <v>0</v>
      </c>
      <c r="AJ18" s="137">
        <f t="shared" si="7"/>
        <v>0</v>
      </c>
      <c r="AK18" s="136">
        <f>+'[3]FORMULACION PRESUPUESTO 2024'!AK8</f>
        <v>0</v>
      </c>
      <c r="AL18" s="136"/>
      <c r="AM18" s="135">
        <f>+'[3]FORMULACION PRESUPUESTO 2024'!AM8</f>
        <v>0</v>
      </c>
      <c r="AN18" s="136">
        <f>+'[3]FORMULACION PRESUPUESTO 2024'!AN8</f>
        <v>0</v>
      </c>
      <c r="AO18" s="136">
        <f>+'[3]FORMULACION PRESUPUESTO 2024'!AO8</f>
        <v>0</v>
      </c>
    </row>
    <row r="19" spans="1:41" s="138" customFormat="1" x14ac:dyDescent="0.25">
      <c r="A19" s="143"/>
      <c r="B19" s="144"/>
      <c r="C19" s="135"/>
      <c r="D19" s="136"/>
      <c r="E19" s="135"/>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7"/>
      <c r="AK19" s="136"/>
      <c r="AL19" s="136"/>
      <c r="AM19" s="135"/>
      <c r="AN19" s="136"/>
      <c r="AO19" s="136"/>
    </row>
    <row r="20" spans="1:41" s="138" customFormat="1" x14ac:dyDescent="0.25">
      <c r="A20" s="145" t="s">
        <v>55</v>
      </c>
      <c r="B20" s="132" t="s">
        <v>56</v>
      </c>
      <c r="C20" s="140">
        <f>C21+C25+C29+C30+C32</f>
        <v>1536480686</v>
      </c>
      <c r="D20" s="141">
        <f t="shared" ref="D20:AO20" si="9">D21+D25+D29+D30+D32</f>
        <v>606726008</v>
      </c>
      <c r="E20" s="140">
        <f t="shared" si="9"/>
        <v>0</v>
      </c>
      <c r="F20" s="141">
        <f t="shared" si="9"/>
        <v>70579410</v>
      </c>
      <c r="G20" s="141">
        <f t="shared" si="9"/>
        <v>42269052</v>
      </c>
      <c r="H20" s="141">
        <f t="shared" si="9"/>
        <v>23803132</v>
      </c>
      <c r="I20" s="141">
        <f t="shared" si="9"/>
        <v>62725840</v>
      </c>
      <c r="J20" s="141">
        <f t="shared" si="9"/>
        <v>7012615</v>
      </c>
      <c r="K20" s="141">
        <f t="shared" si="9"/>
        <v>6836403</v>
      </c>
      <c r="L20" s="141">
        <f t="shared" si="9"/>
        <v>47823436</v>
      </c>
      <c r="M20" s="141">
        <f t="shared" si="9"/>
        <v>82365624</v>
      </c>
      <c r="N20" s="141">
        <f t="shared" si="9"/>
        <v>16813018</v>
      </c>
      <c r="O20" s="141">
        <f t="shared" si="9"/>
        <v>44359724</v>
      </c>
      <c r="P20" s="141">
        <f t="shared" si="9"/>
        <v>30385161</v>
      </c>
      <c r="Q20" s="141">
        <f t="shared" si="9"/>
        <v>11036727</v>
      </c>
      <c r="R20" s="141">
        <f t="shared" si="9"/>
        <v>38726763</v>
      </c>
      <c r="S20" s="141">
        <f t="shared" si="9"/>
        <v>5876676</v>
      </c>
      <c r="T20" s="141">
        <f t="shared" si="9"/>
        <v>18508038</v>
      </c>
      <c r="U20" s="141">
        <f t="shared" si="9"/>
        <v>11593045</v>
      </c>
      <c r="V20" s="141">
        <f t="shared" si="9"/>
        <v>32898510</v>
      </c>
      <c r="W20" s="141">
        <f t="shared" si="9"/>
        <v>7877608</v>
      </c>
      <c r="X20" s="141">
        <f t="shared" si="9"/>
        <v>45235226</v>
      </c>
      <c r="Y20" s="141">
        <f t="shared" si="9"/>
        <v>287701990</v>
      </c>
      <c r="Z20" s="141">
        <f t="shared" si="9"/>
        <v>51897985</v>
      </c>
      <c r="AA20" s="141">
        <f t="shared" si="9"/>
        <v>33109738</v>
      </c>
      <c r="AB20" s="141">
        <f t="shared" si="9"/>
        <v>81299161</v>
      </c>
      <c r="AC20" s="141">
        <f t="shared" si="9"/>
        <v>91885442</v>
      </c>
      <c r="AD20" s="141">
        <f t="shared" si="9"/>
        <v>29509664</v>
      </c>
      <c r="AE20" s="141">
        <f t="shared" si="9"/>
        <v>300977416</v>
      </c>
      <c r="AF20" s="141">
        <f t="shared" si="9"/>
        <v>19700022</v>
      </c>
      <c r="AG20" s="141">
        <f t="shared" si="9"/>
        <v>150412575</v>
      </c>
      <c r="AH20" s="141">
        <f t="shared" si="9"/>
        <v>63252828</v>
      </c>
      <c r="AI20" s="141">
        <f t="shared" si="9"/>
        <v>67611991</v>
      </c>
      <c r="AJ20" s="142">
        <f t="shared" si="9"/>
        <v>341075272</v>
      </c>
      <c r="AK20" s="141">
        <f t="shared" si="9"/>
        <v>334769192</v>
      </c>
      <c r="AL20" s="141">
        <f t="shared" si="9"/>
        <v>6306080</v>
      </c>
      <c r="AM20" s="140">
        <f t="shared" si="9"/>
        <v>1562731</v>
      </c>
      <c r="AN20" s="141">
        <f t="shared" si="9"/>
        <v>1668520</v>
      </c>
      <c r="AO20" s="141">
        <f t="shared" si="9"/>
        <v>3074829</v>
      </c>
    </row>
    <row r="21" spans="1:41" s="138" customFormat="1" x14ac:dyDescent="0.25">
      <c r="A21" s="146" t="s">
        <v>57</v>
      </c>
      <c r="B21" s="139" t="s">
        <v>58</v>
      </c>
      <c r="C21" s="140">
        <f>SUM(C22:C23)</f>
        <v>433320293</v>
      </c>
      <c r="D21" s="141">
        <f t="shared" ref="D21:AO21" si="10">SUM(D22:D23)</f>
        <v>174096991</v>
      </c>
      <c r="E21" s="140">
        <f t="shared" si="10"/>
        <v>0</v>
      </c>
      <c r="F21" s="141">
        <f t="shared" si="10"/>
        <v>16002684</v>
      </c>
      <c r="G21" s="141">
        <f t="shared" si="10"/>
        <v>10926048</v>
      </c>
      <c r="H21" s="141">
        <f t="shared" si="10"/>
        <v>5578371</v>
      </c>
      <c r="I21" s="141">
        <f t="shared" si="10"/>
        <v>20785608</v>
      </c>
      <c r="J21" s="141">
        <f t="shared" si="10"/>
        <v>2013930</v>
      </c>
      <c r="K21" s="141">
        <f t="shared" si="10"/>
        <v>1773819</v>
      </c>
      <c r="L21" s="141">
        <f t="shared" si="10"/>
        <v>9654768</v>
      </c>
      <c r="M21" s="141">
        <f t="shared" si="10"/>
        <v>24575080</v>
      </c>
      <c r="N21" s="141">
        <f t="shared" si="10"/>
        <v>4247127</v>
      </c>
      <c r="O21" s="141">
        <f t="shared" si="10"/>
        <v>22121982</v>
      </c>
      <c r="P21" s="141">
        <f t="shared" si="10"/>
        <v>8159742</v>
      </c>
      <c r="Q21" s="141">
        <f t="shared" si="10"/>
        <v>2423169</v>
      </c>
      <c r="R21" s="141">
        <f t="shared" si="10"/>
        <v>10640826</v>
      </c>
      <c r="S21" s="141">
        <f t="shared" si="10"/>
        <v>2286306</v>
      </c>
      <c r="T21" s="141">
        <f t="shared" si="10"/>
        <v>8101008</v>
      </c>
      <c r="U21" s="141">
        <f t="shared" si="10"/>
        <v>3821427</v>
      </c>
      <c r="V21" s="141">
        <f t="shared" si="10"/>
        <v>9197442</v>
      </c>
      <c r="W21" s="141">
        <f t="shared" si="10"/>
        <v>1547946</v>
      </c>
      <c r="X21" s="141">
        <f t="shared" si="10"/>
        <v>10239708</v>
      </c>
      <c r="Y21" s="141">
        <f t="shared" si="10"/>
        <v>67808757</v>
      </c>
      <c r="Z21" s="141">
        <f t="shared" si="10"/>
        <v>15706008</v>
      </c>
      <c r="AA21" s="141">
        <f t="shared" si="10"/>
        <v>7854840</v>
      </c>
      <c r="AB21" s="141">
        <f t="shared" si="10"/>
        <v>10866396</v>
      </c>
      <c r="AC21" s="141">
        <f t="shared" si="10"/>
        <v>29562000</v>
      </c>
      <c r="AD21" s="141">
        <f t="shared" si="10"/>
        <v>3819513</v>
      </c>
      <c r="AE21" s="141">
        <f t="shared" si="10"/>
        <v>83704524</v>
      </c>
      <c r="AF21" s="141">
        <f t="shared" si="10"/>
        <v>4981740</v>
      </c>
      <c r="AG21" s="141">
        <f t="shared" si="10"/>
        <v>41535444</v>
      </c>
      <c r="AH21" s="141">
        <f t="shared" si="10"/>
        <v>20245200</v>
      </c>
      <c r="AI21" s="141">
        <f t="shared" si="10"/>
        <v>16942140</v>
      </c>
      <c r="AJ21" s="142">
        <f t="shared" si="10"/>
        <v>107710021</v>
      </c>
      <c r="AK21" s="141">
        <f t="shared" si="10"/>
        <v>105715077</v>
      </c>
      <c r="AL21" s="141">
        <f t="shared" si="10"/>
        <v>1994944</v>
      </c>
      <c r="AM21" s="140">
        <f t="shared" si="10"/>
        <v>524446</v>
      </c>
      <c r="AN21" s="141">
        <f t="shared" si="10"/>
        <v>682547</v>
      </c>
      <c r="AO21" s="141">
        <f t="shared" si="10"/>
        <v>787951</v>
      </c>
    </row>
    <row r="22" spans="1:41" s="138" customFormat="1" x14ac:dyDescent="0.25">
      <c r="A22" s="133" t="s">
        <v>59</v>
      </c>
      <c r="B22" s="134" t="s">
        <v>60</v>
      </c>
      <c r="C22" s="135">
        <f t="shared" ref="C22:C23" si="11">D22+Y22+AE22+AJ22</f>
        <v>401218157</v>
      </c>
      <c r="D22" s="136">
        <f t="shared" ref="D22:D23" si="12">SUM(E22:X22)</f>
        <v>168350671</v>
      </c>
      <c r="E22" s="135">
        <v>0</v>
      </c>
      <c r="F22" s="136">
        <f>+'[3]FORMULACION PRESUPUESTO 2024'!F9</f>
        <v>16002684</v>
      </c>
      <c r="G22" s="136">
        <f>+'[3]FORMULACION PRESUPUESTO 2024'!G9</f>
        <v>10926048</v>
      </c>
      <c r="H22" s="136">
        <f>+'[3]FORMULACION PRESUPUESTO 2024'!H9</f>
        <v>5578371</v>
      </c>
      <c r="I22" s="136">
        <f>+'[3]FORMULACION PRESUPUESTO 2024'!I9</f>
        <v>15039288</v>
      </c>
      <c r="J22" s="136">
        <f>+'[3]FORMULACION PRESUPUESTO 2024'!J9</f>
        <v>2013930</v>
      </c>
      <c r="K22" s="136">
        <f>+'[3]FORMULACION PRESUPUESTO 2024'!K9</f>
        <v>1773819</v>
      </c>
      <c r="L22" s="136">
        <f>+'[3]FORMULACION PRESUPUESTO 2024'!L9</f>
        <v>9654768</v>
      </c>
      <c r="M22" s="136">
        <f>+'[3]FORMULACION PRESUPUESTO 2024'!M9</f>
        <v>24575080</v>
      </c>
      <c r="N22" s="136">
        <f>+'[3]FORMULACION PRESUPUESTO 2024'!N9</f>
        <v>4247127</v>
      </c>
      <c r="O22" s="136">
        <f>+'[3]FORMULACION PRESUPUESTO 2024'!O9</f>
        <v>22121982</v>
      </c>
      <c r="P22" s="136">
        <f>+'[3]FORMULACION PRESUPUESTO 2024'!P9</f>
        <v>8159742</v>
      </c>
      <c r="Q22" s="136">
        <f>+'[3]FORMULACION PRESUPUESTO 2024'!Q9</f>
        <v>2423169</v>
      </c>
      <c r="R22" s="136">
        <f>+'[3]FORMULACION PRESUPUESTO 2024'!R9</f>
        <v>10640826</v>
      </c>
      <c r="S22" s="136">
        <f>+'[3]FORMULACION PRESUPUESTO 2024'!S9</f>
        <v>2286306</v>
      </c>
      <c r="T22" s="136">
        <f>+'[3]FORMULACION PRESUPUESTO 2024'!T9</f>
        <v>8101008</v>
      </c>
      <c r="U22" s="136">
        <f>+'[3]FORMULACION PRESUPUESTO 2024'!U9</f>
        <v>3821427</v>
      </c>
      <c r="V22" s="136">
        <f>+'[3]FORMULACION PRESUPUESTO 2024'!V9</f>
        <v>9197442</v>
      </c>
      <c r="W22" s="136">
        <f>+'[3]FORMULACION PRESUPUESTO 2024'!W9</f>
        <v>1547946</v>
      </c>
      <c r="X22" s="136">
        <f>+'[3]FORMULACION PRESUPUESTO 2024'!X9</f>
        <v>10239708</v>
      </c>
      <c r="Y22" s="136">
        <f t="shared" ref="Y22:Y23" si="13">SUM(Z22:AD22)</f>
        <v>58490877</v>
      </c>
      <c r="Z22" s="136">
        <f>+'[3]FORMULACION PRESUPUESTO 2024'!Z9</f>
        <v>15706008</v>
      </c>
      <c r="AA22" s="136">
        <f>+'[3]FORMULACION PRESUPUESTO 2024'!AA9</f>
        <v>7854840</v>
      </c>
      <c r="AB22" s="136">
        <f>+'[3]FORMULACION PRESUPUESTO 2024'!AB9</f>
        <v>10866396</v>
      </c>
      <c r="AC22" s="136">
        <f>+'[3]FORMULACION PRESUPUESTO 2024'!AC9</f>
        <v>20244120</v>
      </c>
      <c r="AD22" s="136">
        <f>+'[3]FORMULACION PRESUPUESTO 2024'!AD9</f>
        <v>3819513</v>
      </c>
      <c r="AE22" s="136">
        <f t="shared" ref="AE22:AE23" si="14">SUM(AF22:AI22)</f>
        <v>68582028</v>
      </c>
      <c r="AF22" s="136">
        <f>+'[3]FORMULACION PRESUPUESTO 2024'!AF9</f>
        <v>4981740</v>
      </c>
      <c r="AG22" s="136">
        <f>+'[3]FORMULACION PRESUPUESTO 2024'!AG9</f>
        <v>26412948</v>
      </c>
      <c r="AH22" s="136">
        <f>+'[3]FORMULACION PRESUPUESTO 2024'!AH9</f>
        <v>20245200</v>
      </c>
      <c r="AI22" s="136">
        <f>+'[3]FORMULACION PRESUPUESTO 2024'!AI9</f>
        <v>16942140</v>
      </c>
      <c r="AJ22" s="137">
        <f t="shared" ref="AJ22:AJ23" si="15">SUM(AK22+AL22)</f>
        <v>105794581</v>
      </c>
      <c r="AK22" s="136">
        <f>+'[3]FORMULACION PRESUPUESTO 2024'!AK9</f>
        <v>103799637</v>
      </c>
      <c r="AL22" s="136">
        <f t="shared" ref="AL22:AL23" si="16">SUM(AM22:AO22)</f>
        <v>1994944</v>
      </c>
      <c r="AM22" s="135">
        <f>+'[3]FORMULACION PRESUPUESTO 2024'!AM9</f>
        <v>524446</v>
      </c>
      <c r="AN22" s="136">
        <f>+'[3]FORMULACION PRESUPUESTO 2024'!AN9</f>
        <v>682547</v>
      </c>
      <c r="AO22" s="136">
        <f>+'[3]FORMULACION PRESUPUESTO 2024'!AO9</f>
        <v>787951</v>
      </c>
    </row>
    <row r="23" spans="1:41" s="138" customFormat="1" x14ac:dyDescent="0.25">
      <c r="A23" s="133" t="s">
        <v>61</v>
      </c>
      <c r="B23" s="134" t="s">
        <v>62</v>
      </c>
      <c r="C23" s="135">
        <f t="shared" si="11"/>
        <v>32102136</v>
      </c>
      <c r="D23" s="136">
        <f t="shared" si="12"/>
        <v>5746320</v>
      </c>
      <c r="E23" s="135">
        <v>0</v>
      </c>
      <c r="F23" s="136">
        <v>0</v>
      </c>
      <c r="G23" s="136">
        <v>0</v>
      </c>
      <c r="H23" s="136">
        <v>0</v>
      </c>
      <c r="I23" s="136">
        <f>+'[3]FORMULACION PRESUPUESTO 2024'!I10</f>
        <v>5746320</v>
      </c>
      <c r="J23" s="136">
        <f>+'[3]FORMULACION PRESUPUESTO 2024'!J10</f>
        <v>0</v>
      </c>
      <c r="K23" s="136">
        <f>+'[3]FORMULACION PRESUPUESTO 2024'!K10</f>
        <v>0</v>
      </c>
      <c r="L23" s="136">
        <f>+'[3]FORMULACION PRESUPUESTO 2024'!L10</f>
        <v>0</v>
      </c>
      <c r="M23" s="136">
        <f>+'[3]FORMULACION PRESUPUESTO 2024'!M10</f>
        <v>0</v>
      </c>
      <c r="N23" s="136">
        <f>+'[3]FORMULACION PRESUPUESTO 2024'!N10</f>
        <v>0</v>
      </c>
      <c r="O23" s="136">
        <f>+'[3]FORMULACION PRESUPUESTO 2024'!O10</f>
        <v>0</v>
      </c>
      <c r="P23" s="136">
        <f>+'[3]FORMULACION PRESUPUESTO 2024'!P10</f>
        <v>0</v>
      </c>
      <c r="Q23" s="136">
        <f>+'[3]FORMULACION PRESUPUESTO 2024'!Q10</f>
        <v>0</v>
      </c>
      <c r="R23" s="136">
        <f>+'[3]FORMULACION PRESUPUESTO 2024'!R10</f>
        <v>0</v>
      </c>
      <c r="S23" s="136">
        <f>+'[3]FORMULACION PRESUPUESTO 2024'!S10</f>
        <v>0</v>
      </c>
      <c r="T23" s="136">
        <f>+'[3]FORMULACION PRESUPUESTO 2024'!T10</f>
        <v>0</v>
      </c>
      <c r="U23" s="136">
        <f>+'[3]FORMULACION PRESUPUESTO 2024'!U10</f>
        <v>0</v>
      </c>
      <c r="V23" s="136">
        <f>+'[3]FORMULACION PRESUPUESTO 2024'!V10</f>
        <v>0</v>
      </c>
      <c r="W23" s="136">
        <f>+'[3]FORMULACION PRESUPUESTO 2024'!W10</f>
        <v>0</v>
      </c>
      <c r="X23" s="136">
        <f>+'[3]FORMULACION PRESUPUESTO 2024'!X10</f>
        <v>0</v>
      </c>
      <c r="Y23" s="136">
        <f t="shared" si="13"/>
        <v>9317880</v>
      </c>
      <c r="Z23" s="136">
        <f>+'[3]FORMULACION PRESUPUESTO 2024'!Z10</f>
        <v>0</v>
      </c>
      <c r="AA23" s="136">
        <f>+'[3]FORMULACION PRESUPUESTO 2024'!AA10</f>
        <v>0</v>
      </c>
      <c r="AB23" s="136">
        <f>+'[3]FORMULACION PRESUPUESTO 2024'!AB10</f>
        <v>0</v>
      </c>
      <c r="AC23" s="136">
        <f>+'[3]FORMULACION PRESUPUESTO 2024'!AC10</f>
        <v>9317880</v>
      </c>
      <c r="AD23" s="136">
        <f>+'[3]FORMULACION PRESUPUESTO 2024'!AD10</f>
        <v>0</v>
      </c>
      <c r="AE23" s="136">
        <f t="shared" si="14"/>
        <v>15122496</v>
      </c>
      <c r="AF23" s="136">
        <f>+'[3]FORMULACION PRESUPUESTO 2024'!AF10</f>
        <v>0</v>
      </c>
      <c r="AG23" s="136">
        <f>+'[3]FORMULACION PRESUPUESTO 2024'!AG10</f>
        <v>15122496</v>
      </c>
      <c r="AH23" s="136">
        <f>+'[3]FORMULACION PRESUPUESTO 2024'!AH10</f>
        <v>0</v>
      </c>
      <c r="AI23" s="136">
        <f>+'[3]FORMULACION PRESUPUESTO 2024'!AI10</f>
        <v>0</v>
      </c>
      <c r="AJ23" s="137">
        <f t="shared" si="15"/>
        <v>1915440</v>
      </c>
      <c r="AK23" s="136">
        <f>+'[3]FORMULACION PRESUPUESTO 2024'!AK10</f>
        <v>1915440</v>
      </c>
      <c r="AL23" s="136">
        <f t="shared" si="16"/>
        <v>0</v>
      </c>
      <c r="AM23" s="135">
        <f>+'[3]FORMULACION PRESUPUESTO 2024'!AM10</f>
        <v>0</v>
      </c>
      <c r="AN23" s="136">
        <f>+'[3]FORMULACION PRESUPUESTO 2024'!AN10</f>
        <v>0</v>
      </c>
      <c r="AO23" s="136">
        <f>+'[3]FORMULACION PRESUPUESTO 2024'!AO10</f>
        <v>0</v>
      </c>
    </row>
    <row r="24" spans="1:41" s="138" customFormat="1" x14ac:dyDescent="0.25">
      <c r="A24" s="143"/>
      <c r="B24" s="144"/>
      <c r="C24" s="135"/>
      <c r="D24" s="136"/>
      <c r="E24" s="135"/>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7"/>
      <c r="AK24" s="136"/>
      <c r="AL24" s="136"/>
      <c r="AM24" s="135"/>
      <c r="AN24" s="136"/>
      <c r="AO24" s="136"/>
    </row>
    <row r="25" spans="1:41" s="138" customFormat="1" x14ac:dyDescent="0.25">
      <c r="A25" s="146" t="s">
        <v>63</v>
      </c>
      <c r="B25" s="139" t="s">
        <v>64</v>
      </c>
      <c r="C25" s="140">
        <f>SUM(C26:C27)</f>
        <v>539618533</v>
      </c>
      <c r="D25" s="141">
        <f t="shared" ref="D25:AO25" si="17">SUM(D26:D27)</f>
        <v>205085721</v>
      </c>
      <c r="E25" s="140">
        <f t="shared" si="17"/>
        <v>0</v>
      </c>
      <c r="F25" s="141">
        <f t="shared" si="17"/>
        <v>30500071</v>
      </c>
      <c r="G25" s="141">
        <f t="shared" si="17"/>
        <v>12539322</v>
      </c>
      <c r="H25" s="141">
        <f t="shared" si="17"/>
        <v>6662584</v>
      </c>
      <c r="I25" s="141">
        <f t="shared" si="17"/>
        <v>22194781</v>
      </c>
      <c r="J25" s="141">
        <f t="shared" si="17"/>
        <v>2571561</v>
      </c>
      <c r="K25" s="141">
        <f t="shared" si="17"/>
        <v>0</v>
      </c>
      <c r="L25" s="141">
        <f t="shared" si="17"/>
        <v>20785854</v>
      </c>
      <c r="M25" s="141">
        <f t="shared" si="17"/>
        <v>28456223</v>
      </c>
      <c r="N25" s="141">
        <f t="shared" si="17"/>
        <v>5769355</v>
      </c>
      <c r="O25" s="141">
        <f t="shared" si="17"/>
        <v>4214329</v>
      </c>
      <c r="P25" s="141">
        <f t="shared" si="17"/>
        <v>10174801</v>
      </c>
      <c r="Q25" s="141">
        <f t="shared" si="17"/>
        <v>4476553</v>
      </c>
      <c r="R25" s="141">
        <f t="shared" si="17"/>
        <v>13626138</v>
      </c>
      <c r="S25" s="141">
        <f t="shared" si="17"/>
        <v>1474553</v>
      </c>
      <c r="T25" s="141">
        <f t="shared" si="17"/>
        <v>3836867</v>
      </c>
      <c r="U25" s="141">
        <f t="shared" si="17"/>
        <v>3836867</v>
      </c>
      <c r="V25" s="141">
        <f t="shared" si="17"/>
        <v>12362264</v>
      </c>
      <c r="W25" s="141">
        <f t="shared" si="17"/>
        <v>3126688</v>
      </c>
      <c r="X25" s="141">
        <f t="shared" si="17"/>
        <v>18476910</v>
      </c>
      <c r="Y25" s="141">
        <f t="shared" si="17"/>
        <v>115908167</v>
      </c>
      <c r="Z25" s="141">
        <f t="shared" si="17"/>
        <v>18973770</v>
      </c>
      <c r="AA25" s="141">
        <f t="shared" si="17"/>
        <v>13073026</v>
      </c>
      <c r="AB25" s="141">
        <f t="shared" si="17"/>
        <v>37870455</v>
      </c>
      <c r="AC25" s="141">
        <f t="shared" si="17"/>
        <v>31878903</v>
      </c>
      <c r="AD25" s="141">
        <f t="shared" si="17"/>
        <v>14112013</v>
      </c>
      <c r="AE25" s="141">
        <f t="shared" si="17"/>
        <v>108750247</v>
      </c>
      <c r="AF25" s="141">
        <f t="shared" si="17"/>
        <v>7957205</v>
      </c>
      <c r="AG25" s="141">
        <f t="shared" si="17"/>
        <v>55923074</v>
      </c>
      <c r="AH25" s="141">
        <f t="shared" si="17"/>
        <v>20733048</v>
      </c>
      <c r="AI25" s="141">
        <f t="shared" si="17"/>
        <v>24136920</v>
      </c>
      <c r="AJ25" s="142">
        <f t="shared" si="17"/>
        <v>109874398</v>
      </c>
      <c r="AK25" s="141">
        <f t="shared" si="17"/>
        <v>107708250</v>
      </c>
      <c r="AL25" s="141">
        <f t="shared" si="17"/>
        <v>2166148</v>
      </c>
      <c r="AM25" s="140">
        <f t="shared" si="17"/>
        <v>506870</v>
      </c>
      <c r="AN25" s="141">
        <f t="shared" si="17"/>
        <v>413346</v>
      </c>
      <c r="AO25" s="141">
        <f t="shared" si="17"/>
        <v>1245932</v>
      </c>
    </row>
    <row r="26" spans="1:41" s="138" customFormat="1" x14ac:dyDescent="0.25">
      <c r="A26" s="133" t="s">
        <v>65</v>
      </c>
      <c r="B26" s="134" t="s">
        <v>66</v>
      </c>
      <c r="C26" s="135">
        <f t="shared" ref="C26:C30" si="18">D26+Y26+AE26+AJ26</f>
        <v>494372027</v>
      </c>
      <c r="D26" s="136">
        <f t="shared" ref="D26:D30" si="19">SUM(E26:X26)</f>
        <v>163525824</v>
      </c>
      <c r="E26" s="135">
        <v>0</v>
      </c>
      <c r="F26" s="136">
        <v>0</v>
      </c>
      <c r="G26" s="136">
        <f>+'[3]FORMULACION PRESUPUESTO 2024'!G11</f>
        <v>12539322</v>
      </c>
      <c r="H26" s="136">
        <f>+'[3]FORMULACION PRESUPUESTO 2024'!H11</f>
        <v>6662584</v>
      </c>
      <c r="I26" s="136">
        <f>+'[3]FORMULACION PRESUPUESTO 2024'!I11</f>
        <v>22194781</v>
      </c>
      <c r="J26" s="136">
        <f>+'[3]FORMULACION PRESUPUESTO 2024'!J11</f>
        <v>2571561</v>
      </c>
      <c r="K26" s="136">
        <f>+'[3]FORMULACION PRESUPUESTO 2024'!K11</f>
        <v>0</v>
      </c>
      <c r="L26" s="136">
        <f>+'[3]FORMULACION PRESUPUESTO 2024'!L11</f>
        <v>20785854</v>
      </c>
      <c r="M26" s="136">
        <f>+'[3]FORMULACION PRESUPUESTO 2024'!M11</f>
        <v>28456223</v>
      </c>
      <c r="N26" s="136">
        <f>+'[3]FORMULACION PRESUPUESTO 2024'!N11</f>
        <v>0</v>
      </c>
      <c r="O26" s="136">
        <f>+'[3]FORMULACION PRESUPUESTO 2024'!O11</f>
        <v>4214329</v>
      </c>
      <c r="P26" s="136">
        <f>+'[3]FORMULACION PRESUPUESTO 2024'!P11</f>
        <v>10174801</v>
      </c>
      <c r="Q26" s="136">
        <f>+'[3]FORMULACION PRESUPUESTO 2024'!Q11</f>
        <v>4476553</v>
      </c>
      <c r="R26" s="136">
        <f>+'[3]FORMULACION PRESUPUESTO 2024'!R11</f>
        <v>13626138</v>
      </c>
      <c r="S26" s="136">
        <f>+'[3]FORMULACION PRESUPUESTO 2024'!S11</f>
        <v>1474553</v>
      </c>
      <c r="T26" s="136">
        <f>+'[3]FORMULACION PRESUPUESTO 2024'!T11</f>
        <v>3836867</v>
      </c>
      <c r="U26" s="136">
        <f>+'[3]FORMULACION PRESUPUESTO 2024'!U11</f>
        <v>3836867</v>
      </c>
      <c r="V26" s="136">
        <f>+'[3]FORMULACION PRESUPUESTO 2024'!V11</f>
        <v>7071793</v>
      </c>
      <c r="W26" s="136">
        <f>+'[3]FORMULACION PRESUPUESTO 2024'!W11</f>
        <v>3126688</v>
      </c>
      <c r="X26" s="136">
        <f>+'[3]FORMULACION PRESUPUESTO 2024'!X11</f>
        <v>18476910</v>
      </c>
      <c r="Y26" s="136">
        <f t="shared" ref="Y26:Y30" si="20">SUM(Z26:AD26)</f>
        <v>115908167</v>
      </c>
      <c r="Z26" s="136">
        <f>+'[3]FORMULACION PRESUPUESTO 2024'!Z11</f>
        <v>18973770</v>
      </c>
      <c r="AA26" s="136">
        <f>+'[3]FORMULACION PRESUPUESTO 2024'!AA11</f>
        <v>13073026</v>
      </c>
      <c r="AB26" s="136">
        <f>+'[3]FORMULACION PRESUPUESTO 2024'!AB11</f>
        <v>37870455</v>
      </c>
      <c r="AC26" s="136">
        <f>+'[3]FORMULACION PRESUPUESTO 2024'!AC11</f>
        <v>31878903</v>
      </c>
      <c r="AD26" s="136">
        <f>+'[3]FORMULACION PRESUPUESTO 2024'!AD11</f>
        <v>14112013</v>
      </c>
      <c r="AE26" s="136">
        <f t="shared" ref="AE26:AE30" si="21">SUM(AF26:AI26)</f>
        <v>108750247</v>
      </c>
      <c r="AF26" s="136">
        <f>+'[3]FORMULACION PRESUPUESTO 2024'!AF11</f>
        <v>7957205</v>
      </c>
      <c r="AG26" s="136">
        <f>+'[3]FORMULACION PRESUPUESTO 2024'!AG11</f>
        <v>55923074</v>
      </c>
      <c r="AH26" s="136">
        <f>+'[3]FORMULACION PRESUPUESTO 2024'!AH11</f>
        <v>20733048</v>
      </c>
      <c r="AI26" s="136">
        <f>+'[3]FORMULACION PRESUPUESTO 2024'!AI11</f>
        <v>24136920</v>
      </c>
      <c r="AJ26" s="137">
        <f t="shared" ref="AJ26:AJ30" si="22">SUM(AK26+AL26)</f>
        <v>106187789</v>
      </c>
      <c r="AK26" s="136">
        <f>+'[3]FORMULACION PRESUPUESTO 2024'!AK11</f>
        <v>104021641</v>
      </c>
      <c r="AL26" s="136">
        <f t="shared" ref="AL26:AL30" si="23">SUM(AM26:AO26)</f>
        <v>2166148</v>
      </c>
      <c r="AM26" s="135">
        <f>+'[3]FORMULACION PRESUPUESTO 2024'!AM11</f>
        <v>506870</v>
      </c>
      <c r="AN26" s="136">
        <f>+'[3]FORMULACION PRESUPUESTO 2024'!AN11</f>
        <v>413346</v>
      </c>
      <c r="AO26" s="136">
        <f>+'[3]FORMULACION PRESUPUESTO 2024'!AO11</f>
        <v>1245932</v>
      </c>
    </row>
    <row r="27" spans="1:41" s="138" customFormat="1" x14ac:dyDescent="0.25">
      <c r="A27" s="133" t="s">
        <v>67</v>
      </c>
      <c r="B27" s="134" t="s">
        <v>68</v>
      </c>
      <c r="C27" s="135">
        <f t="shared" si="18"/>
        <v>45246506</v>
      </c>
      <c r="D27" s="136">
        <f t="shared" si="19"/>
        <v>41559897</v>
      </c>
      <c r="E27" s="135">
        <v>0</v>
      </c>
      <c r="F27" s="136">
        <f>+'[3]FORMULACION PRESUPUESTO 2024'!F12</f>
        <v>30500071</v>
      </c>
      <c r="G27" s="136">
        <f>+'[3]FORMULACION PRESUPUESTO 2024'!G12</f>
        <v>0</v>
      </c>
      <c r="H27" s="136">
        <f>+'[3]FORMULACION PRESUPUESTO 2024'!H12</f>
        <v>0</v>
      </c>
      <c r="I27" s="136">
        <f>+'[3]FORMULACION PRESUPUESTO 2024'!I12</f>
        <v>0</v>
      </c>
      <c r="J27" s="136">
        <f>+'[3]FORMULACION PRESUPUESTO 2024'!J12</f>
        <v>0</v>
      </c>
      <c r="K27" s="136">
        <f>+'[3]FORMULACION PRESUPUESTO 2024'!K12</f>
        <v>0</v>
      </c>
      <c r="L27" s="136">
        <f>+'[3]FORMULACION PRESUPUESTO 2024'!L12</f>
        <v>0</v>
      </c>
      <c r="M27" s="136">
        <f>+'[3]FORMULACION PRESUPUESTO 2024'!M12</f>
        <v>0</v>
      </c>
      <c r="N27" s="136">
        <f>+'[3]FORMULACION PRESUPUESTO 2024'!N12</f>
        <v>5769355</v>
      </c>
      <c r="O27" s="136">
        <f>+'[3]FORMULACION PRESUPUESTO 2024'!O12</f>
        <v>0</v>
      </c>
      <c r="P27" s="136">
        <f>+'[3]FORMULACION PRESUPUESTO 2024'!P12</f>
        <v>0</v>
      </c>
      <c r="Q27" s="136">
        <f>+'[3]FORMULACION PRESUPUESTO 2024'!Q12</f>
        <v>0</v>
      </c>
      <c r="R27" s="136">
        <f>+'[3]FORMULACION PRESUPUESTO 2024'!R12</f>
        <v>0</v>
      </c>
      <c r="S27" s="136">
        <f>+'[3]FORMULACION PRESUPUESTO 2024'!S12</f>
        <v>0</v>
      </c>
      <c r="T27" s="136">
        <f>+'[3]FORMULACION PRESUPUESTO 2024'!T12</f>
        <v>0</v>
      </c>
      <c r="U27" s="136">
        <f>+'[3]FORMULACION PRESUPUESTO 2024'!U12</f>
        <v>0</v>
      </c>
      <c r="V27" s="136">
        <f>+'[3]FORMULACION PRESUPUESTO 2024'!V12</f>
        <v>5290471</v>
      </c>
      <c r="W27" s="136">
        <f>+'[3]FORMULACION PRESUPUESTO 2024'!W12</f>
        <v>0</v>
      </c>
      <c r="X27" s="136">
        <f>+'[3]FORMULACION PRESUPUESTO 2024'!X12</f>
        <v>0</v>
      </c>
      <c r="Y27" s="136">
        <f t="shared" si="20"/>
        <v>0</v>
      </c>
      <c r="Z27" s="136">
        <f>+'[3]FORMULACION PRESUPUESTO 2024'!Z12</f>
        <v>0</v>
      </c>
      <c r="AA27" s="136">
        <f>+'[3]FORMULACION PRESUPUESTO 2024'!AA12</f>
        <v>0</v>
      </c>
      <c r="AB27" s="136">
        <f>+'[3]FORMULACION PRESUPUESTO 2024'!AB12</f>
        <v>0</v>
      </c>
      <c r="AC27" s="136">
        <f>+'[3]FORMULACION PRESUPUESTO 2024'!AC12</f>
        <v>0</v>
      </c>
      <c r="AD27" s="136">
        <f>+'[3]FORMULACION PRESUPUESTO 2024'!AD12</f>
        <v>0</v>
      </c>
      <c r="AE27" s="136">
        <f t="shared" si="21"/>
        <v>0</v>
      </c>
      <c r="AF27" s="136">
        <f>+'[3]FORMULACION PRESUPUESTO 2024'!AF12</f>
        <v>0</v>
      </c>
      <c r="AG27" s="136">
        <f>+'[3]FORMULACION PRESUPUESTO 2024'!AG12</f>
        <v>0</v>
      </c>
      <c r="AH27" s="136">
        <f>+'[3]FORMULACION PRESUPUESTO 2024'!AH12</f>
        <v>0</v>
      </c>
      <c r="AI27" s="136">
        <f>+'[3]FORMULACION PRESUPUESTO 2024'!AI12</f>
        <v>0</v>
      </c>
      <c r="AJ27" s="137">
        <f t="shared" si="22"/>
        <v>3686609</v>
      </c>
      <c r="AK27" s="136">
        <f>+'[3]FORMULACION PRESUPUESTO 2024'!AK12</f>
        <v>3686609</v>
      </c>
      <c r="AL27" s="136">
        <f t="shared" si="23"/>
        <v>0</v>
      </c>
      <c r="AM27" s="135">
        <f>+'[3]FORMULACION PRESUPUESTO 2024'!AM12</f>
        <v>0</v>
      </c>
      <c r="AN27" s="136">
        <f>+'[3]FORMULACION PRESUPUESTO 2024'!AN12</f>
        <v>0</v>
      </c>
      <c r="AO27" s="136">
        <f>+'[3]FORMULACION PRESUPUESTO 2024'!AO12</f>
        <v>0</v>
      </c>
    </row>
    <row r="28" spans="1:41" s="138" customFormat="1" x14ac:dyDescent="0.25">
      <c r="A28" s="133"/>
      <c r="B28" s="134"/>
      <c r="C28" s="135"/>
      <c r="D28" s="136"/>
      <c r="E28" s="135"/>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7"/>
      <c r="AK28" s="136"/>
      <c r="AL28" s="136"/>
      <c r="AM28" s="135"/>
      <c r="AN28" s="136"/>
      <c r="AO28" s="136"/>
    </row>
    <row r="29" spans="1:41" s="138" customFormat="1" x14ac:dyDescent="0.25">
      <c r="A29" s="133" t="s">
        <v>69</v>
      </c>
      <c r="B29" s="134" t="s">
        <v>70</v>
      </c>
      <c r="C29" s="135">
        <f t="shared" si="18"/>
        <v>241272126</v>
      </c>
      <c r="D29" s="136">
        <f t="shared" si="19"/>
        <v>98212794</v>
      </c>
      <c r="E29" s="135">
        <v>0</v>
      </c>
      <c r="F29" s="136">
        <f>+'[3]FORMULACION PRESUPUESTO 2024'!F13</f>
        <v>10153012</v>
      </c>
      <c r="G29" s="136">
        <f>+'[3]FORMULACION PRESUPUESTO 2024'!G13</f>
        <v>9084532</v>
      </c>
      <c r="H29" s="136">
        <f>+'[3]FORMULACION PRESUPUESTO 2024'!H13</f>
        <v>5194154</v>
      </c>
      <c r="I29" s="136">
        <f>+'[3]FORMULACION PRESUPUESTO 2024'!I13</f>
        <v>8439456</v>
      </c>
      <c r="J29" s="136">
        <f>+'[3]FORMULACION PRESUPUESTO 2024'!J13</f>
        <v>1246369</v>
      </c>
      <c r="K29" s="136">
        <f>+'[3]FORMULACION PRESUPUESTO 2024'!K13</f>
        <v>2633010</v>
      </c>
      <c r="L29" s="136">
        <f>+'[3]FORMULACION PRESUPUESTO 2024'!L13</f>
        <v>7072353</v>
      </c>
      <c r="M29" s="136">
        <f>+'[3]FORMULACION PRESUPUESTO 2024'!M13</f>
        <v>12415798</v>
      </c>
      <c r="N29" s="136">
        <f>+'[3]FORMULACION PRESUPUESTO 2024'!N13</f>
        <v>3157122</v>
      </c>
      <c r="O29" s="136">
        <f>+'[3]FORMULACION PRESUPUESTO 2024'!O13</f>
        <v>8341802</v>
      </c>
      <c r="P29" s="136">
        <f>+'[3]FORMULACION PRESUPUESTO 2024'!P13</f>
        <v>4820457</v>
      </c>
      <c r="Q29" s="136">
        <f>+'[3]FORMULACION PRESUPUESTO 2024'!Q13</f>
        <v>1742002</v>
      </c>
      <c r="R29" s="136">
        <f>+'[3]FORMULACION PRESUPUESTO 2024'!R13</f>
        <v>6600109</v>
      </c>
      <c r="S29" s="136">
        <f>+'[3]FORMULACION PRESUPUESTO 2024'!S13</f>
        <v>909972</v>
      </c>
      <c r="T29" s="136">
        <f>+'[3]FORMULACION PRESUPUESTO 2024'!T13</f>
        <v>3092585</v>
      </c>
      <c r="U29" s="136">
        <f>+'[3]FORMULACION PRESUPUESTO 2024'!U13</f>
        <v>1695329</v>
      </c>
      <c r="V29" s="136">
        <f>+'[3]FORMULACION PRESUPUESTO 2024'!V13</f>
        <v>4455567</v>
      </c>
      <c r="W29" s="136">
        <f>+'[3]FORMULACION PRESUPUESTO 2024'!W13</f>
        <v>979592</v>
      </c>
      <c r="X29" s="136">
        <f>+'[3]FORMULACION PRESUPUESTO 2024'!X13</f>
        <v>6179573</v>
      </c>
      <c r="Y29" s="136">
        <f t="shared" si="20"/>
        <v>44995664</v>
      </c>
      <c r="Z29" s="136">
        <f>+'[3]FORMULACION PRESUPUESTO 2024'!Z13</f>
        <v>7422963</v>
      </c>
      <c r="AA29" s="136">
        <f>+'[3]FORMULACION PRESUPUESTO 2024'!AA13</f>
        <v>5796627</v>
      </c>
      <c r="AB29" s="136">
        <f>+'[3]FORMULACION PRESUPUESTO 2024'!AB13</f>
        <v>13317964</v>
      </c>
      <c r="AC29" s="136">
        <f>+'[3]FORMULACION PRESUPUESTO 2024'!AC13</f>
        <v>13188271</v>
      </c>
      <c r="AD29" s="136">
        <f>+'[3]FORMULACION PRESUPUESTO 2024'!AD13</f>
        <v>5269839</v>
      </c>
      <c r="AE29" s="136">
        <f t="shared" si="21"/>
        <v>44759579</v>
      </c>
      <c r="AF29" s="136">
        <f>+'[3]FORMULACION PRESUPUESTO 2024'!AF13</f>
        <v>2956035</v>
      </c>
      <c r="AG29" s="136">
        <f>+'[3]FORMULACION PRESUPUESTO 2024'!AG13</f>
        <v>22363088</v>
      </c>
      <c r="AH29" s="136">
        <f>+'[3]FORMULACION PRESUPUESTO 2024'!AH13</f>
        <v>8492279</v>
      </c>
      <c r="AI29" s="136">
        <f>+'[3]FORMULACION PRESUPUESTO 2024'!AI13</f>
        <v>10948177</v>
      </c>
      <c r="AJ29" s="137">
        <f t="shared" si="22"/>
        <v>53304089</v>
      </c>
      <c r="AK29" s="136">
        <f>+'[3]FORMULACION PRESUPUESTO 2024'!AK13</f>
        <v>52389372</v>
      </c>
      <c r="AL29" s="136">
        <f t="shared" si="23"/>
        <v>914717</v>
      </c>
      <c r="AM29" s="135">
        <f>+'[3]FORMULACION PRESUPUESTO 2024'!AM13</f>
        <v>217087</v>
      </c>
      <c r="AN29" s="136">
        <f>+'[3]FORMULACION PRESUPUESTO 2024'!AN13</f>
        <v>265191</v>
      </c>
      <c r="AO29" s="136">
        <f>+'[3]FORMULACION PRESUPUESTO 2024'!AO13</f>
        <v>432439</v>
      </c>
    </row>
    <row r="30" spans="1:41" s="138" customFormat="1" x14ac:dyDescent="0.25">
      <c r="A30" s="133" t="s">
        <v>71</v>
      </c>
      <c r="B30" s="134" t="s">
        <v>72</v>
      </c>
      <c r="C30" s="135">
        <f t="shared" si="18"/>
        <v>222630500</v>
      </c>
      <c r="D30" s="136">
        <f t="shared" si="19"/>
        <v>90624490</v>
      </c>
      <c r="E30" s="135">
        <v>0</v>
      </c>
      <c r="F30" s="136">
        <f>+'[3]FORMULACION PRESUPUESTO 2024'!F14</f>
        <v>9368551</v>
      </c>
      <c r="G30" s="136">
        <f>+'[3]FORMULACION PRESUPUESTO 2024'!G14</f>
        <v>8382626</v>
      </c>
      <c r="H30" s="136">
        <f>+'[3]FORMULACION PRESUPUESTO 2024'!H14</f>
        <v>4792834</v>
      </c>
      <c r="I30" s="136">
        <f>+'[3]FORMULACION PRESUPUESTO 2024'!I14</f>
        <v>7787391</v>
      </c>
      <c r="J30" s="136">
        <f>+'[3]FORMULACION PRESUPUESTO 2024'!J14</f>
        <v>1150069</v>
      </c>
      <c r="K30" s="136">
        <f>+'[3]FORMULACION PRESUPUESTO 2024'!K14</f>
        <v>2429574</v>
      </c>
      <c r="L30" s="136">
        <f>+'[3]FORMULACION PRESUPUESTO 2024'!L14</f>
        <v>6525916</v>
      </c>
      <c r="M30" s="136">
        <f>+'[3]FORMULACION PRESUPUESTO 2024'!M14</f>
        <v>11456504</v>
      </c>
      <c r="N30" s="136">
        <f>+'[3]FORMULACION PRESUPUESTO 2024'!N14</f>
        <v>2913190</v>
      </c>
      <c r="O30" s="136">
        <f>+'[3]FORMULACION PRESUPUESTO 2024'!O14</f>
        <v>7697282</v>
      </c>
      <c r="P30" s="136">
        <f>+'[3]FORMULACION PRESUPUESTO 2024'!P14</f>
        <v>4448009</v>
      </c>
      <c r="Q30" s="136">
        <f>+'[3]FORMULACION PRESUPUESTO 2024'!Q14</f>
        <v>1607408</v>
      </c>
      <c r="R30" s="136">
        <f>+'[3]FORMULACION PRESUPUESTO 2024'!R14</f>
        <v>6090159</v>
      </c>
      <c r="S30" s="136">
        <f>+'[3]FORMULACION PRESUPUESTO 2024'!S14</f>
        <v>839664</v>
      </c>
      <c r="T30" s="136">
        <f>+'[3]FORMULACION PRESUPUESTO 2024'!T14</f>
        <v>2853639</v>
      </c>
      <c r="U30" s="136">
        <f>+'[3]FORMULACION PRESUPUESTO 2024'!U14</f>
        <v>1564341</v>
      </c>
      <c r="V30" s="136">
        <f>+'[3]FORMULACION PRESUPUESTO 2024'!V14</f>
        <v>4111313</v>
      </c>
      <c r="W30" s="136">
        <f>+'[3]FORMULACION PRESUPUESTO 2024'!W14</f>
        <v>903905</v>
      </c>
      <c r="X30" s="136">
        <f>+'[3]FORMULACION PRESUPUESTO 2024'!X14</f>
        <v>5702115</v>
      </c>
      <c r="Y30" s="136">
        <f t="shared" si="20"/>
        <v>41519124</v>
      </c>
      <c r="Z30" s="136">
        <f>+'[3]FORMULACION PRESUPUESTO 2024'!Z14</f>
        <v>6849436</v>
      </c>
      <c r="AA30" s="136">
        <f>+'[3]FORMULACION PRESUPUESTO 2024'!AA14</f>
        <v>5348757</v>
      </c>
      <c r="AB30" s="136">
        <f>+'[3]FORMULACION PRESUPUESTO 2024'!AB14</f>
        <v>12288966</v>
      </c>
      <c r="AC30" s="136">
        <f>+'[3]FORMULACION PRESUPUESTO 2024'!AC14</f>
        <v>12169294</v>
      </c>
      <c r="AD30" s="136">
        <f>+'[3]FORMULACION PRESUPUESTO 2024'!AD14</f>
        <v>4862671</v>
      </c>
      <c r="AE30" s="136">
        <f t="shared" si="21"/>
        <v>41301280</v>
      </c>
      <c r="AF30" s="136">
        <f>+'[3]FORMULACION PRESUPUESTO 2024'!AF14</f>
        <v>2727640</v>
      </c>
      <c r="AG30" s="136">
        <f>+'[3]FORMULACION PRESUPUESTO 2024'!AG14</f>
        <v>20635229</v>
      </c>
      <c r="AH30" s="136">
        <f>+'[3]FORMULACION PRESUPUESTO 2024'!AH14</f>
        <v>7836133</v>
      </c>
      <c r="AI30" s="136">
        <f>+'[3]FORMULACION PRESUPUESTO 2024'!AI14</f>
        <v>10102278</v>
      </c>
      <c r="AJ30" s="137">
        <f t="shared" si="22"/>
        <v>49185606</v>
      </c>
      <c r="AK30" s="136">
        <f>+'[3]FORMULACION PRESUPUESTO 2024'!AK14</f>
        <v>48341564</v>
      </c>
      <c r="AL30" s="136">
        <f t="shared" si="23"/>
        <v>844042</v>
      </c>
      <c r="AM30" s="135">
        <f>+'[3]FORMULACION PRESUPUESTO 2024'!AM14</f>
        <v>200314</v>
      </c>
      <c r="AN30" s="136">
        <f>+'[3]FORMULACION PRESUPUESTO 2024'!AN14</f>
        <v>244701</v>
      </c>
      <c r="AO30" s="136">
        <f>+'[3]FORMULACION PRESUPUESTO 2024'!AO14</f>
        <v>399027</v>
      </c>
    </row>
    <row r="31" spans="1:41" s="138" customFormat="1" x14ac:dyDescent="0.25">
      <c r="A31" s="143"/>
      <c r="B31" s="144"/>
      <c r="C31" s="135"/>
      <c r="D31" s="136"/>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7"/>
      <c r="AK31" s="136"/>
      <c r="AL31" s="136"/>
      <c r="AM31" s="135"/>
      <c r="AN31" s="136"/>
      <c r="AO31" s="136"/>
    </row>
    <row r="32" spans="1:41" s="138" customFormat="1" x14ac:dyDescent="0.25">
      <c r="A32" s="146" t="s">
        <v>73</v>
      </c>
      <c r="B32" s="139" t="s">
        <v>74</v>
      </c>
      <c r="C32" s="140">
        <f>SUM(C33)</f>
        <v>99639234</v>
      </c>
      <c r="D32" s="141">
        <f t="shared" ref="D32:AO32" si="24">SUM(D33)</f>
        <v>38706012</v>
      </c>
      <c r="E32" s="140">
        <f t="shared" si="24"/>
        <v>0</v>
      </c>
      <c r="F32" s="141">
        <f t="shared" si="24"/>
        <v>4555092</v>
      </c>
      <c r="G32" s="141">
        <f t="shared" si="24"/>
        <v>1336524</v>
      </c>
      <c r="H32" s="141">
        <f t="shared" si="24"/>
        <v>1575189</v>
      </c>
      <c r="I32" s="141">
        <f t="shared" si="24"/>
        <v>3518604</v>
      </c>
      <c r="J32" s="141">
        <f t="shared" si="24"/>
        <v>30686</v>
      </c>
      <c r="K32" s="141">
        <f t="shared" si="24"/>
        <v>0</v>
      </c>
      <c r="L32" s="141">
        <f t="shared" si="24"/>
        <v>3784545</v>
      </c>
      <c r="M32" s="141">
        <f t="shared" si="24"/>
        <v>5462019</v>
      </c>
      <c r="N32" s="141">
        <f t="shared" si="24"/>
        <v>726224</v>
      </c>
      <c r="O32" s="141">
        <f t="shared" si="24"/>
        <v>1984329</v>
      </c>
      <c r="P32" s="141">
        <f t="shared" si="24"/>
        <v>2782152</v>
      </c>
      <c r="Q32" s="141">
        <f t="shared" si="24"/>
        <v>787595</v>
      </c>
      <c r="R32" s="141">
        <f t="shared" si="24"/>
        <v>1769531</v>
      </c>
      <c r="S32" s="141">
        <f t="shared" si="24"/>
        <v>366181</v>
      </c>
      <c r="T32" s="141">
        <f t="shared" si="24"/>
        <v>623939</v>
      </c>
      <c r="U32" s="141">
        <f t="shared" si="24"/>
        <v>675081</v>
      </c>
      <c r="V32" s="141">
        <f t="shared" si="24"/>
        <v>2771924</v>
      </c>
      <c r="W32" s="141">
        <f t="shared" si="24"/>
        <v>1319477</v>
      </c>
      <c r="X32" s="141">
        <f t="shared" si="24"/>
        <v>4636920</v>
      </c>
      <c r="Y32" s="141">
        <f t="shared" si="24"/>
        <v>17470278</v>
      </c>
      <c r="Z32" s="141">
        <f t="shared" si="24"/>
        <v>2945808</v>
      </c>
      <c r="AA32" s="141">
        <f t="shared" si="24"/>
        <v>1036488</v>
      </c>
      <c r="AB32" s="141">
        <f t="shared" si="24"/>
        <v>6955380</v>
      </c>
      <c r="AC32" s="141">
        <f t="shared" si="24"/>
        <v>5086974</v>
      </c>
      <c r="AD32" s="141">
        <f t="shared" si="24"/>
        <v>1445628</v>
      </c>
      <c r="AE32" s="141">
        <f t="shared" si="24"/>
        <v>22461786</v>
      </c>
      <c r="AF32" s="141">
        <f t="shared" si="24"/>
        <v>1077402</v>
      </c>
      <c r="AG32" s="141">
        <f t="shared" si="24"/>
        <v>9955740</v>
      </c>
      <c r="AH32" s="141">
        <f t="shared" si="24"/>
        <v>5946168</v>
      </c>
      <c r="AI32" s="141">
        <f t="shared" si="24"/>
        <v>5482476</v>
      </c>
      <c r="AJ32" s="142">
        <f t="shared" si="24"/>
        <v>21001158</v>
      </c>
      <c r="AK32" s="141">
        <f t="shared" si="24"/>
        <v>20614929</v>
      </c>
      <c r="AL32" s="141">
        <f t="shared" si="24"/>
        <v>386229</v>
      </c>
      <c r="AM32" s="140">
        <f t="shared" si="24"/>
        <v>114014</v>
      </c>
      <c r="AN32" s="141">
        <f t="shared" si="24"/>
        <v>62735</v>
      </c>
      <c r="AO32" s="141">
        <f t="shared" si="24"/>
        <v>209480</v>
      </c>
    </row>
    <row r="33" spans="1:41" s="138" customFormat="1" x14ac:dyDescent="0.25">
      <c r="A33" s="133" t="s">
        <v>75</v>
      </c>
      <c r="B33" s="134" t="s">
        <v>76</v>
      </c>
      <c r="C33" s="135">
        <f t="shared" ref="C33" si="25">D33+Y33+AE33+AJ33</f>
        <v>99639234</v>
      </c>
      <c r="D33" s="136">
        <f t="shared" ref="D33" si="26">SUM(E33:X33)</f>
        <v>38706012</v>
      </c>
      <c r="E33" s="135">
        <v>0</v>
      </c>
      <c r="F33" s="136">
        <f>+'[3]FORMULACION PRESUPUESTO 2024'!F15</f>
        <v>4555092</v>
      </c>
      <c r="G33" s="136">
        <f>+'[3]FORMULACION PRESUPUESTO 2024'!G15</f>
        <v>1336524</v>
      </c>
      <c r="H33" s="136">
        <f>+'[3]FORMULACION PRESUPUESTO 2024'!H15</f>
        <v>1575189</v>
      </c>
      <c r="I33" s="136">
        <f>+'[3]FORMULACION PRESUPUESTO 2024'!I15</f>
        <v>3518604</v>
      </c>
      <c r="J33" s="136">
        <f>+'[3]FORMULACION PRESUPUESTO 2024'!J15</f>
        <v>30686</v>
      </c>
      <c r="K33" s="136">
        <f>+'[3]FORMULACION PRESUPUESTO 2024'!K15</f>
        <v>0</v>
      </c>
      <c r="L33" s="136">
        <f>+'[3]FORMULACION PRESUPUESTO 2024'!L15</f>
        <v>3784545</v>
      </c>
      <c r="M33" s="136">
        <f>+'[3]FORMULACION PRESUPUESTO 2024'!M15</f>
        <v>5462019</v>
      </c>
      <c r="N33" s="136">
        <f>+'[3]FORMULACION PRESUPUESTO 2024'!N15</f>
        <v>726224</v>
      </c>
      <c r="O33" s="136">
        <f>+'[3]FORMULACION PRESUPUESTO 2024'!O15</f>
        <v>1984329</v>
      </c>
      <c r="P33" s="136">
        <f>+'[3]FORMULACION PRESUPUESTO 2024'!P15</f>
        <v>2782152</v>
      </c>
      <c r="Q33" s="136">
        <f>+'[3]FORMULACION PRESUPUESTO 2024'!Q15</f>
        <v>787595</v>
      </c>
      <c r="R33" s="136">
        <f>+'[3]FORMULACION PRESUPUESTO 2024'!R15</f>
        <v>1769531</v>
      </c>
      <c r="S33" s="136">
        <f>+'[3]FORMULACION PRESUPUESTO 2024'!S15</f>
        <v>366181</v>
      </c>
      <c r="T33" s="136">
        <f>+'[3]FORMULACION PRESUPUESTO 2024'!T15</f>
        <v>623939</v>
      </c>
      <c r="U33" s="136">
        <f>+'[3]FORMULACION PRESUPUESTO 2024'!U15</f>
        <v>675081</v>
      </c>
      <c r="V33" s="136">
        <f>+'[3]FORMULACION PRESUPUESTO 2024'!V15</f>
        <v>2771924</v>
      </c>
      <c r="W33" s="136">
        <f>+'[3]FORMULACION PRESUPUESTO 2024'!W15</f>
        <v>1319477</v>
      </c>
      <c r="X33" s="136">
        <f>+'[3]FORMULACION PRESUPUESTO 2024'!X15</f>
        <v>4636920</v>
      </c>
      <c r="Y33" s="136">
        <f>+'[3]FORMULACION PRESUPUESTO 2024'!Y15</f>
        <v>17470278</v>
      </c>
      <c r="Z33" s="136">
        <f>+'[3]FORMULACION PRESUPUESTO 2024'!Z15</f>
        <v>2945808</v>
      </c>
      <c r="AA33" s="136">
        <f>+'[3]FORMULACION PRESUPUESTO 2024'!AA15</f>
        <v>1036488</v>
      </c>
      <c r="AB33" s="136">
        <f>+'[3]FORMULACION PRESUPUESTO 2024'!AB15</f>
        <v>6955380</v>
      </c>
      <c r="AC33" s="136">
        <f>+'[3]FORMULACION PRESUPUESTO 2024'!AC15</f>
        <v>5086974</v>
      </c>
      <c r="AD33" s="136">
        <f>+'[3]FORMULACION PRESUPUESTO 2024'!AD15</f>
        <v>1445628</v>
      </c>
      <c r="AE33" s="136">
        <f t="shared" ref="AE33" si="27">SUM(AF33:AI33)</f>
        <v>22461786</v>
      </c>
      <c r="AF33" s="136">
        <f>+'[3]FORMULACION PRESUPUESTO 2024'!AF15</f>
        <v>1077402</v>
      </c>
      <c r="AG33" s="136">
        <f>+'[3]FORMULACION PRESUPUESTO 2024'!AG15</f>
        <v>9955740</v>
      </c>
      <c r="AH33" s="136">
        <f>+'[3]FORMULACION PRESUPUESTO 2024'!AH15</f>
        <v>5946168</v>
      </c>
      <c r="AI33" s="136">
        <f>+'[3]FORMULACION PRESUPUESTO 2024'!AI15</f>
        <v>5482476</v>
      </c>
      <c r="AJ33" s="137">
        <f t="shared" ref="AJ33" si="28">SUM(AK33+AL33)</f>
        <v>21001158</v>
      </c>
      <c r="AK33" s="136">
        <f>+'[3]FORMULACION PRESUPUESTO 2024'!AK15</f>
        <v>20614929</v>
      </c>
      <c r="AL33" s="136">
        <f t="shared" ref="AL33" si="29">SUM(AM33:AO33)</f>
        <v>386229</v>
      </c>
      <c r="AM33" s="135">
        <f>+'[3]FORMULACION PRESUPUESTO 2024'!AM15</f>
        <v>114014</v>
      </c>
      <c r="AN33" s="136">
        <f>+'[3]FORMULACION PRESUPUESTO 2024'!AN15</f>
        <v>62735</v>
      </c>
      <c r="AO33" s="136">
        <f>+'[3]FORMULACION PRESUPUESTO 2024'!AO15</f>
        <v>209480</v>
      </c>
    </row>
    <row r="34" spans="1:41" s="138" customFormat="1" x14ac:dyDescent="0.25">
      <c r="A34" s="143"/>
      <c r="B34" s="144"/>
      <c r="C34" s="135"/>
      <c r="D34" s="136"/>
      <c r="E34" s="135"/>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7"/>
      <c r="AK34" s="136"/>
      <c r="AL34" s="136"/>
      <c r="AM34" s="135"/>
      <c r="AN34" s="136"/>
      <c r="AO34" s="136"/>
    </row>
    <row r="35" spans="1:41" s="138" customFormat="1" ht="26.4" x14ac:dyDescent="0.25">
      <c r="A35" s="129" t="s">
        <v>77</v>
      </c>
      <c r="B35" s="139" t="s">
        <v>78</v>
      </c>
      <c r="C35" s="140">
        <f>SUM(C36:C40)</f>
        <v>488971580</v>
      </c>
      <c r="D35" s="141">
        <f t="shared" ref="D35:AO35" si="30">SUM(D36:D40)</f>
        <v>201422302</v>
      </c>
      <c r="E35" s="140">
        <f t="shared" si="30"/>
        <v>0</v>
      </c>
      <c r="F35" s="141">
        <f t="shared" si="30"/>
        <v>20407555</v>
      </c>
      <c r="G35" s="141">
        <f t="shared" si="30"/>
        <v>18259911</v>
      </c>
      <c r="H35" s="141">
        <f t="shared" si="30"/>
        <v>10440252</v>
      </c>
      <c r="I35" s="141">
        <f t="shared" si="30"/>
        <v>16963310</v>
      </c>
      <c r="J35" s="141">
        <f t="shared" si="30"/>
        <v>2505203</v>
      </c>
      <c r="K35" s="141">
        <f t="shared" si="30"/>
        <v>5292351</v>
      </c>
      <c r="L35" s="141">
        <f t="shared" si="30"/>
        <v>14215432</v>
      </c>
      <c r="M35" s="141">
        <f t="shared" si="30"/>
        <v>24955754</v>
      </c>
      <c r="N35" s="141">
        <f t="shared" si="30"/>
        <v>6345816</v>
      </c>
      <c r="O35" s="141">
        <f t="shared" si="30"/>
        <v>16767025</v>
      </c>
      <c r="P35" s="141">
        <f t="shared" si="30"/>
        <v>13703672</v>
      </c>
      <c r="Q35" s="141">
        <f t="shared" si="30"/>
        <v>3501426</v>
      </c>
      <c r="R35" s="141">
        <f t="shared" si="30"/>
        <v>13266220</v>
      </c>
      <c r="S35" s="141">
        <f t="shared" si="30"/>
        <v>1829045</v>
      </c>
      <c r="T35" s="141">
        <f t="shared" si="30"/>
        <v>6216098</v>
      </c>
      <c r="U35" s="141">
        <f t="shared" si="30"/>
        <v>3407613</v>
      </c>
      <c r="V35" s="141">
        <f t="shared" si="30"/>
        <v>8955694</v>
      </c>
      <c r="W35" s="141">
        <f t="shared" si="30"/>
        <v>1968981</v>
      </c>
      <c r="X35" s="141">
        <f t="shared" si="30"/>
        <v>12420944</v>
      </c>
      <c r="Y35" s="141">
        <f t="shared" si="30"/>
        <v>90441292</v>
      </c>
      <c r="Z35" s="141">
        <f t="shared" si="30"/>
        <v>14920157</v>
      </c>
      <c r="AA35" s="141">
        <f t="shared" si="30"/>
        <v>11651221</v>
      </c>
      <c r="AB35" s="141">
        <f t="shared" si="30"/>
        <v>26769109</v>
      </c>
      <c r="AC35" s="141">
        <f t="shared" si="30"/>
        <v>26508427</v>
      </c>
      <c r="AD35" s="141">
        <f t="shared" si="30"/>
        <v>10592378</v>
      </c>
      <c r="AE35" s="141">
        <f t="shared" si="30"/>
        <v>89966761</v>
      </c>
      <c r="AF35" s="141">
        <f t="shared" si="30"/>
        <v>5941633</v>
      </c>
      <c r="AG35" s="141">
        <f t="shared" si="30"/>
        <v>44949809</v>
      </c>
      <c r="AH35" s="141">
        <f t="shared" si="30"/>
        <v>17069483</v>
      </c>
      <c r="AI35" s="141">
        <f t="shared" si="30"/>
        <v>22005836</v>
      </c>
      <c r="AJ35" s="142">
        <f t="shared" si="30"/>
        <v>107141225</v>
      </c>
      <c r="AK35" s="141">
        <f t="shared" si="30"/>
        <v>105302639</v>
      </c>
      <c r="AL35" s="141">
        <f t="shared" si="30"/>
        <v>1838586</v>
      </c>
      <c r="AM35" s="140">
        <f t="shared" si="30"/>
        <v>436346</v>
      </c>
      <c r="AN35" s="141">
        <f t="shared" si="30"/>
        <v>533036</v>
      </c>
      <c r="AO35" s="141">
        <f t="shared" si="30"/>
        <v>869204</v>
      </c>
    </row>
    <row r="36" spans="1:41" s="138" customFormat="1" ht="26.4" x14ac:dyDescent="0.25">
      <c r="A36" s="143" t="s">
        <v>79</v>
      </c>
      <c r="B36" s="134" t="s">
        <v>80</v>
      </c>
      <c r="C36" s="135">
        <f t="shared" ref="C36:C40" si="31">D36+Y36+AE36+AJ36</f>
        <v>270029050</v>
      </c>
      <c r="D36" s="136">
        <f t="shared" ref="D36:D40" si="32">SUM(E36:X36)</f>
        <v>111233192</v>
      </c>
      <c r="E36" s="135">
        <v>0</v>
      </c>
      <c r="F36" s="136">
        <f>+'[3]FORMULACION PRESUPUESTO 2024'!F16</f>
        <v>11269843</v>
      </c>
      <c r="G36" s="136">
        <f>+'[3]FORMULACION PRESUPUESTO 2024'!G16</f>
        <v>10083831</v>
      </c>
      <c r="H36" s="136">
        <f>+'[3]FORMULACION PRESUPUESTO 2024'!H16</f>
        <v>5765511</v>
      </c>
      <c r="I36" s="136">
        <f>+'[3]FORMULACION PRESUPUESTO 2024'!I16</f>
        <v>9367797</v>
      </c>
      <c r="J36" s="136">
        <f>+'[3]FORMULACION PRESUPUESTO 2024'!J16</f>
        <v>1383469</v>
      </c>
      <c r="K36" s="136">
        <f>+'[3]FORMULACION PRESUPUESTO 2024'!K16</f>
        <v>2922641</v>
      </c>
      <c r="L36" s="136">
        <f>+'[3]FORMULACION PRESUPUESTO 2024'!L16</f>
        <v>7850312</v>
      </c>
      <c r="M36" s="136">
        <f>+'[3]FORMULACION PRESUPUESTO 2024'!M16</f>
        <v>13781535</v>
      </c>
      <c r="N36" s="136">
        <f>+'[3]FORMULACION PRESUPUESTO 2024'!N16</f>
        <v>3504405</v>
      </c>
      <c r="O36" s="136">
        <f>+'[3]FORMULACION PRESUPUESTO 2024'!O16</f>
        <v>9259400</v>
      </c>
      <c r="P36" s="136">
        <f>+'[3]FORMULACION PRESUPUESTO 2024'!P16</f>
        <v>7567699</v>
      </c>
      <c r="Q36" s="136">
        <f>+'[3]FORMULACION PRESUPUESTO 2024'!Q16</f>
        <v>1933622</v>
      </c>
      <c r="R36" s="136">
        <f>+'[3]FORMULACION PRESUPUESTO 2024'!R16</f>
        <v>7326121</v>
      </c>
      <c r="S36" s="136">
        <f>+'[3]FORMULACION PRESUPUESTO 2024'!S16</f>
        <v>1010069</v>
      </c>
      <c r="T36" s="136">
        <f>+'[3]FORMULACION PRESUPUESTO 2024'!T16</f>
        <v>3432769</v>
      </c>
      <c r="U36" s="136">
        <f>+'[3]FORMULACION PRESUPUESTO 2024'!U16</f>
        <v>1881815</v>
      </c>
      <c r="V36" s="136">
        <f>+'[3]FORMULACION PRESUPUESTO 2024'!V16</f>
        <v>4945680</v>
      </c>
      <c r="W36" s="136">
        <f>+'[3]FORMULACION PRESUPUESTO 2024'!W16</f>
        <v>1087347</v>
      </c>
      <c r="X36" s="136">
        <f>+'[3]FORMULACION PRESUPUESTO 2024'!X16</f>
        <v>6859326</v>
      </c>
      <c r="Y36" s="136">
        <f t="shared" ref="Y36:Y40" si="33">SUM(Z36:AD36)</f>
        <v>49945187</v>
      </c>
      <c r="Z36" s="136">
        <f>+'[3]FORMULACION PRESUPUESTO 2024'!Z16</f>
        <v>8239489</v>
      </c>
      <c r="AA36" s="136">
        <f>+'[3]FORMULACION PRESUPUESTO 2024'!AA16</f>
        <v>6434256</v>
      </c>
      <c r="AB36" s="136">
        <f>+'[3]FORMULACION PRESUPUESTO 2024'!AB16</f>
        <v>14782940</v>
      </c>
      <c r="AC36" s="136">
        <f>+'[3]FORMULACION PRESUPUESTO 2024'!AC16</f>
        <v>14638981</v>
      </c>
      <c r="AD36" s="136">
        <f>+'[3]FORMULACION PRESUPUESTO 2024'!AD16</f>
        <v>5849521</v>
      </c>
      <c r="AE36" s="136">
        <f t="shared" ref="AE36:AE40" si="34">SUM(AF36:AI36)</f>
        <v>49683133</v>
      </c>
      <c r="AF36" s="136">
        <f>+'[3]FORMULACION PRESUPUESTO 2024'!AF16</f>
        <v>3281199</v>
      </c>
      <c r="AG36" s="136">
        <f>+'[3]FORMULACION PRESUPUESTO 2024'!AG16</f>
        <v>24823028</v>
      </c>
      <c r="AH36" s="136">
        <f>+'[3]FORMULACION PRESUPUESTO 2024'!AH16</f>
        <v>9426430</v>
      </c>
      <c r="AI36" s="136">
        <f>+'[3]FORMULACION PRESUPUESTO 2024'!AI16</f>
        <v>12152476</v>
      </c>
      <c r="AJ36" s="137">
        <f t="shared" ref="AJ36:AJ40" si="35">SUM(AK36+AL36)</f>
        <v>59167538</v>
      </c>
      <c r="AK36" s="136">
        <f>+'[3]FORMULACION PRESUPUESTO 2024'!AK16</f>
        <v>58152203</v>
      </c>
      <c r="AL36" s="136">
        <f t="shared" ref="AL36:AL40" si="36">SUM(AM36:AO36)</f>
        <v>1015335</v>
      </c>
      <c r="AM36" s="135">
        <f>+'[3]FORMULACION PRESUPUESTO 2024'!AM16</f>
        <v>240966</v>
      </c>
      <c r="AN36" s="136">
        <f>+'[3]FORMULACION PRESUPUESTO 2024'!AN16</f>
        <v>294362</v>
      </c>
      <c r="AO36" s="136">
        <f>+'[3]FORMULACION PRESUPUESTO 2024'!AO16</f>
        <v>480007</v>
      </c>
    </row>
    <row r="37" spans="1:41" s="138" customFormat="1" x14ac:dyDescent="0.25">
      <c r="A37" s="147" t="s">
        <v>81</v>
      </c>
      <c r="B37" s="134" t="s">
        <v>82</v>
      </c>
      <c r="C37" s="135">
        <f t="shared" si="31"/>
        <v>14596183</v>
      </c>
      <c r="D37" s="136">
        <f t="shared" si="32"/>
        <v>6012616</v>
      </c>
      <c r="E37" s="135">
        <v>0</v>
      </c>
      <c r="F37" s="136">
        <f>+'[3]FORMULACION PRESUPUESTO 2024'!F17</f>
        <v>609181</v>
      </c>
      <c r="G37" s="136">
        <f>+'[3]FORMULACION PRESUPUESTO 2024'!G17</f>
        <v>545072</v>
      </c>
      <c r="H37" s="136">
        <f>+'[3]FORMULACION PRESUPUESTO 2024'!H17</f>
        <v>311650</v>
      </c>
      <c r="I37" s="136">
        <f>+'[3]FORMULACION PRESUPUESTO 2024'!I17</f>
        <v>506368</v>
      </c>
      <c r="J37" s="136">
        <f>+'[3]FORMULACION PRESUPUESTO 2024'!J17</f>
        <v>74783</v>
      </c>
      <c r="K37" s="136">
        <f>+'[3]FORMULACION PRESUPUESTO 2024'!K17</f>
        <v>157981</v>
      </c>
      <c r="L37" s="136">
        <f>+'[3]FORMULACION PRESUPUESTO 2024'!L17</f>
        <v>424342</v>
      </c>
      <c r="M37" s="136">
        <f>+'[3]FORMULACION PRESUPUESTO 2024'!M17</f>
        <v>744948</v>
      </c>
      <c r="N37" s="136">
        <f>+'[3]FORMULACION PRESUPUESTO 2024'!N17</f>
        <v>189428</v>
      </c>
      <c r="O37" s="136">
        <f>+'[3]FORMULACION PRESUPUESTO 2024'!O17</f>
        <v>500509</v>
      </c>
      <c r="P37" s="136">
        <f>+'[3]FORMULACION PRESUPUESTO 2024'!P17</f>
        <v>409065</v>
      </c>
      <c r="Q37" s="136">
        <f>+'[3]FORMULACION PRESUPUESTO 2024'!Q17</f>
        <v>104521</v>
      </c>
      <c r="R37" s="136">
        <f>+'[3]FORMULACION PRESUPUESTO 2024'!R17</f>
        <v>396007</v>
      </c>
      <c r="S37" s="136">
        <f>+'[3]FORMULACION PRESUPUESTO 2024'!S17</f>
        <v>54599</v>
      </c>
      <c r="T37" s="136">
        <f>+'[3]FORMULACION PRESUPUESTO 2024'!T17</f>
        <v>185556</v>
      </c>
      <c r="U37" s="136">
        <f>+'[3]FORMULACION PRESUPUESTO 2024'!U17</f>
        <v>101720</v>
      </c>
      <c r="V37" s="136">
        <f>+'[3]FORMULACION PRESUPUESTO 2024'!V17</f>
        <v>267335</v>
      </c>
      <c r="W37" s="136">
        <f>+'[3]FORMULACION PRESUPUESTO 2024'!W17</f>
        <v>58776</v>
      </c>
      <c r="X37" s="136">
        <f>+'[3]FORMULACION PRESUPUESTO 2024'!X17</f>
        <v>370775</v>
      </c>
      <c r="Y37" s="136">
        <f t="shared" si="33"/>
        <v>2699742</v>
      </c>
      <c r="Z37" s="136">
        <f>+'[3]FORMULACION PRESUPUESTO 2024'!Z17</f>
        <v>445378</v>
      </c>
      <c r="AA37" s="136">
        <f>+'[3]FORMULACION PRESUPUESTO 2024'!AA17</f>
        <v>347798</v>
      </c>
      <c r="AB37" s="136">
        <f>+'[3]FORMULACION PRESUPUESTO 2024'!AB17</f>
        <v>799078</v>
      </c>
      <c r="AC37" s="136">
        <f>+'[3]FORMULACION PRESUPUESTO 2024'!AC17</f>
        <v>791297</v>
      </c>
      <c r="AD37" s="136">
        <f>+'[3]FORMULACION PRESUPUESTO 2024'!AD17</f>
        <v>316191</v>
      </c>
      <c r="AE37" s="136">
        <f t="shared" si="34"/>
        <v>2685577</v>
      </c>
      <c r="AF37" s="136">
        <f>+'[3]FORMULACION PRESUPUESTO 2024'!AF17</f>
        <v>177363</v>
      </c>
      <c r="AG37" s="136">
        <f>+'[3]FORMULACION PRESUPUESTO 2024'!AG17</f>
        <v>1341786</v>
      </c>
      <c r="AH37" s="136">
        <f>+'[3]FORMULACION PRESUPUESTO 2024'!AH17</f>
        <v>509537</v>
      </c>
      <c r="AI37" s="136">
        <f>+'[3]FORMULACION PRESUPUESTO 2024'!AI17</f>
        <v>656891</v>
      </c>
      <c r="AJ37" s="137">
        <f t="shared" si="35"/>
        <v>3198248</v>
      </c>
      <c r="AK37" s="136">
        <f>+'[3]FORMULACION PRESUPUESTO 2024'!AK17</f>
        <v>3143363</v>
      </c>
      <c r="AL37" s="136">
        <f t="shared" si="36"/>
        <v>54885</v>
      </c>
      <c r="AM37" s="135">
        <f>+'[3]FORMULACION PRESUPUESTO 2024'!AM17</f>
        <v>13026</v>
      </c>
      <c r="AN37" s="136">
        <f>+'[3]FORMULACION PRESUPUESTO 2024'!AN17</f>
        <v>15912</v>
      </c>
      <c r="AO37" s="136">
        <f>+'[3]FORMULACION PRESUPUESTO 2024'!AO17</f>
        <v>25947</v>
      </c>
    </row>
    <row r="38" spans="1:41" s="138" customFormat="1" x14ac:dyDescent="0.25">
      <c r="A38" s="143" t="s">
        <v>83</v>
      </c>
      <c r="B38" s="134" t="s">
        <v>84</v>
      </c>
      <c r="C38" s="135">
        <f t="shared" si="31"/>
        <v>43788509</v>
      </c>
      <c r="D38" s="136">
        <f t="shared" si="32"/>
        <v>18037825</v>
      </c>
      <c r="E38" s="135">
        <v>0</v>
      </c>
      <c r="F38" s="136">
        <f>+'[3]FORMULACION PRESUPUESTO 2024'!F18</f>
        <v>1827543</v>
      </c>
      <c r="G38" s="136">
        <f>+'[3]FORMULACION PRESUPUESTO 2024'!G18</f>
        <v>1635216</v>
      </c>
      <c r="H38" s="136">
        <f>+'[3]FORMULACION PRESUPUESTO 2024'!H18</f>
        <v>934948</v>
      </c>
      <c r="I38" s="136">
        <f>+'[3]FORMULACION PRESUPUESTO 2024'!I18</f>
        <v>1519103</v>
      </c>
      <c r="J38" s="136">
        <f>+'[3]FORMULACION PRESUPUESTO 2024'!J18</f>
        <v>224347</v>
      </c>
      <c r="K38" s="136">
        <f>+'[3]FORMULACION PRESUPUESTO 2024'!K18</f>
        <v>473942</v>
      </c>
      <c r="L38" s="136">
        <f>+'[3]FORMULACION PRESUPUESTO 2024'!L18</f>
        <v>1273024</v>
      </c>
      <c r="M38" s="136">
        <f>+'[3]FORMULACION PRESUPUESTO 2024'!M18</f>
        <v>2234844</v>
      </c>
      <c r="N38" s="136">
        <f>+'[3]FORMULACION PRESUPUESTO 2024'!N18</f>
        <v>568282</v>
      </c>
      <c r="O38" s="136">
        <f>+'[3]FORMULACION PRESUPUESTO 2024'!O18</f>
        <v>1501525</v>
      </c>
      <c r="P38" s="136">
        <f>+'[3]FORMULACION PRESUPUESTO 2024'!P18</f>
        <v>1227195</v>
      </c>
      <c r="Q38" s="136">
        <f>+'[3]FORMULACION PRESUPUESTO 2024'!Q18</f>
        <v>313561</v>
      </c>
      <c r="R38" s="136">
        <f>+'[3]FORMULACION PRESUPUESTO 2024'!R18</f>
        <v>1188020</v>
      </c>
      <c r="S38" s="136">
        <f>+'[3]FORMULACION PRESUPUESTO 2024'!S18</f>
        <v>163795</v>
      </c>
      <c r="T38" s="136">
        <f>+'[3]FORMULACION PRESUPUESTO 2024'!T18</f>
        <v>556666</v>
      </c>
      <c r="U38" s="136">
        <f>+'[3]FORMULACION PRESUPUESTO 2024'!U18</f>
        <v>305160</v>
      </c>
      <c r="V38" s="136">
        <f>+'[3]FORMULACION PRESUPUESTO 2024'!V18</f>
        <v>802003</v>
      </c>
      <c r="W38" s="136">
        <f>+'[3]FORMULACION PRESUPUESTO 2024'!W18</f>
        <v>176327</v>
      </c>
      <c r="X38" s="136">
        <f>+'[3]FORMULACION PRESUPUESTO 2024'!X18</f>
        <v>1112324</v>
      </c>
      <c r="Y38" s="136">
        <f t="shared" si="33"/>
        <v>8099221</v>
      </c>
      <c r="Z38" s="136">
        <f>+'[3]FORMULACION PRESUPUESTO 2024'!Z18</f>
        <v>1336134</v>
      </c>
      <c r="AA38" s="136">
        <f>+'[3]FORMULACION PRESUPUESTO 2024'!AA18</f>
        <v>1043393</v>
      </c>
      <c r="AB38" s="136">
        <f>+'[3]FORMULACION PRESUPUESTO 2024'!AB18</f>
        <v>2397234</v>
      </c>
      <c r="AC38" s="136">
        <f>+'[3]FORMULACION PRESUPUESTO 2024'!AC18</f>
        <v>2373889</v>
      </c>
      <c r="AD38" s="136">
        <f>+'[3]FORMULACION PRESUPUESTO 2024'!AD18</f>
        <v>948571</v>
      </c>
      <c r="AE38" s="136">
        <f t="shared" si="34"/>
        <v>8056726</v>
      </c>
      <c r="AF38" s="136">
        <f>+'[3]FORMULACION PRESUPUESTO 2024'!AF18</f>
        <v>532087</v>
      </c>
      <c r="AG38" s="136">
        <f>+'[3]FORMULACION PRESUPUESTO 2024'!AG18</f>
        <v>4025356</v>
      </c>
      <c r="AH38" s="136">
        <f>+'[3]FORMULACION PRESUPUESTO 2024'!AH18</f>
        <v>1528611</v>
      </c>
      <c r="AI38" s="136">
        <f>+'[3]FORMULACION PRESUPUESTO 2024'!AI18</f>
        <v>1970672</v>
      </c>
      <c r="AJ38" s="137">
        <f t="shared" si="35"/>
        <v>9594737</v>
      </c>
      <c r="AK38" s="136">
        <f>+'[3]FORMULACION PRESUPUESTO 2024'!AK18</f>
        <v>9430087</v>
      </c>
      <c r="AL38" s="136">
        <f t="shared" si="36"/>
        <v>164650</v>
      </c>
      <c r="AM38" s="135">
        <f>+'[3]FORMULACION PRESUPUESTO 2024'!AM18</f>
        <v>39076</v>
      </c>
      <c r="AN38" s="136">
        <f>+'[3]FORMULACION PRESUPUESTO 2024'!AN18</f>
        <v>47735</v>
      </c>
      <c r="AO38" s="136">
        <f>+'[3]FORMULACION PRESUPUESTO 2024'!AO18</f>
        <v>77839</v>
      </c>
    </row>
    <row r="39" spans="1:41" s="138" customFormat="1" x14ac:dyDescent="0.25">
      <c r="A39" s="143" t="s">
        <v>85</v>
      </c>
      <c r="B39" s="134" t="s">
        <v>86</v>
      </c>
      <c r="C39" s="135">
        <f t="shared" si="31"/>
        <v>145961655</v>
      </c>
      <c r="D39" s="136">
        <f t="shared" si="32"/>
        <v>60126053</v>
      </c>
      <c r="E39" s="135">
        <v>0</v>
      </c>
      <c r="F39" s="136">
        <f>+'[3]FORMULACION PRESUPUESTO 2024'!F19</f>
        <v>6091807</v>
      </c>
      <c r="G39" s="136">
        <f>+'[3]FORMULACION PRESUPUESTO 2024'!G19</f>
        <v>5450720</v>
      </c>
      <c r="H39" s="136">
        <f>+'[3]FORMULACION PRESUPUESTO 2024'!H19</f>
        <v>3116493</v>
      </c>
      <c r="I39" s="136">
        <f>+'[3]FORMULACION PRESUPUESTO 2024'!I19</f>
        <v>5063674</v>
      </c>
      <c r="J39" s="136">
        <f>+'[3]FORMULACION PRESUPUESTO 2024'!J19</f>
        <v>747821</v>
      </c>
      <c r="K39" s="136">
        <f>+'[3]FORMULACION PRESUPUESTO 2024'!K19</f>
        <v>1579806</v>
      </c>
      <c r="L39" s="136">
        <f>+'[3]FORMULACION PRESUPUESTO 2024'!L19</f>
        <v>4243412</v>
      </c>
      <c r="M39" s="136">
        <f>+'[3]FORMULACION PRESUPUESTO 2024'!M19</f>
        <v>7449479</v>
      </c>
      <c r="N39" s="136">
        <f>+'[3]FORMULACION PRESUPUESTO 2024'!N19</f>
        <v>1894273</v>
      </c>
      <c r="O39" s="136">
        <f>+'[3]FORMULACION PRESUPUESTO 2024'!O19</f>
        <v>5005082</v>
      </c>
      <c r="P39" s="136">
        <f>+'[3]FORMULACION PRESUPUESTO 2024'!P19</f>
        <v>4090648</v>
      </c>
      <c r="Q39" s="136">
        <f>+'[3]FORMULACION PRESUPUESTO 2024'!Q19</f>
        <v>1045201</v>
      </c>
      <c r="R39" s="136">
        <f>+'[3]FORMULACION PRESUPUESTO 2024'!R19</f>
        <v>3960065</v>
      </c>
      <c r="S39" s="136">
        <f>+'[3]FORMULACION PRESUPUESTO 2024'!S19</f>
        <v>545983</v>
      </c>
      <c r="T39" s="136">
        <f>+'[3]FORMULACION PRESUPUESTO 2024'!T19</f>
        <v>1855551</v>
      </c>
      <c r="U39" s="136">
        <f>+'[3]FORMULACION PRESUPUESTO 2024'!U19</f>
        <v>1017198</v>
      </c>
      <c r="V39" s="136">
        <f>+'[3]FORMULACION PRESUPUESTO 2024'!V19</f>
        <v>2673341</v>
      </c>
      <c r="W39" s="136">
        <f>+'[3]FORMULACION PRESUPUESTO 2024'!W19</f>
        <v>587755</v>
      </c>
      <c r="X39" s="136">
        <f>+'[3]FORMULACION PRESUPUESTO 2024'!X19</f>
        <v>3707744</v>
      </c>
      <c r="Y39" s="136">
        <f t="shared" si="33"/>
        <v>26997400</v>
      </c>
      <c r="Z39" s="136">
        <f>+'[3]FORMULACION PRESUPUESTO 2024'!Z19</f>
        <v>4453778</v>
      </c>
      <c r="AA39" s="136">
        <f>+'[3]FORMULACION PRESUPUESTO 2024'!AA19</f>
        <v>3477976</v>
      </c>
      <c r="AB39" s="136">
        <f>+'[3]FORMULACION PRESUPUESTO 2024'!AB19</f>
        <v>7990779</v>
      </c>
      <c r="AC39" s="136">
        <f>+'[3]FORMULACION PRESUPUESTO 2024'!AC19</f>
        <v>7912963</v>
      </c>
      <c r="AD39" s="136">
        <f>+'[3]FORMULACION PRESUPUESTO 2024'!AD19</f>
        <v>3161904</v>
      </c>
      <c r="AE39" s="136">
        <f t="shared" si="34"/>
        <v>26855748</v>
      </c>
      <c r="AF39" s="136">
        <f>+'[3]FORMULACION PRESUPUESTO 2024'!AF19</f>
        <v>1773621</v>
      </c>
      <c r="AG39" s="136">
        <f>+'[3]FORMULACION PRESUPUESTO 2024'!AG19</f>
        <v>13417853</v>
      </c>
      <c r="AH39" s="136">
        <f>+'[3]FORMULACION PRESUPUESTO 2024'!AH19</f>
        <v>5095368</v>
      </c>
      <c r="AI39" s="136">
        <f>+'[3]FORMULACION PRESUPUESTO 2024'!AI19</f>
        <v>6568906</v>
      </c>
      <c r="AJ39" s="137">
        <f t="shared" si="35"/>
        <v>31982454</v>
      </c>
      <c r="AK39" s="136">
        <f>+'[3]FORMULACION PRESUPUESTO 2024'!AK19</f>
        <v>31433623</v>
      </c>
      <c r="AL39" s="136">
        <f t="shared" si="36"/>
        <v>548831</v>
      </c>
      <c r="AM39" s="135">
        <f>+'[3]FORMULACION PRESUPUESTO 2024'!AM19</f>
        <v>130252</v>
      </c>
      <c r="AN39" s="136">
        <f>+'[3]FORMULACION PRESUPUESTO 2024'!AN19</f>
        <v>159115</v>
      </c>
      <c r="AO39" s="136">
        <f>+'[3]FORMULACION PRESUPUESTO 2024'!AO19</f>
        <v>259464</v>
      </c>
    </row>
    <row r="40" spans="1:41" s="138" customFormat="1" ht="26.4" x14ac:dyDescent="0.25">
      <c r="A40" s="143" t="s">
        <v>87</v>
      </c>
      <c r="B40" s="134" t="s">
        <v>88</v>
      </c>
      <c r="C40" s="135">
        <f t="shared" si="31"/>
        <v>14596183</v>
      </c>
      <c r="D40" s="136">
        <f t="shared" si="32"/>
        <v>6012616</v>
      </c>
      <c r="E40" s="135">
        <v>0</v>
      </c>
      <c r="F40" s="136">
        <f>+'[3]FORMULACION PRESUPUESTO 2024'!F20</f>
        <v>609181</v>
      </c>
      <c r="G40" s="136">
        <f>+'[3]FORMULACION PRESUPUESTO 2024'!G20</f>
        <v>545072</v>
      </c>
      <c r="H40" s="136">
        <f>+'[3]FORMULACION PRESUPUESTO 2024'!H20</f>
        <v>311650</v>
      </c>
      <c r="I40" s="136">
        <f>+'[3]FORMULACION PRESUPUESTO 2024'!I20</f>
        <v>506368</v>
      </c>
      <c r="J40" s="136">
        <f>+'[3]FORMULACION PRESUPUESTO 2024'!J20</f>
        <v>74783</v>
      </c>
      <c r="K40" s="136">
        <f>+'[3]FORMULACION PRESUPUESTO 2024'!K20</f>
        <v>157981</v>
      </c>
      <c r="L40" s="136">
        <f>+'[3]FORMULACION PRESUPUESTO 2024'!L20</f>
        <v>424342</v>
      </c>
      <c r="M40" s="136">
        <f>+'[3]FORMULACION PRESUPUESTO 2024'!M20</f>
        <v>744948</v>
      </c>
      <c r="N40" s="136">
        <f>+'[3]FORMULACION PRESUPUESTO 2024'!N20</f>
        <v>189428</v>
      </c>
      <c r="O40" s="136">
        <f>+'[3]FORMULACION PRESUPUESTO 2024'!O20</f>
        <v>500509</v>
      </c>
      <c r="P40" s="136">
        <f>+'[3]FORMULACION PRESUPUESTO 2024'!P20</f>
        <v>409065</v>
      </c>
      <c r="Q40" s="136">
        <f>+'[3]FORMULACION PRESUPUESTO 2024'!Q20</f>
        <v>104521</v>
      </c>
      <c r="R40" s="136">
        <f>+'[3]FORMULACION PRESUPUESTO 2024'!R20</f>
        <v>396007</v>
      </c>
      <c r="S40" s="136">
        <f>+'[3]FORMULACION PRESUPUESTO 2024'!S20</f>
        <v>54599</v>
      </c>
      <c r="T40" s="136">
        <f>+'[3]FORMULACION PRESUPUESTO 2024'!T20</f>
        <v>185556</v>
      </c>
      <c r="U40" s="136">
        <f>+'[3]FORMULACION PRESUPUESTO 2024'!U20</f>
        <v>101720</v>
      </c>
      <c r="V40" s="136">
        <f>+'[3]FORMULACION PRESUPUESTO 2024'!V20</f>
        <v>267335</v>
      </c>
      <c r="W40" s="136">
        <f>+'[3]FORMULACION PRESUPUESTO 2024'!W20</f>
        <v>58776</v>
      </c>
      <c r="X40" s="136">
        <f>+'[3]FORMULACION PRESUPUESTO 2024'!X20</f>
        <v>370775</v>
      </c>
      <c r="Y40" s="136">
        <f t="shared" si="33"/>
        <v>2699742</v>
      </c>
      <c r="Z40" s="136">
        <f>+'[3]FORMULACION PRESUPUESTO 2024'!Z20</f>
        <v>445378</v>
      </c>
      <c r="AA40" s="136">
        <f>+'[3]FORMULACION PRESUPUESTO 2024'!AA20</f>
        <v>347798</v>
      </c>
      <c r="AB40" s="136">
        <f>+'[3]FORMULACION PRESUPUESTO 2024'!AB20</f>
        <v>799078</v>
      </c>
      <c r="AC40" s="136">
        <f>+'[3]FORMULACION PRESUPUESTO 2024'!AC20</f>
        <v>791297</v>
      </c>
      <c r="AD40" s="136">
        <f>+'[3]FORMULACION PRESUPUESTO 2024'!AD20</f>
        <v>316191</v>
      </c>
      <c r="AE40" s="136">
        <f t="shared" si="34"/>
        <v>2685577</v>
      </c>
      <c r="AF40" s="136">
        <f>+'[3]FORMULACION PRESUPUESTO 2024'!AF20</f>
        <v>177363</v>
      </c>
      <c r="AG40" s="136">
        <f>+'[3]FORMULACION PRESUPUESTO 2024'!AG20</f>
        <v>1341786</v>
      </c>
      <c r="AH40" s="136">
        <f>+'[3]FORMULACION PRESUPUESTO 2024'!AH20</f>
        <v>509537</v>
      </c>
      <c r="AI40" s="136">
        <f>+'[3]FORMULACION PRESUPUESTO 2024'!AI20</f>
        <v>656891</v>
      </c>
      <c r="AJ40" s="137">
        <f t="shared" si="35"/>
        <v>3198248</v>
      </c>
      <c r="AK40" s="136">
        <f>+'[3]FORMULACION PRESUPUESTO 2024'!AK20</f>
        <v>3143363</v>
      </c>
      <c r="AL40" s="136">
        <f t="shared" si="36"/>
        <v>54885</v>
      </c>
      <c r="AM40" s="135">
        <f>+'[3]FORMULACION PRESUPUESTO 2024'!AM20</f>
        <v>13026</v>
      </c>
      <c r="AN40" s="136">
        <f>+'[3]FORMULACION PRESUPUESTO 2024'!AN20</f>
        <v>15912</v>
      </c>
      <c r="AO40" s="136">
        <f>+'[3]FORMULACION PRESUPUESTO 2024'!AO20</f>
        <v>25947</v>
      </c>
    </row>
    <row r="41" spans="1:41" s="138" customFormat="1" x14ac:dyDescent="0.25">
      <c r="A41" s="143"/>
      <c r="B41" s="144"/>
      <c r="C41" s="135"/>
      <c r="D41" s="136"/>
      <c r="E41" s="135"/>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7"/>
      <c r="AK41" s="136"/>
      <c r="AL41" s="136"/>
      <c r="AM41" s="135"/>
      <c r="AN41" s="136"/>
      <c r="AO41" s="136"/>
    </row>
    <row r="42" spans="1:41" s="138" customFormat="1" ht="26.4" x14ac:dyDescent="0.25">
      <c r="A42" s="148" t="s">
        <v>89</v>
      </c>
      <c r="B42" s="139" t="s">
        <v>90</v>
      </c>
      <c r="C42" s="140">
        <f>SUM(C43:C46)</f>
        <v>404770308</v>
      </c>
      <c r="D42" s="141">
        <f t="shared" ref="D42:AO42" si="37">SUM(D43:D46)</f>
        <v>166045615</v>
      </c>
      <c r="E42" s="140">
        <f t="shared" si="37"/>
        <v>0</v>
      </c>
      <c r="F42" s="141">
        <f t="shared" si="37"/>
        <v>16959593</v>
      </c>
      <c r="G42" s="141">
        <f t="shared" si="37"/>
        <v>15174804</v>
      </c>
      <c r="H42" s="141">
        <f t="shared" si="37"/>
        <v>8676316</v>
      </c>
      <c r="I42" s="141">
        <f t="shared" si="37"/>
        <v>14064711</v>
      </c>
      <c r="J42" s="141">
        <f t="shared" si="37"/>
        <v>2081935</v>
      </c>
      <c r="K42" s="141">
        <f t="shared" si="37"/>
        <v>4398181</v>
      </c>
      <c r="L42" s="141">
        <f t="shared" si="37"/>
        <v>11813660</v>
      </c>
      <c r="M42" s="141">
        <f t="shared" si="37"/>
        <v>20739349</v>
      </c>
      <c r="N42" s="141">
        <f t="shared" si="37"/>
        <v>5273657</v>
      </c>
      <c r="O42" s="141">
        <f t="shared" si="37"/>
        <v>13656208</v>
      </c>
      <c r="P42" s="141">
        <f t="shared" si="37"/>
        <v>10353533</v>
      </c>
      <c r="Q42" s="141">
        <f t="shared" si="37"/>
        <v>2909841</v>
      </c>
      <c r="R42" s="141">
        <f t="shared" si="37"/>
        <v>11024822</v>
      </c>
      <c r="S42" s="141">
        <f t="shared" si="37"/>
        <v>1520018</v>
      </c>
      <c r="T42" s="141">
        <f t="shared" si="37"/>
        <v>5165855</v>
      </c>
      <c r="U42" s="141">
        <f t="shared" si="37"/>
        <v>2831879</v>
      </c>
      <c r="V42" s="141">
        <f t="shared" si="37"/>
        <v>7442582</v>
      </c>
      <c r="W42" s="141">
        <f t="shared" si="37"/>
        <v>1636311</v>
      </c>
      <c r="X42" s="141">
        <f t="shared" si="37"/>
        <v>10322360</v>
      </c>
      <c r="Y42" s="141">
        <f t="shared" si="37"/>
        <v>75076003</v>
      </c>
      <c r="Z42" s="141">
        <f t="shared" si="37"/>
        <v>12399318</v>
      </c>
      <c r="AA42" s="141">
        <f t="shared" si="37"/>
        <v>9682686</v>
      </c>
      <c r="AB42" s="141">
        <f t="shared" si="37"/>
        <v>22161570</v>
      </c>
      <c r="AC42" s="141">
        <f t="shared" si="37"/>
        <v>22029689</v>
      </c>
      <c r="AD42" s="141">
        <f t="shared" si="37"/>
        <v>8802740</v>
      </c>
      <c r="AE42" s="141">
        <f t="shared" si="37"/>
        <v>74755186</v>
      </c>
      <c r="AF42" s="141">
        <f t="shared" si="37"/>
        <v>4937762</v>
      </c>
      <c r="AG42" s="141">
        <f t="shared" si="37"/>
        <v>37355304</v>
      </c>
      <c r="AH42" s="141">
        <f t="shared" si="37"/>
        <v>14185505</v>
      </c>
      <c r="AI42" s="141">
        <f t="shared" si="37"/>
        <v>18276615</v>
      </c>
      <c r="AJ42" s="142">
        <f t="shared" si="37"/>
        <v>88893504</v>
      </c>
      <c r="AK42" s="141">
        <f t="shared" si="37"/>
        <v>87365559</v>
      </c>
      <c r="AL42" s="141">
        <f t="shared" si="37"/>
        <v>1527945</v>
      </c>
      <c r="AM42" s="140">
        <f t="shared" si="37"/>
        <v>362623</v>
      </c>
      <c r="AN42" s="141">
        <f t="shared" si="37"/>
        <v>442976</v>
      </c>
      <c r="AO42" s="141">
        <f t="shared" si="37"/>
        <v>722346</v>
      </c>
    </row>
    <row r="43" spans="1:41" s="138" customFormat="1" ht="26.4" x14ac:dyDescent="0.25">
      <c r="A43" s="147" t="s">
        <v>91</v>
      </c>
      <c r="B43" s="134" t="s">
        <v>92</v>
      </c>
      <c r="C43" s="135">
        <f t="shared" ref="C43:C46" si="38">D43+Y43+AE43+AJ43</f>
        <v>158152799</v>
      </c>
      <c r="D43" s="136">
        <f t="shared" ref="D43:D46" si="39">SUM(E43:X43)</f>
        <v>65107008</v>
      </c>
      <c r="E43" s="135">
        <v>0</v>
      </c>
      <c r="F43" s="136">
        <f>+'[3]FORMULACION PRESUPUESTO 2024'!F21</f>
        <v>6603519</v>
      </c>
      <c r="G43" s="136">
        <f>+'[3]FORMULACION PRESUPUESTO 2024'!G21</f>
        <v>5908580</v>
      </c>
      <c r="H43" s="136">
        <f>+'[3]FORMULACION PRESUPUESTO 2024'!H21</f>
        <v>3378278</v>
      </c>
      <c r="I43" s="136">
        <f>+'[3]FORMULACION PRESUPUESTO 2024'!I21</f>
        <v>5489023</v>
      </c>
      <c r="J43" s="136">
        <f>+'[3]FORMULACION PRESUPUESTO 2024'!J21</f>
        <v>810638</v>
      </c>
      <c r="K43" s="136">
        <f>+'[3]FORMULACION PRESUPUESTO 2024'!K21</f>
        <v>1712510</v>
      </c>
      <c r="L43" s="136">
        <f>+'[3]FORMULACION PRESUPUESTO 2024'!L21</f>
        <v>4599859</v>
      </c>
      <c r="M43" s="136">
        <f>+'[3]FORMULACION PRESUPUESTO 2024'!M21</f>
        <v>8075235</v>
      </c>
      <c r="N43" s="136">
        <f>+'[3]FORMULACION PRESUPUESTO 2024'!N21</f>
        <v>2053392</v>
      </c>
      <c r="O43" s="136">
        <f>+'[3]FORMULACION PRESUPUESTO 2024'!O21</f>
        <v>5425508</v>
      </c>
      <c r="P43" s="136">
        <f>+'[3]FORMULACION PRESUPUESTO 2024'!P21</f>
        <v>4364630</v>
      </c>
      <c r="Q43" s="136">
        <f>+'[3]FORMULACION PRESUPUESTO 2024'!Q21</f>
        <v>1132998</v>
      </c>
      <c r="R43" s="136">
        <f>+'[3]FORMULACION PRESUPUESTO 2024'!R21</f>
        <v>4292711</v>
      </c>
      <c r="S43" s="136">
        <f>+'[3]FORMULACION PRESUPUESTO 2024'!S21</f>
        <v>591846</v>
      </c>
      <c r="T43" s="136">
        <f>+'[3]FORMULACION PRESUPUESTO 2024'!T21</f>
        <v>2011417</v>
      </c>
      <c r="U43" s="136">
        <f>+'[3]FORMULACION PRESUPUESTO 2024'!U21</f>
        <v>1102642</v>
      </c>
      <c r="V43" s="136">
        <f>+'[3]FORMULACION PRESUPUESTO 2024'!V21</f>
        <v>2897901</v>
      </c>
      <c r="W43" s="136">
        <f>+'[3]FORMULACION PRESUPUESTO 2024'!W21</f>
        <v>637127</v>
      </c>
      <c r="X43" s="136">
        <f>+'[3]FORMULACION PRESUPUESTO 2024'!X21</f>
        <v>4019194</v>
      </c>
      <c r="Y43" s="136">
        <f>+'[3]FORMULACION PRESUPUESTO 2024'!Y21</f>
        <v>29265181</v>
      </c>
      <c r="Z43" s="136">
        <f>+'[3]FORMULACION PRESUPUESTO 2024'!Z21</f>
        <v>4827895</v>
      </c>
      <c r="AA43" s="136">
        <f>+'[3]FORMULACION PRESUPUESTO 2024'!AA21</f>
        <v>3770126</v>
      </c>
      <c r="AB43" s="136">
        <f>+'[3]FORMULACION PRESUPUESTO 2024'!AB21</f>
        <v>8662004</v>
      </c>
      <c r="AC43" s="136">
        <f>+'[3]FORMULACION PRESUPUESTO 2024'!AC21</f>
        <v>8577652</v>
      </c>
      <c r="AD43" s="136">
        <f>+'[3]FORMULACION PRESUPUESTO 2024'!AD21</f>
        <v>3427504</v>
      </c>
      <c r="AE43" s="136">
        <f t="shared" ref="AE43:AE46" si="40">SUM(AF43:AI43)</f>
        <v>29111631</v>
      </c>
      <c r="AF43" s="136">
        <f>+'[3]FORMULACION PRESUPUESTO 2024'!AF21</f>
        <v>1922605</v>
      </c>
      <c r="AG43" s="136">
        <f>+'[3]FORMULACION PRESUPUESTO 2024'!AG21</f>
        <v>14544953</v>
      </c>
      <c r="AH43" s="136">
        <f>+'[3]FORMULACION PRESUPUESTO 2024'!AH21</f>
        <v>5523379</v>
      </c>
      <c r="AI43" s="136">
        <f>+'[3]FORMULACION PRESUPUESTO 2024'!AI21</f>
        <v>7120694</v>
      </c>
      <c r="AJ43" s="137">
        <f t="shared" ref="AJ43:AJ46" si="41">SUM(AK43+AL43)</f>
        <v>34668979</v>
      </c>
      <c r="AK43" s="136">
        <f>+'[3]FORMULACION PRESUPUESTO 2024'!AK21</f>
        <v>34074048</v>
      </c>
      <c r="AL43" s="136">
        <f t="shared" ref="AL43:AL46" si="42">SUM(AM43:AO43)</f>
        <v>594931</v>
      </c>
      <c r="AM43" s="135">
        <f>+'[3]FORMULACION PRESUPUESTO 2024'!AM21</f>
        <v>141193</v>
      </c>
      <c r="AN43" s="136">
        <f>+'[3]FORMULACION PRESUPUESTO 2024'!AN21</f>
        <v>172480</v>
      </c>
      <c r="AO43" s="136">
        <f>+'[3]FORMULACION PRESUPUESTO 2024'!AO21</f>
        <v>281258</v>
      </c>
    </row>
    <row r="44" spans="1:41" s="138" customFormat="1" ht="26.4" x14ac:dyDescent="0.25">
      <c r="A44" s="147" t="s">
        <v>93</v>
      </c>
      <c r="B44" s="134" t="s">
        <v>94</v>
      </c>
      <c r="C44" s="135">
        <f t="shared" si="38"/>
        <v>87576999</v>
      </c>
      <c r="D44" s="136">
        <f t="shared" si="39"/>
        <v>36075636</v>
      </c>
      <c r="E44" s="135">
        <v>0</v>
      </c>
      <c r="F44" s="136">
        <f>+'[3]FORMULACION PRESUPUESTO 2024'!F22</f>
        <v>3655085</v>
      </c>
      <c r="G44" s="136">
        <f>+'[3]FORMULACION PRESUPUESTO 2024'!G22</f>
        <v>3270432</v>
      </c>
      <c r="H44" s="136">
        <f>+'[3]FORMULACION PRESUPUESTO 2024'!H22</f>
        <v>1869896</v>
      </c>
      <c r="I44" s="136">
        <f>+'[3]FORMULACION PRESUPUESTO 2024'!I22</f>
        <v>3038205</v>
      </c>
      <c r="J44" s="136">
        <f>+'[3]FORMULACION PRESUPUESTO 2024'!J22</f>
        <v>448693</v>
      </c>
      <c r="K44" s="136">
        <f>+'[3]FORMULACION PRESUPUESTO 2024'!K22</f>
        <v>947884</v>
      </c>
      <c r="L44" s="136">
        <f>+'[3]FORMULACION PRESUPUESTO 2024'!L22</f>
        <v>2546047</v>
      </c>
      <c r="M44" s="136">
        <f>+'[3]FORMULACION PRESUPUESTO 2024'!M22</f>
        <v>4469687</v>
      </c>
      <c r="N44" s="136">
        <f>+'[3]FORMULACION PRESUPUESTO 2024'!N22</f>
        <v>1136564</v>
      </c>
      <c r="O44" s="136">
        <f>+'[3]FORMULACION PRESUPUESTO 2024'!O22</f>
        <v>3003049</v>
      </c>
      <c r="P44" s="136">
        <f>+'[3]FORMULACION PRESUPUESTO 2024'!P22</f>
        <v>2454389</v>
      </c>
      <c r="Q44" s="136">
        <f>+'[3]FORMULACION PRESUPUESTO 2024'!Q22</f>
        <v>627121</v>
      </c>
      <c r="R44" s="136">
        <f>+'[3]FORMULACION PRESUPUESTO 2024'!R22</f>
        <v>2376039</v>
      </c>
      <c r="S44" s="136">
        <f>+'[3]FORMULACION PRESUPUESTO 2024'!S22</f>
        <v>327590</v>
      </c>
      <c r="T44" s="136">
        <f>+'[3]FORMULACION PRESUPUESTO 2024'!T22</f>
        <v>1113331</v>
      </c>
      <c r="U44" s="136">
        <f>+'[3]FORMULACION PRESUPUESTO 2024'!U22</f>
        <v>610319</v>
      </c>
      <c r="V44" s="136">
        <f>+'[3]FORMULACION PRESUPUESTO 2024'!V22</f>
        <v>1604005</v>
      </c>
      <c r="W44" s="136">
        <f>+'[3]FORMULACION PRESUPUESTO 2024'!W22</f>
        <v>352653</v>
      </c>
      <c r="X44" s="136">
        <f>+'[3]FORMULACION PRESUPUESTO 2024'!X22</f>
        <v>2224647</v>
      </c>
      <c r="Y44" s="136">
        <f>+'[3]FORMULACION PRESUPUESTO 2024'!Y22</f>
        <v>16198440</v>
      </c>
      <c r="Z44" s="136">
        <f>+'[3]FORMULACION PRESUPUESTO 2024'!Z22</f>
        <v>2672267</v>
      </c>
      <c r="AA44" s="136">
        <f>+'[3]FORMULACION PRESUPUESTO 2024'!AA22</f>
        <v>2086786</v>
      </c>
      <c r="AB44" s="136">
        <f>+'[3]FORMULACION PRESUPUESTO 2024'!AB22</f>
        <v>4794467</v>
      </c>
      <c r="AC44" s="136">
        <f>+'[3]FORMULACION PRESUPUESTO 2024'!AC22</f>
        <v>4747778</v>
      </c>
      <c r="AD44" s="136">
        <f>+'[3]FORMULACION PRESUPUESTO 2024'!AD22</f>
        <v>1897142</v>
      </c>
      <c r="AE44" s="136">
        <f t="shared" si="40"/>
        <v>16113450</v>
      </c>
      <c r="AF44" s="136">
        <f>+'[3]FORMULACION PRESUPUESTO 2024'!AF22</f>
        <v>1064173</v>
      </c>
      <c r="AG44" s="136">
        <f>+'[3]FORMULACION PRESUPUESTO 2024'!AG22</f>
        <v>8050712</v>
      </c>
      <c r="AH44" s="136">
        <f>+'[3]FORMULACION PRESUPUESTO 2024'!AH22</f>
        <v>3057221</v>
      </c>
      <c r="AI44" s="136">
        <f>+'[3]FORMULACION PRESUPUESTO 2024'!AI22</f>
        <v>3941344</v>
      </c>
      <c r="AJ44" s="137">
        <f t="shared" si="41"/>
        <v>19189473</v>
      </c>
      <c r="AK44" s="136">
        <f>+'[3]FORMULACION PRESUPUESTO 2024'!AK22</f>
        <v>18860174</v>
      </c>
      <c r="AL44" s="136">
        <f t="shared" si="42"/>
        <v>329299</v>
      </c>
      <c r="AM44" s="135">
        <f>+'[3]FORMULACION PRESUPUESTO 2024'!AM22</f>
        <v>78152</v>
      </c>
      <c r="AN44" s="136">
        <f>+'[3]FORMULACION PRESUPUESTO 2024'!AN22</f>
        <v>95469</v>
      </c>
      <c r="AO44" s="136">
        <f>+'[3]FORMULACION PRESUPUESTO 2024'!AO22</f>
        <v>155678</v>
      </c>
    </row>
    <row r="45" spans="1:41" s="138" customFormat="1" x14ac:dyDescent="0.25">
      <c r="A45" s="147" t="s">
        <v>95</v>
      </c>
      <c r="B45" s="134" t="s">
        <v>96</v>
      </c>
      <c r="C45" s="135">
        <f t="shared" si="38"/>
        <v>43788509</v>
      </c>
      <c r="D45" s="136">
        <f t="shared" si="39"/>
        <v>18037825</v>
      </c>
      <c r="E45" s="135">
        <v>0</v>
      </c>
      <c r="F45" s="136">
        <f>+'[3]FORMULACION PRESUPUESTO 2024'!F23</f>
        <v>1827543</v>
      </c>
      <c r="G45" s="136">
        <f>+'[3]FORMULACION PRESUPUESTO 2024'!G23</f>
        <v>1635216</v>
      </c>
      <c r="H45" s="136">
        <f>+'[3]FORMULACION PRESUPUESTO 2024'!H23</f>
        <v>934948</v>
      </c>
      <c r="I45" s="136">
        <f>+'[3]FORMULACION PRESUPUESTO 2024'!I23</f>
        <v>1519103</v>
      </c>
      <c r="J45" s="136">
        <f>+'[3]FORMULACION PRESUPUESTO 2024'!J23</f>
        <v>224347</v>
      </c>
      <c r="K45" s="136">
        <f>+'[3]FORMULACION PRESUPUESTO 2024'!K23</f>
        <v>473942</v>
      </c>
      <c r="L45" s="136">
        <f>+'[3]FORMULACION PRESUPUESTO 2024'!L23</f>
        <v>1273024</v>
      </c>
      <c r="M45" s="136">
        <f>+'[3]FORMULACION PRESUPUESTO 2024'!M23</f>
        <v>2234844</v>
      </c>
      <c r="N45" s="136">
        <f>+'[3]FORMULACION PRESUPUESTO 2024'!N23</f>
        <v>568282</v>
      </c>
      <c r="O45" s="136">
        <f>+'[3]FORMULACION PRESUPUESTO 2024'!O23</f>
        <v>1501525</v>
      </c>
      <c r="P45" s="136">
        <f>+'[3]FORMULACION PRESUPUESTO 2024'!P23</f>
        <v>1227195</v>
      </c>
      <c r="Q45" s="136">
        <f>+'[3]FORMULACION PRESUPUESTO 2024'!Q23</f>
        <v>313561</v>
      </c>
      <c r="R45" s="136">
        <f>+'[3]FORMULACION PRESUPUESTO 2024'!R23</f>
        <v>1188020</v>
      </c>
      <c r="S45" s="136">
        <f>+'[3]FORMULACION PRESUPUESTO 2024'!S23</f>
        <v>163795</v>
      </c>
      <c r="T45" s="136">
        <f>+'[3]FORMULACION PRESUPUESTO 2024'!T23</f>
        <v>556666</v>
      </c>
      <c r="U45" s="136">
        <f>+'[3]FORMULACION PRESUPUESTO 2024'!U23</f>
        <v>305160</v>
      </c>
      <c r="V45" s="136">
        <f>+'[3]FORMULACION PRESUPUESTO 2024'!V23</f>
        <v>802003</v>
      </c>
      <c r="W45" s="136">
        <f>+'[3]FORMULACION PRESUPUESTO 2024'!W23</f>
        <v>176327</v>
      </c>
      <c r="X45" s="136">
        <f>+'[3]FORMULACION PRESUPUESTO 2024'!X23</f>
        <v>1112324</v>
      </c>
      <c r="Y45" s="136">
        <f>+'[3]FORMULACION PRESUPUESTO 2024'!Y23</f>
        <v>8099221</v>
      </c>
      <c r="Z45" s="136">
        <f>+'[3]FORMULACION PRESUPUESTO 2024'!Z23</f>
        <v>1336134</v>
      </c>
      <c r="AA45" s="136">
        <f>+'[3]FORMULACION PRESUPUESTO 2024'!AA23</f>
        <v>1043393</v>
      </c>
      <c r="AB45" s="136">
        <f>+'[3]FORMULACION PRESUPUESTO 2024'!AB23</f>
        <v>2397234</v>
      </c>
      <c r="AC45" s="136">
        <f>+'[3]FORMULACION PRESUPUESTO 2024'!AC23</f>
        <v>2373889</v>
      </c>
      <c r="AD45" s="136">
        <f>+'[3]FORMULACION PRESUPUESTO 2024'!AD23</f>
        <v>948571</v>
      </c>
      <c r="AE45" s="136">
        <f t="shared" si="40"/>
        <v>8056726</v>
      </c>
      <c r="AF45" s="136">
        <f>+'[3]FORMULACION PRESUPUESTO 2024'!AF23</f>
        <v>532087</v>
      </c>
      <c r="AG45" s="136">
        <f>+'[3]FORMULACION PRESUPUESTO 2024'!AG23</f>
        <v>4025356</v>
      </c>
      <c r="AH45" s="136">
        <f>+'[3]FORMULACION PRESUPUESTO 2024'!AH23</f>
        <v>1528611</v>
      </c>
      <c r="AI45" s="136">
        <f>+'[3]FORMULACION PRESUPUESTO 2024'!AI23</f>
        <v>1970672</v>
      </c>
      <c r="AJ45" s="137">
        <f t="shared" si="41"/>
        <v>9594737</v>
      </c>
      <c r="AK45" s="136">
        <f>+'[3]FORMULACION PRESUPUESTO 2024'!AK23</f>
        <v>9430087</v>
      </c>
      <c r="AL45" s="136">
        <f t="shared" si="42"/>
        <v>164650</v>
      </c>
      <c r="AM45" s="135">
        <f>+'[3]FORMULACION PRESUPUESTO 2024'!AM23</f>
        <v>39076</v>
      </c>
      <c r="AN45" s="136">
        <f>+'[3]FORMULACION PRESUPUESTO 2024'!AN23</f>
        <v>47735</v>
      </c>
      <c r="AO45" s="136">
        <f>+'[3]FORMULACION PRESUPUESTO 2024'!AO23</f>
        <v>77839</v>
      </c>
    </row>
    <row r="46" spans="1:41" s="138" customFormat="1" ht="26.4" x14ac:dyDescent="0.25">
      <c r="A46" s="147" t="s">
        <v>97</v>
      </c>
      <c r="B46" s="134" t="s">
        <v>98</v>
      </c>
      <c r="C46" s="135">
        <f t="shared" si="38"/>
        <v>115252001</v>
      </c>
      <c r="D46" s="136">
        <f t="shared" si="39"/>
        <v>46825146</v>
      </c>
      <c r="E46" s="135">
        <v>0</v>
      </c>
      <c r="F46" s="136">
        <f>+'[3]FORMULACION PRESUPUESTO 2024'!F24</f>
        <v>4873446</v>
      </c>
      <c r="G46" s="136">
        <f>+'[3]FORMULACION PRESUPUESTO 2024'!G24</f>
        <v>4360576</v>
      </c>
      <c r="H46" s="136">
        <f>+'[3]FORMULACION PRESUPUESTO 2024'!H24</f>
        <v>2493194</v>
      </c>
      <c r="I46" s="136">
        <f>+'[3]FORMULACION PRESUPUESTO 2024'!I24</f>
        <v>4018380</v>
      </c>
      <c r="J46" s="136">
        <f>+'[3]FORMULACION PRESUPUESTO 2024'!J24</f>
        <v>598257</v>
      </c>
      <c r="K46" s="136">
        <f>+'[3]FORMULACION PRESUPUESTO 2024'!K24</f>
        <v>1263845</v>
      </c>
      <c r="L46" s="136">
        <f>+'[3]FORMULACION PRESUPUESTO 2024'!L24</f>
        <v>3394730</v>
      </c>
      <c r="M46" s="136">
        <f>+'[3]FORMULACION PRESUPUESTO 2024'!M24</f>
        <v>5959583</v>
      </c>
      <c r="N46" s="136">
        <f>+'[3]FORMULACION PRESUPUESTO 2024'!N24</f>
        <v>1515419</v>
      </c>
      <c r="O46" s="136">
        <f>+'[3]FORMULACION PRESUPUESTO 2024'!O24</f>
        <v>3726126</v>
      </c>
      <c r="P46" s="136">
        <f>+'[3]FORMULACION PRESUPUESTO 2024'!P24</f>
        <v>2307319</v>
      </c>
      <c r="Q46" s="136">
        <f>+'[3]FORMULACION PRESUPUESTO 2024'!Q24</f>
        <v>836161</v>
      </c>
      <c r="R46" s="136">
        <f>+'[3]FORMULACION PRESUPUESTO 2024'!R24</f>
        <v>3168052</v>
      </c>
      <c r="S46" s="136">
        <f>+'[3]FORMULACION PRESUPUESTO 2024'!S24</f>
        <v>436787</v>
      </c>
      <c r="T46" s="136">
        <f>+'[3]FORMULACION PRESUPUESTO 2024'!T24</f>
        <v>1484441</v>
      </c>
      <c r="U46" s="136">
        <f>+'[3]FORMULACION PRESUPUESTO 2024'!U24</f>
        <v>813758</v>
      </c>
      <c r="V46" s="136">
        <f>+'[3]FORMULACION PRESUPUESTO 2024'!V24</f>
        <v>2138673</v>
      </c>
      <c r="W46" s="136">
        <f>+'[3]FORMULACION PRESUPUESTO 2024'!W24</f>
        <v>470204</v>
      </c>
      <c r="X46" s="136">
        <f>+'[3]FORMULACION PRESUPUESTO 2024'!X24</f>
        <v>2966195</v>
      </c>
      <c r="Y46" s="136">
        <f>+'[3]FORMULACION PRESUPUESTO 2024'!Y24</f>
        <v>21513161</v>
      </c>
      <c r="Z46" s="136">
        <f>+'[3]FORMULACION PRESUPUESTO 2024'!Z24</f>
        <v>3563022</v>
      </c>
      <c r="AA46" s="136">
        <f>+'[3]FORMULACION PRESUPUESTO 2024'!AA24</f>
        <v>2782381</v>
      </c>
      <c r="AB46" s="136">
        <f>+'[3]FORMULACION PRESUPUESTO 2024'!AB24</f>
        <v>6307865</v>
      </c>
      <c r="AC46" s="136">
        <f>+'[3]FORMULACION PRESUPUESTO 2024'!AC24</f>
        <v>6330370</v>
      </c>
      <c r="AD46" s="136">
        <f>+'[3]FORMULACION PRESUPUESTO 2024'!AD24</f>
        <v>2529523</v>
      </c>
      <c r="AE46" s="136">
        <f t="shared" si="40"/>
        <v>21473379</v>
      </c>
      <c r="AF46" s="136">
        <f>+'[3]FORMULACION PRESUPUESTO 2024'!AF24</f>
        <v>1418897</v>
      </c>
      <c r="AG46" s="136">
        <f>+'[3]FORMULACION PRESUPUESTO 2024'!AG24</f>
        <v>10734283</v>
      </c>
      <c r="AH46" s="136">
        <f>+'[3]FORMULACION PRESUPUESTO 2024'!AH24</f>
        <v>4076294</v>
      </c>
      <c r="AI46" s="136">
        <f>+'[3]FORMULACION PRESUPUESTO 2024'!AI24</f>
        <v>5243905</v>
      </c>
      <c r="AJ46" s="137">
        <f t="shared" si="41"/>
        <v>25440315</v>
      </c>
      <c r="AK46" s="136">
        <f>+'[3]FORMULACION PRESUPUESTO 2024'!AK24</f>
        <v>25001250</v>
      </c>
      <c r="AL46" s="136">
        <f t="shared" si="42"/>
        <v>439065</v>
      </c>
      <c r="AM46" s="135">
        <f>+'[3]FORMULACION PRESUPUESTO 2024'!AM24</f>
        <v>104202</v>
      </c>
      <c r="AN46" s="136">
        <f>+'[3]FORMULACION PRESUPUESTO 2024'!AN24</f>
        <v>127292</v>
      </c>
      <c r="AO46" s="136">
        <f>+'[3]FORMULACION PRESUPUESTO 2024'!AO24</f>
        <v>207571</v>
      </c>
    </row>
    <row r="47" spans="1:41" s="138" customFormat="1" x14ac:dyDescent="0.25">
      <c r="A47" s="147"/>
      <c r="B47" s="134"/>
      <c r="C47" s="135"/>
      <c r="D47" s="136"/>
      <c r="E47" s="135"/>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7"/>
      <c r="AK47" s="136"/>
      <c r="AL47" s="136"/>
      <c r="AM47" s="135"/>
      <c r="AN47" s="136"/>
      <c r="AO47" s="136"/>
    </row>
    <row r="48" spans="1:41" s="138" customFormat="1" x14ac:dyDescent="0.25">
      <c r="A48" s="129">
        <v>1</v>
      </c>
      <c r="B48" s="130" t="s">
        <v>99</v>
      </c>
      <c r="C48" s="140">
        <f t="shared" ref="C48:AO48" si="43">C49+C56+C63+C73+C108+C112+C120+C124+C133+C136</f>
        <v>7986080559.0016489</v>
      </c>
      <c r="D48" s="141">
        <f t="shared" si="43"/>
        <v>1373689027</v>
      </c>
      <c r="E48" s="140">
        <f t="shared" si="43"/>
        <v>50000</v>
      </c>
      <c r="F48" s="141">
        <f t="shared" si="43"/>
        <v>5022606</v>
      </c>
      <c r="G48" s="141">
        <f t="shared" si="43"/>
        <v>15500000</v>
      </c>
      <c r="H48" s="141">
        <f t="shared" si="43"/>
        <v>5500000</v>
      </c>
      <c r="I48" s="141">
        <f t="shared" si="43"/>
        <v>161966483</v>
      </c>
      <c r="J48" s="141">
        <f t="shared" si="43"/>
        <v>0</v>
      </c>
      <c r="K48" s="141">
        <f t="shared" si="43"/>
        <v>5500000</v>
      </c>
      <c r="L48" s="141">
        <f t="shared" si="43"/>
        <v>25000000</v>
      </c>
      <c r="M48" s="141">
        <f t="shared" si="43"/>
        <v>6010000</v>
      </c>
      <c r="N48" s="141">
        <f t="shared" si="43"/>
        <v>20940069.000000004</v>
      </c>
      <c r="O48" s="141">
        <f t="shared" si="43"/>
        <v>607884103</v>
      </c>
      <c r="P48" s="141">
        <f t="shared" si="43"/>
        <v>76000000</v>
      </c>
      <c r="Q48" s="141">
        <f t="shared" si="43"/>
        <v>0</v>
      </c>
      <c r="R48" s="141">
        <f t="shared" si="43"/>
        <v>1750000</v>
      </c>
      <c r="S48" s="141">
        <f t="shared" si="43"/>
        <v>315300000</v>
      </c>
      <c r="T48" s="141">
        <f t="shared" si="43"/>
        <v>12100000</v>
      </c>
      <c r="U48" s="141">
        <f t="shared" si="43"/>
        <v>5495000</v>
      </c>
      <c r="V48" s="141">
        <f t="shared" si="43"/>
        <v>18120766</v>
      </c>
      <c r="W48" s="141">
        <f t="shared" si="43"/>
        <v>3000000</v>
      </c>
      <c r="X48" s="141">
        <f t="shared" si="43"/>
        <v>88550000</v>
      </c>
      <c r="Y48" s="141">
        <f t="shared" si="43"/>
        <v>1329730000</v>
      </c>
      <c r="Z48" s="141">
        <f t="shared" si="43"/>
        <v>8450000</v>
      </c>
      <c r="AA48" s="141">
        <f t="shared" si="43"/>
        <v>34777000</v>
      </c>
      <c r="AB48" s="141">
        <f t="shared" si="43"/>
        <v>1277903000</v>
      </c>
      <c r="AC48" s="141">
        <f t="shared" si="43"/>
        <v>7800000</v>
      </c>
      <c r="AD48" s="141">
        <f t="shared" si="43"/>
        <v>800000</v>
      </c>
      <c r="AE48" s="141">
        <f t="shared" si="43"/>
        <v>349920405</v>
      </c>
      <c r="AF48" s="141">
        <f t="shared" si="43"/>
        <v>25649247</v>
      </c>
      <c r="AG48" s="141">
        <f t="shared" si="43"/>
        <v>123085158</v>
      </c>
      <c r="AH48" s="141">
        <f t="shared" si="43"/>
        <v>24566000</v>
      </c>
      <c r="AI48" s="141">
        <f t="shared" si="43"/>
        <v>176620000</v>
      </c>
      <c r="AJ48" s="142">
        <f t="shared" si="43"/>
        <v>4932741127.0016489</v>
      </c>
      <c r="AK48" s="141">
        <f t="shared" si="43"/>
        <v>4932291127.0016489</v>
      </c>
      <c r="AL48" s="141">
        <f t="shared" si="43"/>
        <v>450000</v>
      </c>
      <c r="AM48" s="140">
        <f t="shared" si="43"/>
        <v>150000</v>
      </c>
      <c r="AN48" s="141">
        <f t="shared" si="43"/>
        <v>300000</v>
      </c>
      <c r="AO48" s="141">
        <f t="shared" si="43"/>
        <v>0</v>
      </c>
    </row>
    <row r="49" spans="1:41" s="138" customFormat="1" x14ac:dyDescent="0.25">
      <c r="A49" s="149" t="s">
        <v>100</v>
      </c>
      <c r="B49" s="139" t="s">
        <v>101</v>
      </c>
      <c r="C49" s="140">
        <f>SUM(C50:C54)</f>
        <v>15450880</v>
      </c>
      <c r="D49" s="141">
        <f t="shared" ref="D49:AO49" si="44">SUM(D50:D54)</f>
        <v>11588160</v>
      </c>
      <c r="E49" s="140">
        <f t="shared" si="44"/>
        <v>0</v>
      </c>
      <c r="F49" s="141">
        <f t="shared" si="44"/>
        <v>0</v>
      </c>
      <c r="G49" s="141">
        <f t="shared" si="44"/>
        <v>0</v>
      </c>
      <c r="H49" s="141">
        <f t="shared" si="44"/>
        <v>0</v>
      </c>
      <c r="I49" s="141">
        <f t="shared" si="44"/>
        <v>0</v>
      </c>
      <c r="J49" s="141">
        <f t="shared" si="44"/>
        <v>0</v>
      </c>
      <c r="K49" s="141">
        <f t="shared" si="44"/>
        <v>0</v>
      </c>
      <c r="L49" s="141">
        <f t="shared" si="44"/>
        <v>0</v>
      </c>
      <c r="M49" s="141">
        <f t="shared" si="44"/>
        <v>0</v>
      </c>
      <c r="N49" s="141">
        <f t="shared" si="44"/>
        <v>0</v>
      </c>
      <c r="O49" s="141">
        <f t="shared" si="44"/>
        <v>4958394</v>
      </c>
      <c r="P49" s="141">
        <f t="shared" si="44"/>
        <v>0</v>
      </c>
      <c r="Q49" s="141">
        <f t="shared" si="44"/>
        <v>0</v>
      </c>
      <c r="R49" s="141">
        <f t="shared" si="44"/>
        <v>0</v>
      </c>
      <c r="S49" s="141">
        <f t="shared" si="44"/>
        <v>0</v>
      </c>
      <c r="T49" s="141">
        <f t="shared" si="44"/>
        <v>0</v>
      </c>
      <c r="U49" s="141">
        <f t="shared" si="44"/>
        <v>0</v>
      </c>
      <c r="V49" s="141">
        <f t="shared" si="44"/>
        <v>6629766</v>
      </c>
      <c r="W49" s="141">
        <f t="shared" si="44"/>
        <v>0</v>
      </c>
      <c r="X49" s="141">
        <f t="shared" si="44"/>
        <v>0</v>
      </c>
      <c r="Y49" s="141">
        <f t="shared" si="44"/>
        <v>0</v>
      </c>
      <c r="Z49" s="141">
        <f t="shared" si="44"/>
        <v>0</v>
      </c>
      <c r="AA49" s="141">
        <f t="shared" si="44"/>
        <v>0</v>
      </c>
      <c r="AB49" s="141">
        <f t="shared" si="44"/>
        <v>0</v>
      </c>
      <c r="AC49" s="141">
        <f t="shared" si="44"/>
        <v>0</v>
      </c>
      <c r="AD49" s="141">
        <f t="shared" si="44"/>
        <v>0</v>
      </c>
      <c r="AE49" s="141">
        <f t="shared" si="44"/>
        <v>0</v>
      </c>
      <c r="AF49" s="141">
        <f t="shared" si="44"/>
        <v>0</v>
      </c>
      <c r="AG49" s="141">
        <f t="shared" si="44"/>
        <v>0</v>
      </c>
      <c r="AH49" s="141">
        <f t="shared" si="44"/>
        <v>0</v>
      </c>
      <c r="AI49" s="141">
        <f t="shared" si="44"/>
        <v>0</v>
      </c>
      <c r="AJ49" s="142">
        <f t="shared" si="44"/>
        <v>3862720</v>
      </c>
      <c r="AK49" s="141">
        <f t="shared" si="44"/>
        <v>3862720</v>
      </c>
      <c r="AL49" s="141">
        <f t="shared" si="44"/>
        <v>0</v>
      </c>
      <c r="AM49" s="140">
        <f t="shared" si="44"/>
        <v>0</v>
      </c>
      <c r="AN49" s="141">
        <f t="shared" si="44"/>
        <v>0</v>
      </c>
      <c r="AO49" s="141">
        <f t="shared" si="44"/>
        <v>0</v>
      </c>
    </row>
    <row r="50" spans="1:41" s="138" customFormat="1" x14ac:dyDescent="0.25">
      <c r="A50" s="150" t="s">
        <v>102</v>
      </c>
      <c r="B50" s="134" t="s">
        <v>103</v>
      </c>
      <c r="C50" s="135">
        <f t="shared" ref="C50:C54" si="45">D50+Y50+AE50+AJ50</f>
        <v>4161192</v>
      </c>
      <c r="D50" s="136">
        <f t="shared" ref="D50:D54" si="46">SUM(E50:X50)</f>
        <v>3120894</v>
      </c>
      <c r="E50" s="135">
        <v>0</v>
      </c>
      <c r="F50" s="136">
        <v>0</v>
      </c>
      <c r="G50" s="136">
        <v>0</v>
      </c>
      <c r="H50" s="136">
        <v>0</v>
      </c>
      <c r="I50" s="136">
        <v>0</v>
      </c>
      <c r="J50" s="136">
        <v>0</v>
      </c>
      <c r="K50" s="136">
        <v>0</v>
      </c>
      <c r="L50" s="136">
        <v>0</v>
      </c>
      <c r="M50" s="136">
        <v>0</v>
      </c>
      <c r="N50" s="136">
        <v>0</v>
      </c>
      <c r="O50" s="136">
        <f>4161192-'[1]Costeo SAP 2024'!O7</f>
        <v>3120894</v>
      </c>
      <c r="P50" s="136">
        <v>0</v>
      </c>
      <c r="Q50" s="136">
        <v>0</v>
      </c>
      <c r="R50" s="136">
        <v>0</v>
      </c>
      <c r="S50" s="136">
        <v>0</v>
      </c>
      <c r="T50" s="136">
        <v>0</v>
      </c>
      <c r="U50" s="136">
        <v>0</v>
      </c>
      <c r="V50" s="136">
        <v>0</v>
      </c>
      <c r="W50" s="136">
        <v>0</v>
      </c>
      <c r="X50" s="136">
        <v>0</v>
      </c>
      <c r="Y50" s="136">
        <f t="shared" ref="Y50:Y54" si="47">SUM(Z50:AD50)</f>
        <v>0</v>
      </c>
      <c r="Z50" s="136">
        <v>0</v>
      </c>
      <c r="AA50" s="136">
        <v>0</v>
      </c>
      <c r="AB50" s="136">
        <v>0</v>
      </c>
      <c r="AC50" s="136">
        <v>0</v>
      </c>
      <c r="AD50" s="136">
        <v>0</v>
      </c>
      <c r="AE50" s="136">
        <f t="shared" ref="AE50:AE54" si="48">SUM(AF50:AI50)</f>
        <v>0</v>
      </c>
      <c r="AF50" s="136">
        <v>0</v>
      </c>
      <c r="AG50" s="136">
        <v>0</v>
      </c>
      <c r="AH50" s="136">
        <v>0</v>
      </c>
      <c r="AI50" s="136">
        <v>0</v>
      </c>
      <c r="AJ50" s="137">
        <f t="shared" ref="AJ50:AJ54" si="49">SUM(AK50+AL50)</f>
        <v>1040298</v>
      </c>
      <c r="AK50" s="136">
        <f>+'[1]Costeo SAP 2024'!O7</f>
        <v>1040298</v>
      </c>
      <c r="AL50" s="136">
        <f t="shared" ref="AL50:AL54" si="50">SUM(AM50:AO50)</f>
        <v>0</v>
      </c>
      <c r="AM50" s="135">
        <v>0</v>
      </c>
      <c r="AN50" s="136">
        <v>0</v>
      </c>
      <c r="AO50" s="136">
        <v>0</v>
      </c>
    </row>
    <row r="51" spans="1:41" s="138" customFormat="1" x14ac:dyDescent="0.25">
      <c r="A51" s="150" t="s">
        <v>104</v>
      </c>
      <c r="B51" s="134" t="s">
        <v>105</v>
      </c>
      <c r="C51" s="135">
        <f t="shared" si="45"/>
        <v>9839688</v>
      </c>
      <c r="D51" s="136">
        <f t="shared" si="46"/>
        <v>7379766</v>
      </c>
      <c r="E51" s="135">
        <v>0</v>
      </c>
      <c r="F51" s="136">
        <v>0</v>
      </c>
      <c r="G51" s="136">
        <v>0</v>
      </c>
      <c r="H51" s="136">
        <v>0</v>
      </c>
      <c r="I51" s="136">
        <v>0</v>
      </c>
      <c r="J51" s="136">
        <v>0</v>
      </c>
      <c r="K51" s="136">
        <v>0</v>
      </c>
      <c r="L51" s="136">
        <v>0</v>
      </c>
      <c r="M51" s="136">
        <v>0</v>
      </c>
      <c r="N51" s="136">
        <v>0</v>
      </c>
      <c r="O51" s="136">
        <f>1000000-'[1]Costeo SAP 2024'!S9</f>
        <v>750000</v>
      </c>
      <c r="P51" s="136">
        <v>0</v>
      </c>
      <c r="Q51" s="136">
        <v>0</v>
      </c>
      <c r="R51" s="136">
        <v>0</v>
      </c>
      <c r="S51" s="136">
        <v>0</v>
      </c>
      <c r="T51" s="136">
        <v>0</v>
      </c>
      <c r="U51" s="136">
        <v>0</v>
      </c>
      <c r="V51" s="136">
        <f>8839688-'[1]Costeo SAP 2024'!S8</f>
        <v>6629766</v>
      </c>
      <c r="W51" s="136">
        <v>0</v>
      </c>
      <c r="X51" s="136">
        <v>0</v>
      </c>
      <c r="Y51" s="136">
        <f t="shared" si="47"/>
        <v>0</v>
      </c>
      <c r="Z51" s="136">
        <v>0</v>
      </c>
      <c r="AA51" s="136">
        <v>0</v>
      </c>
      <c r="AB51" s="136">
        <v>0</v>
      </c>
      <c r="AC51" s="136">
        <v>0</v>
      </c>
      <c r="AD51" s="136">
        <v>0</v>
      </c>
      <c r="AE51" s="136">
        <f t="shared" si="48"/>
        <v>0</v>
      </c>
      <c r="AF51" s="136">
        <v>0</v>
      </c>
      <c r="AG51" s="136">
        <v>0</v>
      </c>
      <c r="AH51" s="136">
        <v>0</v>
      </c>
      <c r="AI51" s="136">
        <v>0</v>
      </c>
      <c r="AJ51" s="137">
        <f t="shared" si="49"/>
        <v>2459922</v>
      </c>
      <c r="AK51" s="136">
        <f>+'[1]Costeo SAP 2024'!O8</f>
        <v>2459922</v>
      </c>
      <c r="AL51" s="136">
        <f t="shared" si="50"/>
        <v>0</v>
      </c>
      <c r="AM51" s="135">
        <v>0</v>
      </c>
      <c r="AN51" s="136">
        <v>0</v>
      </c>
      <c r="AO51" s="136">
        <v>0</v>
      </c>
    </row>
    <row r="52" spans="1:41" s="138" customFormat="1" x14ac:dyDescent="0.25">
      <c r="A52" s="150" t="s">
        <v>106</v>
      </c>
      <c r="B52" s="134" t="s">
        <v>107</v>
      </c>
      <c r="C52" s="135">
        <f t="shared" si="45"/>
        <v>700000</v>
      </c>
      <c r="D52" s="136">
        <f t="shared" si="46"/>
        <v>525000</v>
      </c>
      <c r="E52" s="135">
        <v>0</v>
      </c>
      <c r="F52" s="136">
        <v>0</v>
      </c>
      <c r="G52" s="136">
        <v>0</v>
      </c>
      <c r="H52" s="136">
        <v>0</v>
      </c>
      <c r="I52" s="136">
        <v>0</v>
      </c>
      <c r="J52" s="136">
        <v>0</v>
      </c>
      <c r="K52" s="136">
        <v>0</v>
      </c>
      <c r="L52" s="136">
        <v>0</v>
      </c>
      <c r="M52" s="136">
        <v>0</v>
      </c>
      <c r="N52" s="136">
        <v>0</v>
      </c>
      <c r="O52" s="136">
        <f>700000-'[1]Costeo SAP 2024'!O9</f>
        <v>525000</v>
      </c>
      <c r="P52" s="136">
        <v>0</v>
      </c>
      <c r="Q52" s="136">
        <v>0</v>
      </c>
      <c r="R52" s="136">
        <v>0</v>
      </c>
      <c r="S52" s="136">
        <v>0</v>
      </c>
      <c r="T52" s="136">
        <v>0</v>
      </c>
      <c r="U52" s="136">
        <v>0</v>
      </c>
      <c r="V52" s="136">
        <v>0</v>
      </c>
      <c r="W52" s="136">
        <v>0</v>
      </c>
      <c r="X52" s="136">
        <v>0</v>
      </c>
      <c r="Y52" s="136">
        <f t="shared" si="47"/>
        <v>0</v>
      </c>
      <c r="Z52" s="136">
        <v>0</v>
      </c>
      <c r="AA52" s="136">
        <v>0</v>
      </c>
      <c r="AB52" s="136">
        <v>0</v>
      </c>
      <c r="AC52" s="136">
        <v>0</v>
      </c>
      <c r="AD52" s="136">
        <v>0</v>
      </c>
      <c r="AE52" s="136">
        <f t="shared" si="48"/>
        <v>0</v>
      </c>
      <c r="AF52" s="136">
        <v>0</v>
      </c>
      <c r="AG52" s="136">
        <v>0</v>
      </c>
      <c r="AH52" s="136">
        <v>0</v>
      </c>
      <c r="AI52" s="136">
        <v>0</v>
      </c>
      <c r="AJ52" s="137">
        <f t="shared" si="49"/>
        <v>175000</v>
      </c>
      <c r="AK52" s="136">
        <f>+'[1]Costeo SAP 2024'!O9</f>
        <v>175000</v>
      </c>
      <c r="AL52" s="136">
        <f t="shared" si="50"/>
        <v>0</v>
      </c>
      <c r="AM52" s="135">
        <v>0</v>
      </c>
      <c r="AN52" s="136">
        <v>0</v>
      </c>
      <c r="AO52" s="136">
        <v>0</v>
      </c>
    </row>
    <row r="53" spans="1:41" s="138" customFormat="1" ht="26.4" x14ac:dyDescent="0.25">
      <c r="A53" s="150" t="s">
        <v>108</v>
      </c>
      <c r="B53" s="134" t="s">
        <v>109</v>
      </c>
      <c r="C53" s="135">
        <f t="shared" si="45"/>
        <v>500000</v>
      </c>
      <c r="D53" s="136">
        <f t="shared" si="46"/>
        <v>375000</v>
      </c>
      <c r="E53" s="135">
        <v>0</v>
      </c>
      <c r="F53" s="136">
        <v>0</v>
      </c>
      <c r="G53" s="136">
        <v>0</v>
      </c>
      <c r="H53" s="136">
        <v>0</v>
      </c>
      <c r="I53" s="136">
        <v>0</v>
      </c>
      <c r="J53" s="136">
        <v>0</v>
      </c>
      <c r="K53" s="136">
        <v>0</v>
      </c>
      <c r="L53" s="136">
        <v>0</v>
      </c>
      <c r="M53" s="136">
        <v>0</v>
      </c>
      <c r="N53" s="136">
        <v>0</v>
      </c>
      <c r="O53" s="136">
        <f>500000-'[1]Costeo SAP 2024'!O10</f>
        <v>375000</v>
      </c>
      <c r="P53" s="136">
        <v>0</v>
      </c>
      <c r="Q53" s="136">
        <v>0</v>
      </c>
      <c r="R53" s="136">
        <v>0</v>
      </c>
      <c r="S53" s="136">
        <v>0</v>
      </c>
      <c r="T53" s="136">
        <v>0</v>
      </c>
      <c r="U53" s="136">
        <v>0</v>
      </c>
      <c r="V53" s="136">
        <v>0</v>
      </c>
      <c r="W53" s="136">
        <v>0</v>
      </c>
      <c r="X53" s="136">
        <v>0</v>
      </c>
      <c r="Y53" s="136">
        <f t="shared" si="47"/>
        <v>0</v>
      </c>
      <c r="Z53" s="136">
        <v>0</v>
      </c>
      <c r="AA53" s="136">
        <v>0</v>
      </c>
      <c r="AB53" s="136">
        <v>0</v>
      </c>
      <c r="AC53" s="136">
        <v>0</v>
      </c>
      <c r="AD53" s="136">
        <v>0</v>
      </c>
      <c r="AE53" s="136">
        <f t="shared" si="48"/>
        <v>0</v>
      </c>
      <c r="AF53" s="136">
        <v>0</v>
      </c>
      <c r="AG53" s="136">
        <v>0</v>
      </c>
      <c r="AH53" s="136">
        <v>0</v>
      </c>
      <c r="AI53" s="136">
        <v>0</v>
      </c>
      <c r="AJ53" s="137">
        <f t="shared" si="49"/>
        <v>125000</v>
      </c>
      <c r="AK53" s="136">
        <f>+'[1]Costeo SAP 2024'!O10</f>
        <v>125000</v>
      </c>
      <c r="AL53" s="151"/>
      <c r="AM53" s="135">
        <v>0</v>
      </c>
      <c r="AN53" s="136">
        <v>0</v>
      </c>
      <c r="AO53" s="136">
        <v>0</v>
      </c>
    </row>
    <row r="54" spans="1:41" s="138" customFormat="1" ht="13.8" thickBot="1" x14ac:dyDescent="0.3">
      <c r="A54" s="152" t="s">
        <v>110</v>
      </c>
      <c r="B54" s="153" t="s">
        <v>111</v>
      </c>
      <c r="C54" s="154">
        <f t="shared" si="45"/>
        <v>250000</v>
      </c>
      <c r="D54" s="155">
        <f t="shared" si="46"/>
        <v>187500</v>
      </c>
      <c r="E54" s="154">
        <v>0</v>
      </c>
      <c r="F54" s="155">
        <v>0</v>
      </c>
      <c r="G54" s="155">
        <v>0</v>
      </c>
      <c r="H54" s="155">
        <v>0</v>
      </c>
      <c r="I54" s="155">
        <v>0</v>
      </c>
      <c r="J54" s="155">
        <v>0</v>
      </c>
      <c r="K54" s="155">
        <v>0</v>
      </c>
      <c r="L54" s="155">
        <v>0</v>
      </c>
      <c r="M54" s="155">
        <v>0</v>
      </c>
      <c r="N54" s="155">
        <v>0</v>
      </c>
      <c r="O54" s="155">
        <f>250000-'[1]Costeo SAP 2024'!O11</f>
        <v>187500</v>
      </c>
      <c r="P54" s="155">
        <v>0</v>
      </c>
      <c r="Q54" s="155">
        <v>0</v>
      </c>
      <c r="R54" s="155">
        <v>0</v>
      </c>
      <c r="S54" s="155">
        <v>0</v>
      </c>
      <c r="T54" s="155">
        <v>0</v>
      </c>
      <c r="U54" s="155">
        <v>0</v>
      </c>
      <c r="V54" s="155">
        <v>0</v>
      </c>
      <c r="W54" s="155">
        <v>0</v>
      </c>
      <c r="X54" s="155">
        <v>0</v>
      </c>
      <c r="Y54" s="155">
        <f t="shared" si="47"/>
        <v>0</v>
      </c>
      <c r="Z54" s="155">
        <v>0</v>
      </c>
      <c r="AA54" s="155">
        <v>0</v>
      </c>
      <c r="AB54" s="155">
        <v>0</v>
      </c>
      <c r="AC54" s="155">
        <v>0</v>
      </c>
      <c r="AD54" s="155">
        <v>0</v>
      </c>
      <c r="AE54" s="155">
        <f t="shared" si="48"/>
        <v>0</v>
      </c>
      <c r="AF54" s="155">
        <v>0</v>
      </c>
      <c r="AG54" s="155">
        <v>0</v>
      </c>
      <c r="AH54" s="155">
        <v>0</v>
      </c>
      <c r="AI54" s="155">
        <v>0</v>
      </c>
      <c r="AJ54" s="156">
        <f t="shared" si="49"/>
        <v>62500</v>
      </c>
      <c r="AK54" s="155">
        <f>+'[1]Costeo SAP 2024'!O11</f>
        <v>62500</v>
      </c>
      <c r="AL54" s="155">
        <f t="shared" si="50"/>
        <v>0</v>
      </c>
      <c r="AM54" s="135">
        <v>0</v>
      </c>
      <c r="AN54" s="136">
        <v>0</v>
      </c>
      <c r="AO54" s="136">
        <v>0</v>
      </c>
    </row>
    <row r="55" spans="1:41" s="138" customFormat="1" x14ac:dyDescent="0.25">
      <c r="A55" s="143"/>
      <c r="B55" s="144"/>
      <c r="C55" s="135"/>
      <c r="D55" s="136"/>
      <c r="E55" s="135"/>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7"/>
      <c r="AK55" s="136"/>
      <c r="AL55" s="136"/>
      <c r="AM55" s="135"/>
      <c r="AN55" s="136"/>
      <c r="AO55" s="136"/>
    </row>
    <row r="56" spans="1:41" s="138" customFormat="1" x14ac:dyDescent="0.25">
      <c r="A56" s="157" t="s">
        <v>112</v>
      </c>
      <c r="B56" s="139" t="s">
        <v>113</v>
      </c>
      <c r="C56" s="140">
        <f>SUM(C57:C61)</f>
        <v>162743769</v>
      </c>
      <c r="D56" s="141">
        <f t="shared" ref="D56:AO56" si="51">SUM(D57:D61)</f>
        <v>103468927</v>
      </c>
      <c r="E56" s="140">
        <f t="shared" si="51"/>
        <v>0</v>
      </c>
      <c r="F56" s="141">
        <f t="shared" si="51"/>
        <v>0</v>
      </c>
      <c r="G56" s="141">
        <f t="shared" si="51"/>
        <v>0</v>
      </c>
      <c r="H56" s="141">
        <f t="shared" si="51"/>
        <v>0</v>
      </c>
      <c r="I56" s="141">
        <f t="shared" si="51"/>
        <v>12446718</v>
      </c>
      <c r="J56" s="141">
        <f t="shared" si="51"/>
        <v>0</v>
      </c>
      <c r="K56" s="141">
        <f t="shared" si="51"/>
        <v>0</v>
      </c>
      <c r="L56" s="141">
        <f t="shared" si="51"/>
        <v>0</v>
      </c>
      <c r="M56" s="141">
        <f t="shared" si="51"/>
        <v>0</v>
      </c>
      <c r="N56" s="141">
        <f t="shared" si="51"/>
        <v>0</v>
      </c>
      <c r="O56" s="141">
        <f t="shared" si="51"/>
        <v>91022209</v>
      </c>
      <c r="P56" s="141">
        <f t="shared" si="51"/>
        <v>0</v>
      </c>
      <c r="Q56" s="141">
        <f t="shared" si="51"/>
        <v>0</v>
      </c>
      <c r="R56" s="141">
        <f t="shared" si="51"/>
        <v>0</v>
      </c>
      <c r="S56" s="141">
        <f t="shared" si="51"/>
        <v>0</v>
      </c>
      <c r="T56" s="141">
        <f t="shared" si="51"/>
        <v>0</v>
      </c>
      <c r="U56" s="141">
        <f t="shared" si="51"/>
        <v>0</v>
      </c>
      <c r="V56" s="141">
        <f t="shared" si="51"/>
        <v>0</v>
      </c>
      <c r="W56" s="141">
        <f t="shared" si="51"/>
        <v>0</v>
      </c>
      <c r="X56" s="141">
        <f t="shared" si="51"/>
        <v>0</v>
      </c>
      <c r="Y56" s="141">
        <f t="shared" si="51"/>
        <v>0</v>
      </c>
      <c r="Z56" s="141">
        <f t="shared" si="51"/>
        <v>0</v>
      </c>
      <c r="AA56" s="141">
        <f t="shared" si="51"/>
        <v>0</v>
      </c>
      <c r="AB56" s="141">
        <f t="shared" si="51"/>
        <v>0</v>
      </c>
      <c r="AC56" s="141">
        <f t="shared" si="51"/>
        <v>0</v>
      </c>
      <c r="AD56" s="141">
        <f t="shared" si="51"/>
        <v>0</v>
      </c>
      <c r="AE56" s="141">
        <f t="shared" si="51"/>
        <v>0</v>
      </c>
      <c r="AF56" s="141">
        <f t="shared" si="51"/>
        <v>0</v>
      </c>
      <c r="AG56" s="141">
        <f t="shared" si="51"/>
        <v>0</v>
      </c>
      <c r="AH56" s="141">
        <f t="shared" si="51"/>
        <v>0</v>
      </c>
      <c r="AI56" s="141">
        <f t="shared" si="51"/>
        <v>0</v>
      </c>
      <c r="AJ56" s="142">
        <f t="shared" si="51"/>
        <v>59274842</v>
      </c>
      <c r="AK56" s="141">
        <f t="shared" si="51"/>
        <v>59274842</v>
      </c>
      <c r="AL56" s="141">
        <f t="shared" si="51"/>
        <v>0</v>
      </c>
      <c r="AM56" s="140">
        <f t="shared" si="51"/>
        <v>0</v>
      </c>
      <c r="AN56" s="141">
        <f t="shared" si="51"/>
        <v>0</v>
      </c>
      <c r="AO56" s="141">
        <f t="shared" si="51"/>
        <v>0</v>
      </c>
    </row>
    <row r="57" spans="1:41" s="138" customFormat="1" x14ac:dyDescent="0.25">
      <c r="A57" s="147" t="s">
        <v>114</v>
      </c>
      <c r="B57" s="134" t="s">
        <v>115</v>
      </c>
      <c r="C57" s="135">
        <f t="shared" ref="C57:C61" si="52">D57+Y57+AE57+AJ57</f>
        <v>16200000</v>
      </c>
      <c r="D57" s="136">
        <f t="shared" ref="D57:D61" si="53">SUM(E57:X57)</f>
        <v>12150000</v>
      </c>
      <c r="E57" s="135">
        <v>0</v>
      </c>
      <c r="F57" s="136">
        <v>0</v>
      </c>
      <c r="G57" s="136">
        <v>0</v>
      </c>
      <c r="H57" s="136">
        <v>0</v>
      </c>
      <c r="I57" s="136">
        <v>0</v>
      </c>
      <c r="J57" s="136">
        <v>0</v>
      </c>
      <c r="K57" s="136">
        <v>0</v>
      </c>
      <c r="L57" s="136">
        <v>0</v>
      </c>
      <c r="M57" s="136">
        <v>0</v>
      </c>
      <c r="N57" s="136">
        <v>0</v>
      </c>
      <c r="O57" s="136">
        <f>16200000-'[1]Costeo SAP 2024'!O12</f>
        <v>12150000</v>
      </c>
      <c r="P57" s="136">
        <v>0</v>
      </c>
      <c r="Q57" s="136">
        <v>0</v>
      </c>
      <c r="R57" s="136">
        <v>0</v>
      </c>
      <c r="S57" s="136">
        <v>0</v>
      </c>
      <c r="T57" s="136">
        <v>0</v>
      </c>
      <c r="U57" s="136">
        <v>0</v>
      </c>
      <c r="V57" s="136">
        <v>0</v>
      </c>
      <c r="W57" s="136">
        <v>0</v>
      </c>
      <c r="X57" s="136">
        <v>0</v>
      </c>
      <c r="Y57" s="136">
        <f t="shared" ref="Y57:Y61" si="54">SUM(Z57:AD57)</f>
        <v>0</v>
      </c>
      <c r="Z57" s="136">
        <v>0</v>
      </c>
      <c r="AA57" s="136">
        <v>0</v>
      </c>
      <c r="AB57" s="136">
        <v>0</v>
      </c>
      <c r="AC57" s="136">
        <v>0</v>
      </c>
      <c r="AD57" s="136">
        <v>0</v>
      </c>
      <c r="AE57" s="136">
        <f t="shared" ref="AE57:AE61" si="55">SUM(AF57:AI57)</f>
        <v>0</v>
      </c>
      <c r="AF57" s="136">
        <v>0</v>
      </c>
      <c r="AG57" s="136">
        <v>0</v>
      </c>
      <c r="AH57" s="136">
        <v>0</v>
      </c>
      <c r="AI57" s="136">
        <v>0</v>
      </c>
      <c r="AJ57" s="137">
        <f t="shared" ref="AJ57:AJ61" si="56">SUM(AK57+AL57)</f>
        <v>4050000</v>
      </c>
      <c r="AK57" s="136">
        <f>+'[1]Costeo SAP 2024'!O12</f>
        <v>4050000</v>
      </c>
      <c r="AL57" s="136">
        <f t="shared" ref="AL57:AL61" si="57">SUM(AM57:AO57)</f>
        <v>0</v>
      </c>
      <c r="AM57" s="135">
        <v>0</v>
      </c>
      <c r="AN57" s="136">
        <v>0</v>
      </c>
      <c r="AO57" s="136">
        <v>0</v>
      </c>
    </row>
    <row r="58" spans="1:41" s="138" customFormat="1" x14ac:dyDescent="0.25">
      <c r="A58" s="147" t="s">
        <v>116</v>
      </c>
      <c r="B58" s="134" t="s">
        <v>117</v>
      </c>
      <c r="C58" s="135">
        <f t="shared" si="52"/>
        <v>47520000</v>
      </c>
      <c r="D58" s="136">
        <f t="shared" si="53"/>
        <v>35640000</v>
      </c>
      <c r="E58" s="135">
        <v>0</v>
      </c>
      <c r="F58" s="136">
        <v>0</v>
      </c>
      <c r="G58" s="136">
        <v>0</v>
      </c>
      <c r="H58" s="136">
        <v>0</v>
      </c>
      <c r="I58" s="136">
        <v>0</v>
      </c>
      <c r="J58" s="136">
        <v>0</v>
      </c>
      <c r="K58" s="136">
        <v>0</v>
      </c>
      <c r="L58" s="136">
        <v>0</v>
      </c>
      <c r="M58" s="136">
        <v>0</v>
      </c>
      <c r="N58" s="136">
        <v>0</v>
      </c>
      <c r="O58" s="136">
        <f>47520000-'[1]Costeo SAP 2024'!O13</f>
        <v>35640000</v>
      </c>
      <c r="P58" s="136">
        <v>0</v>
      </c>
      <c r="Q58" s="136">
        <v>0</v>
      </c>
      <c r="R58" s="136">
        <v>0</v>
      </c>
      <c r="S58" s="136">
        <v>0</v>
      </c>
      <c r="T58" s="136">
        <v>0</v>
      </c>
      <c r="U58" s="136">
        <v>0</v>
      </c>
      <c r="V58" s="136">
        <v>0</v>
      </c>
      <c r="W58" s="136">
        <v>0</v>
      </c>
      <c r="X58" s="136">
        <v>0</v>
      </c>
      <c r="Y58" s="136">
        <f t="shared" si="54"/>
        <v>0</v>
      </c>
      <c r="Z58" s="136">
        <v>0</v>
      </c>
      <c r="AA58" s="136">
        <v>0</v>
      </c>
      <c r="AB58" s="136">
        <v>0</v>
      </c>
      <c r="AC58" s="136">
        <v>0</v>
      </c>
      <c r="AD58" s="136">
        <v>0</v>
      </c>
      <c r="AE58" s="136">
        <f t="shared" si="55"/>
        <v>0</v>
      </c>
      <c r="AF58" s="136">
        <v>0</v>
      </c>
      <c r="AG58" s="136">
        <v>0</v>
      </c>
      <c r="AH58" s="136">
        <v>0</v>
      </c>
      <c r="AI58" s="136">
        <v>0</v>
      </c>
      <c r="AJ58" s="137">
        <f t="shared" si="56"/>
        <v>11880000</v>
      </c>
      <c r="AK58" s="136">
        <f>+'[1]Costeo SAP 2024'!O13</f>
        <v>11880000</v>
      </c>
      <c r="AL58" s="136">
        <f t="shared" si="57"/>
        <v>0</v>
      </c>
      <c r="AM58" s="135">
        <v>0</v>
      </c>
      <c r="AN58" s="136">
        <v>0</v>
      </c>
      <c r="AO58" s="136">
        <v>0</v>
      </c>
    </row>
    <row r="59" spans="1:41" s="138" customFormat="1" x14ac:dyDescent="0.25">
      <c r="A59" s="147" t="s">
        <v>118</v>
      </c>
      <c r="B59" s="134" t="s">
        <v>119</v>
      </c>
      <c r="C59" s="135">
        <f t="shared" si="52"/>
        <v>294945</v>
      </c>
      <c r="D59" s="136">
        <f t="shared" si="53"/>
        <v>221209</v>
      </c>
      <c r="E59" s="135">
        <v>0</v>
      </c>
      <c r="F59" s="136">
        <v>0</v>
      </c>
      <c r="G59" s="136">
        <v>0</v>
      </c>
      <c r="H59" s="136">
        <v>0</v>
      </c>
      <c r="I59" s="136">
        <v>0</v>
      </c>
      <c r="J59" s="136">
        <v>0</v>
      </c>
      <c r="K59" s="136">
        <v>0</v>
      </c>
      <c r="L59" s="136">
        <v>0</v>
      </c>
      <c r="M59" s="136">
        <v>0</v>
      </c>
      <c r="N59" s="136">
        <v>0</v>
      </c>
      <c r="O59" s="136">
        <f>294945-'[1]Costeo SAP 2024'!O14+0.25</f>
        <v>221209</v>
      </c>
      <c r="P59" s="136">
        <v>0</v>
      </c>
      <c r="Q59" s="136">
        <v>0</v>
      </c>
      <c r="R59" s="136">
        <v>0</v>
      </c>
      <c r="S59" s="136">
        <v>0</v>
      </c>
      <c r="T59" s="136">
        <v>0</v>
      </c>
      <c r="U59" s="136">
        <v>0</v>
      </c>
      <c r="V59" s="136">
        <v>0</v>
      </c>
      <c r="W59" s="136">
        <v>0</v>
      </c>
      <c r="X59" s="136">
        <v>0</v>
      </c>
      <c r="Y59" s="136">
        <f t="shared" si="54"/>
        <v>0</v>
      </c>
      <c r="Z59" s="136">
        <v>0</v>
      </c>
      <c r="AA59" s="136">
        <v>0</v>
      </c>
      <c r="AB59" s="136">
        <v>0</v>
      </c>
      <c r="AC59" s="136">
        <v>0</v>
      </c>
      <c r="AD59" s="136">
        <v>0</v>
      </c>
      <c r="AE59" s="136">
        <f t="shared" si="55"/>
        <v>0</v>
      </c>
      <c r="AF59" s="136">
        <v>0</v>
      </c>
      <c r="AG59" s="136">
        <v>0</v>
      </c>
      <c r="AH59" s="136">
        <v>0</v>
      </c>
      <c r="AI59" s="136">
        <v>0</v>
      </c>
      <c r="AJ59" s="137">
        <f t="shared" si="56"/>
        <v>73736</v>
      </c>
      <c r="AK59" s="136">
        <f>+'[1]Costeo SAP 2024'!O14-0.25</f>
        <v>73736</v>
      </c>
      <c r="AL59" s="136">
        <f t="shared" si="57"/>
        <v>0</v>
      </c>
      <c r="AM59" s="135">
        <v>0</v>
      </c>
      <c r="AN59" s="136">
        <v>0</v>
      </c>
      <c r="AO59" s="136">
        <v>0</v>
      </c>
    </row>
    <row r="60" spans="1:41" s="138" customFormat="1" x14ac:dyDescent="0.25">
      <c r="A60" s="147" t="s">
        <v>120</v>
      </c>
      <c r="B60" s="134" t="s">
        <v>121</v>
      </c>
      <c r="C60" s="135">
        <f t="shared" si="52"/>
        <v>48728824</v>
      </c>
      <c r="D60" s="136">
        <f t="shared" si="53"/>
        <v>17957718</v>
      </c>
      <c r="E60" s="135">
        <v>0</v>
      </c>
      <c r="F60" s="136">
        <v>0</v>
      </c>
      <c r="G60" s="136">
        <v>0</v>
      </c>
      <c r="H60" s="136">
        <v>0</v>
      </c>
      <c r="I60" s="136">
        <f>16595624-'[1]Costeo SAP 2024'!O16</f>
        <v>12446718</v>
      </c>
      <c r="J60" s="136">
        <v>0</v>
      </c>
      <c r="K60" s="136">
        <v>0</v>
      </c>
      <c r="L60" s="136">
        <v>0</v>
      </c>
      <c r="M60" s="136">
        <v>0</v>
      </c>
      <c r="N60" s="136">
        <v>0</v>
      </c>
      <c r="O60" s="136">
        <f>(32133200-24785200)-'[1]Costeo SAP 2024'!O15</f>
        <v>5511000</v>
      </c>
      <c r="P60" s="136">
        <v>0</v>
      </c>
      <c r="Q60" s="136">
        <v>0</v>
      </c>
      <c r="R60" s="136">
        <v>0</v>
      </c>
      <c r="S60" s="136">
        <v>0</v>
      </c>
      <c r="T60" s="136">
        <v>0</v>
      </c>
      <c r="U60" s="136">
        <v>0</v>
      </c>
      <c r="V60" s="136">
        <v>0</v>
      </c>
      <c r="W60" s="136">
        <v>0</v>
      </c>
      <c r="X60" s="136">
        <v>0</v>
      </c>
      <c r="Y60" s="136">
        <f t="shared" si="54"/>
        <v>0</v>
      </c>
      <c r="Z60" s="136">
        <v>0</v>
      </c>
      <c r="AA60" s="136">
        <v>0</v>
      </c>
      <c r="AB60" s="136">
        <v>0</v>
      </c>
      <c r="AC60" s="136">
        <v>0</v>
      </c>
      <c r="AD60" s="136">
        <v>0</v>
      </c>
      <c r="AE60" s="136">
        <f t="shared" si="55"/>
        <v>0</v>
      </c>
      <c r="AF60" s="136">
        <v>0</v>
      </c>
      <c r="AG60" s="136">
        <v>0</v>
      </c>
      <c r="AH60" s="136">
        <v>0</v>
      </c>
      <c r="AI60" s="136">
        <v>0</v>
      </c>
      <c r="AJ60" s="137">
        <f t="shared" si="56"/>
        <v>30771106</v>
      </c>
      <c r="AK60" s="136">
        <f>+'[1]Costeo SAP 2024'!O15+'[1]Costeo SAP 2024'!O16+24785200</f>
        <v>30771106</v>
      </c>
      <c r="AL60" s="136">
        <f t="shared" si="57"/>
        <v>0</v>
      </c>
      <c r="AM60" s="135">
        <v>0</v>
      </c>
      <c r="AN60" s="136">
        <v>0</v>
      </c>
      <c r="AO60" s="136">
        <v>0</v>
      </c>
    </row>
    <row r="61" spans="1:41" s="138" customFormat="1" x14ac:dyDescent="0.25">
      <c r="A61" s="147" t="s">
        <v>122</v>
      </c>
      <c r="B61" s="134" t="s">
        <v>123</v>
      </c>
      <c r="C61" s="135">
        <f t="shared" si="52"/>
        <v>50000000</v>
      </c>
      <c r="D61" s="136">
        <f t="shared" si="53"/>
        <v>37500000</v>
      </c>
      <c r="E61" s="135">
        <v>0</v>
      </c>
      <c r="F61" s="136">
        <v>0</v>
      </c>
      <c r="G61" s="136">
        <v>0</v>
      </c>
      <c r="H61" s="136">
        <v>0</v>
      </c>
      <c r="I61" s="136">
        <v>0</v>
      </c>
      <c r="J61" s="136">
        <v>0</v>
      </c>
      <c r="K61" s="136">
        <v>0</v>
      </c>
      <c r="L61" s="136">
        <v>0</v>
      </c>
      <c r="M61" s="136">
        <v>0</v>
      </c>
      <c r="N61" s="136">
        <v>0</v>
      </c>
      <c r="O61" s="136">
        <f>50000000-'[1]Costeo SAP 2024'!O17</f>
        <v>37500000</v>
      </c>
      <c r="P61" s="136">
        <v>0</v>
      </c>
      <c r="Q61" s="136">
        <v>0</v>
      </c>
      <c r="R61" s="136">
        <v>0</v>
      </c>
      <c r="S61" s="136">
        <v>0</v>
      </c>
      <c r="T61" s="136">
        <v>0</v>
      </c>
      <c r="U61" s="136">
        <v>0</v>
      </c>
      <c r="V61" s="136">
        <v>0</v>
      </c>
      <c r="W61" s="136">
        <v>0</v>
      </c>
      <c r="X61" s="136">
        <v>0</v>
      </c>
      <c r="Y61" s="136">
        <f t="shared" si="54"/>
        <v>0</v>
      </c>
      <c r="Z61" s="136">
        <v>0</v>
      </c>
      <c r="AA61" s="136">
        <v>0</v>
      </c>
      <c r="AB61" s="136">
        <v>0</v>
      </c>
      <c r="AC61" s="136">
        <v>0</v>
      </c>
      <c r="AD61" s="136">
        <v>0</v>
      </c>
      <c r="AE61" s="136">
        <f t="shared" si="55"/>
        <v>0</v>
      </c>
      <c r="AF61" s="136">
        <v>0</v>
      </c>
      <c r="AG61" s="136">
        <v>0</v>
      </c>
      <c r="AH61" s="136">
        <v>0</v>
      </c>
      <c r="AI61" s="136">
        <v>0</v>
      </c>
      <c r="AJ61" s="137">
        <f t="shared" si="56"/>
        <v>12500000</v>
      </c>
      <c r="AK61" s="136">
        <f>+'[1]Costeo SAP 2024'!O17</f>
        <v>12500000</v>
      </c>
      <c r="AL61" s="136">
        <f t="shared" si="57"/>
        <v>0</v>
      </c>
      <c r="AM61" s="135">
        <v>0</v>
      </c>
      <c r="AN61" s="136">
        <v>0</v>
      </c>
      <c r="AO61" s="136">
        <v>0</v>
      </c>
    </row>
    <row r="62" spans="1:41" s="138" customFormat="1" x14ac:dyDescent="0.25">
      <c r="A62" s="143"/>
      <c r="B62" s="144"/>
      <c r="C62" s="135"/>
      <c r="D62" s="136"/>
      <c r="E62" s="135"/>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7"/>
      <c r="AK62" s="136"/>
      <c r="AL62" s="136"/>
      <c r="AM62" s="135"/>
      <c r="AN62" s="136"/>
      <c r="AO62" s="136"/>
    </row>
    <row r="63" spans="1:41" s="138" customFormat="1" x14ac:dyDescent="0.25">
      <c r="A63" s="157" t="s">
        <v>124</v>
      </c>
      <c r="B63" s="139" t="s">
        <v>125</v>
      </c>
      <c r="C63" s="140">
        <f>SUM(C64:C70)</f>
        <v>3211688520</v>
      </c>
      <c r="D63" s="141">
        <f t="shared" ref="D63:AO63" si="58">SUM(D64:D70)</f>
        <v>123626594</v>
      </c>
      <c r="E63" s="140">
        <f t="shared" si="58"/>
        <v>50000</v>
      </c>
      <c r="F63" s="141">
        <f t="shared" si="58"/>
        <v>0</v>
      </c>
      <c r="G63" s="141">
        <f t="shared" si="58"/>
        <v>0</v>
      </c>
      <c r="H63" s="141">
        <f t="shared" si="58"/>
        <v>0</v>
      </c>
      <c r="I63" s="141">
        <f t="shared" si="58"/>
        <v>67065594</v>
      </c>
      <c r="J63" s="141">
        <f t="shared" si="58"/>
        <v>0</v>
      </c>
      <c r="K63" s="141">
        <f t="shared" si="58"/>
        <v>0</v>
      </c>
      <c r="L63" s="141">
        <f t="shared" si="58"/>
        <v>0</v>
      </c>
      <c r="M63" s="141">
        <f t="shared" si="58"/>
        <v>10000</v>
      </c>
      <c r="N63" s="141">
        <f t="shared" si="58"/>
        <v>360000</v>
      </c>
      <c r="O63" s="141">
        <f t="shared" si="58"/>
        <v>1800000</v>
      </c>
      <c r="P63" s="141">
        <f t="shared" si="58"/>
        <v>0</v>
      </c>
      <c r="Q63" s="141">
        <f t="shared" si="58"/>
        <v>0</v>
      </c>
      <c r="R63" s="141">
        <f t="shared" si="58"/>
        <v>750000</v>
      </c>
      <c r="S63" s="141">
        <f t="shared" si="58"/>
        <v>400000</v>
      </c>
      <c r="T63" s="141">
        <f t="shared" si="58"/>
        <v>10100000</v>
      </c>
      <c r="U63" s="141">
        <f t="shared" si="58"/>
        <v>0</v>
      </c>
      <c r="V63" s="141">
        <f t="shared" si="58"/>
        <v>11491000</v>
      </c>
      <c r="W63" s="141">
        <f t="shared" si="58"/>
        <v>0</v>
      </c>
      <c r="X63" s="141">
        <f t="shared" si="58"/>
        <v>31600000</v>
      </c>
      <c r="Y63" s="141">
        <f t="shared" si="58"/>
        <v>2372000</v>
      </c>
      <c r="Z63" s="141">
        <f t="shared" si="58"/>
        <v>0</v>
      </c>
      <c r="AA63" s="141">
        <f t="shared" si="58"/>
        <v>72000</v>
      </c>
      <c r="AB63" s="141">
        <f t="shared" si="58"/>
        <v>2200000</v>
      </c>
      <c r="AC63" s="141">
        <f t="shared" si="58"/>
        <v>100000</v>
      </c>
      <c r="AD63" s="141">
        <f t="shared" si="58"/>
        <v>0</v>
      </c>
      <c r="AE63" s="141">
        <f t="shared" si="58"/>
        <v>4028298</v>
      </c>
      <c r="AF63" s="141">
        <f t="shared" si="58"/>
        <v>3513547</v>
      </c>
      <c r="AG63" s="141">
        <f t="shared" si="58"/>
        <v>53751</v>
      </c>
      <c r="AH63" s="141">
        <f t="shared" si="58"/>
        <v>341000</v>
      </c>
      <c r="AI63" s="141">
        <f t="shared" si="58"/>
        <v>120000</v>
      </c>
      <c r="AJ63" s="142">
        <f t="shared" si="58"/>
        <v>3081661628</v>
      </c>
      <c r="AK63" s="141">
        <f t="shared" si="58"/>
        <v>3081261628</v>
      </c>
      <c r="AL63" s="141">
        <f t="shared" si="58"/>
        <v>400000</v>
      </c>
      <c r="AM63" s="140">
        <f t="shared" si="58"/>
        <v>100000</v>
      </c>
      <c r="AN63" s="141">
        <f t="shared" si="58"/>
        <v>300000</v>
      </c>
      <c r="AO63" s="141">
        <f t="shared" si="58"/>
        <v>0</v>
      </c>
    </row>
    <row r="64" spans="1:41" s="138" customFormat="1" x14ac:dyDescent="0.25">
      <c r="A64" s="143" t="s">
        <v>126</v>
      </c>
      <c r="B64" s="134" t="s">
        <v>127</v>
      </c>
      <c r="C64" s="135">
        <f t="shared" ref="C64:C70" si="59">D64+Y64+AE64+AJ64</f>
        <v>10500000</v>
      </c>
      <c r="D64" s="136">
        <f t="shared" ref="D64:D70" si="60">SUM(E64:X64)</f>
        <v>3400000</v>
      </c>
      <c r="E64" s="135">
        <v>0</v>
      </c>
      <c r="F64" s="136">
        <v>0</v>
      </c>
      <c r="G64" s="136">
        <v>0</v>
      </c>
      <c r="H64" s="136">
        <v>0</v>
      </c>
      <c r="I64" s="136">
        <v>0</v>
      </c>
      <c r="J64" s="136">
        <v>0</v>
      </c>
      <c r="K64" s="136">
        <v>0</v>
      </c>
      <c r="L64" s="136">
        <v>0</v>
      </c>
      <c r="M64" s="136">
        <v>0</v>
      </c>
      <c r="N64" s="136">
        <v>0</v>
      </c>
      <c r="O64" s="136">
        <v>500000</v>
      </c>
      <c r="P64" s="136">
        <v>0</v>
      </c>
      <c r="Q64" s="136">
        <v>0</v>
      </c>
      <c r="R64" s="136">
        <v>300000</v>
      </c>
      <c r="S64" s="136">
        <v>0</v>
      </c>
      <c r="T64" s="136">
        <v>0</v>
      </c>
      <c r="U64" s="136">
        <v>0</v>
      </c>
      <c r="V64" s="136">
        <v>2000000</v>
      </c>
      <c r="W64" s="136">
        <v>0</v>
      </c>
      <c r="X64" s="136">
        <v>600000</v>
      </c>
      <c r="Y64" s="136">
        <f t="shared" ref="Y64:Y70" si="61">SUM(Z64:AD64)</f>
        <v>1000000</v>
      </c>
      <c r="Z64" s="136">
        <v>0</v>
      </c>
      <c r="AA64" s="136">
        <v>0</v>
      </c>
      <c r="AB64" s="136">
        <v>1000000</v>
      </c>
      <c r="AC64" s="136">
        <v>0</v>
      </c>
      <c r="AD64" s="136">
        <v>0</v>
      </c>
      <c r="AE64" s="136">
        <f t="shared" ref="AE64:AE70" si="62">SUM(AF64:AI64)</f>
        <v>0</v>
      </c>
      <c r="AF64" s="136">
        <v>0</v>
      </c>
      <c r="AG64" s="136">
        <v>0</v>
      </c>
      <c r="AH64" s="136">
        <v>0</v>
      </c>
      <c r="AI64" s="136">
        <v>0</v>
      </c>
      <c r="AJ64" s="137">
        <f t="shared" ref="AJ64:AJ70" si="63">SUM(AK64+AL64)</f>
        <v>6100000</v>
      </c>
      <c r="AK64" s="136">
        <v>6000000</v>
      </c>
      <c r="AL64" s="136">
        <f t="shared" ref="AL64:AL70" si="64">SUM(AM64:AO64)</f>
        <v>100000</v>
      </c>
      <c r="AM64" s="135">
        <v>100000</v>
      </c>
      <c r="AN64" s="136">
        <v>0</v>
      </c>
      <c r="AO64" s="136">
        <v>0</v>
      </c>
    </row>
    <row r="65" spans="1:41" s="138" customFormat="1" x14ac:dyDescent="0.25">
      <c r="A65" s="143" t="s">
        <v>128</v>
      </c>
      <c r="B65" s="134" t="s">
        <v>129</v>
      </c>
      <c r="C65" s="135">
        <f t="shared" si="59"/>
        <v>580000000</v>
      </c>
      <c r="D65" s="136">
        <f t="shared" si="60"/>
        <v>30000000</v>
      </c>
      <c r="E65" s="135">
        <v>0</v>
      </c>
      <c r="F65" s="136">
        <v>0</v>
      </c>
      <c r="G65" s="136">
        <v>0</v>
      </c>
      <c r="H65" s="136">
        <v>0</v>
      </c>
      <c r="I65" s="136">
        <v>0</v>
      </c>
      <c r="J65" s="136">
        <v>0</v>
      </c>
      <c r="K65" s="136">
        <v>0</v>
      </c>
      <c r="L65" s="136">
        <v>0</v>
      </c>
      <c r="M65" s="136">
        <v>0</v>
      </c>
      <c r="N65" s="136">
        <v>0</v>
      </c>
      <c r="O65" s="136">
        <v>0</v>
      </c>
      <c r="P65" s="136">
        <v>0</v>
      </c>
      <c r="Q65" s="136">
        <v>0</v>
      </c>
      <c r="R65" s="136">
        <v>0</v>
      </c>
      <c r="S65" s="136">
        <v>0</v>
      </c>
      <c r="T65" s="136">
        <v>0</v>
      </c>
      <c r="U65" s="136">
        <v>0</v>
      </c>
      <c r="V65" s="136">
        <v>0</v>
      </c>
      <c r="W65" s="136">
        <v>0</v>
      </c>
      <c r="X65" s="136">
        <v>30000000</v>
      </c>
      <c r="Y65" s="136">
        <f t="shared" si="61"/>
        <v>0</v>
      </c>
      <c r="Z65" s="136">
        <v>0</v>
      </c>
      <c r="AA65" s="136">
        <v>0</v>
      </c>
      <c r="AB65" s="136">
        <v>0</v>
      </c>
      <c r="AC65" s="136">
        <v>0</v>
      </c>
      <c r="AD65" s="136">
        <v>0</v>
      </c>
      <c r="AE65" s="136">
        <f t="shared" si="62"/>
        <v>0</v>
      </c>
      <c r="AF65" s="136">
        <v>0</v>
      </c>
      <c r="AG65" s="136">
        <v>0</v>
      </c>
      <c r="AH65" s="136">
        <v>0</v>
      </c>
      <c r="AI65" s="136">
        <v>0</v>
      </c>
      <c r="AJ65" s="137">
        <f t="shared" si="63"/>
        <v>550000000</v>
      </c>
      <c r="AK65" s="136">
        <v>550000000</v>
      </c>
      <c r="AL65" s="136">
        <f t="shared" si="64"/>
        <v>0</v>
      </c>
      <c r="AM65" s="135">
        <v>0</v>
      </c>
      <c r="AN65" s="136">
        <v>0</v>
      </c>
      <c r="AO65" s="136">
        <v>0</v>
      </c>
    </row>
    <row r="66" spans="1:41" s="138" customFormat="1" x14ac:dyDescent="0.25">
      <c r="A66" s="143" t="s">
        <v>130</v>
      </c>
      <c r="B66" s="134" t="s">
        <v>131</v>
      </c>
      <c r="C66" s="135">
        <f t="shared" si="59"/>
        <v>11527000</v>
      </c>
      <c r="D66" s="136">
        <f t="shared" si="60"/>
        <v>1670000</v>
      </c>
      <c r="E66" s="135">
        <v>50000</v>
      </c>
      <c r="F66" s="136">
        <v>0</v>
      </c>
      <c r="G66" s="136">
        <v>0</v>
      </c>
      <c r="H66" s="136">
        <v>0</v>
      </c>
      <c r="I66" s="136">
        <v>0</v>
      </c>
      <c r="J66" s="136">
        <v>0</v>
      </c>
      <c r="K66" s="136">
        <v>0</v>
      </c>
      <c r="L66" s="136">
        <v>0</v>
      </c>
      <c r="M66" s="136">
        <v>10000</v>
      </c>
      <c r="N66" s="136">
        <v>60000</v>
      </c>
      <c r="O66" s="136">
        <v>250000</v>
      </c>
      <c r="P66" s="136">
        <v>0</v>
      </c>
      <c r="Q66" s="136">
        <v>0</v>
      </c>
      <c r="R66" s="136">
        <v>200000</v>
      </c>
      <c r="S66" s="136">
        <v>0</v>
      </c>
      <c r="T66" s="136">
        <v>100000</v>
      </c>
      <c r="U66" s="136">
        <v>0</v>
      </c>
      <c r="V66" s="136">
        <v>0</v>
      </c>
      <c r="W66" s="136">
        <v>0</v>
      </c>
      <c r="X66" s="136">
        <v>1000000</v>
      </c>
      <c r="Y66" s="136">
        <f t="shared" si="61"/>
        <v>1172000</v>
      </c>
      <c r="Z66" s="136">
        <v>0</v>
      </c>
      <c r="AA66" s="136">
        <v>72000</v>
      </c>
      <c r="AB66" s="136">
        <v>1000000</v>
      </c>
      <c r="AC66" s="136">
        <v>100000</v>
      </c>
      <c r="AD66" s="136">
        <v>0</v>
      </c>
      <c r="AE66" s="136">
        <f t="shared" si="62"/>
        <v>485000</v>
      </c>
      <c r="AF66" s="136">
        <v>50000</v>
      </c>
      <c r="AG66" s="136">
        <v>15000</v>
      </c>
      <c r="AH66" s="136">
        <v>300000</v>
      </c>
      <c r="AI66" s="136">
        <v>120000</v>
      </c>
      <c r="AJ66" s="137">
        <f t="shared" si="63"/>
        <v>8200000</v>
      </c>
      <c r="AK66" s="136">
        <v>8000000</v>
      </c>
      <c r="AL66" s="136">
        <f t="shared" si="64"/>
        <v>200000</v>
      </c>
      <c r="AM66" s="135">
        <v>0</v>
      </c>
      <c r="AN66" s="136">
        <v>200000</v>
      </c>
      <c r="AO66" s="136">
        <v>0</v>
      </c>
    </row>
    <row r="67" spans="1:41" s="138" customFormat="1" x14ac:dyDescent="0.25">
      <c r="A67" s="143" t="s">
        <v>132</v>
      </c>
      <c r="B67" s="134" t="s">
        <v>133</v>
      </c>
      <c r="C67" s="135">
        <f t="shared" si="59"/>
        <v>500000</v>
      </c>
      <c r="D67" s="136">
        <f t="shared" si="60"/>
        <v>500000</v>
      </c>
      <c r="E67" s="135">
        <v>0</v>
      </c>
      <c r="F67" s="136">
        <v>0</v>
      </c>
      <c r="G67" s="136">
        <v>0</v>
      </c>
      <c r="H67" s="136">
        <v>0</v>
      </c>
      <c r="I67" s="136">
        <v>0</v>
      </c>
      <c r="J67" s="136">
        <v>0</v>
      </c>
      <c r="K67" s="136">
        <v>0</v>
      </c>
      <c r="L67" s="136">
        <v>0</v>
      </c>
      <c r="M67" s="136">
        <v>0</v>
      </c>
      <c r="N67" s="136">
        <v>0</v>
      </c>
      <c r="O67" s="136">
        <v>500000</v>
      </c>
      <c r="P67" s="136">
        <v>0</v>
      </c>
      <c r="Q67" s="136">
        <v>0</v>
      </c>
      <c r="R67" s="136">
        <v>0</v>
      </c>
      <c r="S67" s="136">
        <v>0</v>
      </c>
      <c r="T67" s="136">
        <v>0</v>
      </c>
      <c r="U67" s="136">
        <v>0</v>
      </c>
      <c r="V67" s="136">
        <v>0</v>
      </c>
      <c r="W67" s="136">
        <v>0</v>
      </c>
      <c r="X67" s="136">
        <v>0</v>
      </c>
      <c r="Y67" s="136">
        <f t="shared" si="61"/>
        <v>0</v>
      </c>
      <c r="Z67" s="136">
        <v>0</v>
      </c>
      <c r="AA67" s="136">
        <v>0</v>
      </c>
      <c r="AB67" s="136">
        <v>0</v>
      </c>
      <c r="AC67" s="136">
        <v>0</v>
      </c>
      <c r="AD67" s="136">
        <v>0</v>
      </c>
      <c r="AE67" s="136">
        <f t="shared" si="62"/>
        <v>0</v>
      </c>
      <c r="AF67" s="136">
        <v>0</v>
      </c>
      <c r="AG67" s="136">
        <v>0</v>
      </c>
      <c r="AH67" s="136">
        <v>0</v>
      </c>
      <c r="AI67" s="136">
        <v>0</v>
      </c>
      <c r="AJ67" s="137">
        <f t="shared" si="63"/>
        <v>0</v>
      </c>
      <c r="AK67" s="136">
        <v>0</v>
      </c>
      <c r="AL67" s="136">
        <f t="shared" si="64"/>
        <v>0</v>
      </c>
      <c r="AM67" s="135">
        <v>0</v>
      </c>
      <c r="AN67" s="136">
        <v>0</v>
      </c>
      <c r="AO67" s="136">
        <v>0</v>
      </c>
    </row>
    <row r="68" spans="1:41" s="138" customFormat="1" ht="26.4" x14ac:dyDescent="0.25">
      <c r="A68" s="143" t="s">
        <v>134</v>
      </c>
      <c r="B68" s="134" t="s">
        <v>135</v>
      </c>
      <c r="C68" s="135">
        <f t="shared" si="59"/>
        <v>472354317</v>
      </c>
      <c r="D68" s="136">
        <f t="shared" si="60"/>
        <v>19318800</v>
      </c>
      <c r="E68" s="135">
        <v>0</v>
      </c>
      <c r="F68" s="136">
        <v>0</v>
      </c>
      <c r="G68" s="136">
        <v>0</v>
      </c>
      <c r="H68" s="136">
        <v>0</v>
      </c>
      <c r="I68" s="136">
        <v>0</v>
      </c>
      <c r="J68" s="136">
        <v>0</v>
      </c>
      <c r="K68" s="136">
        <v>0</v>
      </c>
      <c r="L68" s="136">
        <v>0</v>
      </c>
      <c r="M68" s="136">
        <v>0</v>
      </c>
      <c r="N68" s="136">
        <v>0</v>
      </c>
      <c r="O68" s="136">
        <v>250000</v>
      </c>
      <c r="P68" s="136">
        <v>0</v>
      </c>
      <c r="Q68" s="136">
        <v>0</v>
      </c>
      <c r="R68" s="136">
        <v>0</v>
      </c>
      <c r="S68" s="136">
        <v>400000</v>
      </c>
      <c r="T68" s="136">
        <v>10000000</v>
      </c>
      <c r="U68" s="136">
        <v>0</v>
      </c>
      <c r="V68" s="136">
        <v>8668800</v>
      </c>
      <c r="W68" s="136">
        <v>0</v>
      </c>
      <c r="X68" s="136">
        <v>0</v>
      </c>
      <c r="Y68" s="136">
        <f t="shared" si="61"/>
        <v>0</v>
      </c>
      <c r="Z68" s="136">
        <v>0</v>
      </c>
      <c r="AA68" s="136">
        <v>0</v>
      </c>
      <c r="AB68" s="136">
        <v>0</v>
      </c>
      <c r="AC68" s="136">
        <v>0</v>
      </c>
      <c r="AD68" s="136">
        <v>0</v>
      </c>
      <c r="AE68" s="136">
        <f t="shared" si="62"/>
        <v>0</v>
      </c>
      <c r="AF68" s="136">
        <v>0</v>
      </c>
      <c r="AG68" s="136">
        <v>0</v>
      </c>
      <c r="AH68" s="136">
        <v>0</v>
      </c>
      <c r="AI68" s="136">
        <v>0</v>
      </c>
      <c r="AJ68" s="137">
        <f t="shared" si="63"/>
        <v>453035517</v>
      </c>
      <c r="AK68" s="136">
        <f>228035517+225000000</f>
        <v>453035517</v>
      </c>
      <c r="AL68" s="136">
        <f t="shared" si="64"/>
        <v>0</v>
      </c>
      <c r="AM68" s="135">
        <v>0</v>
      </c>
      <c r="AN68" s="136">
        <v>0</v>
      </c>
      <c r="AO68" s="136">
        <v>0</v>
      </c>
    </row>
    <row r="69" spans="1:41" s="138" customFormat="1" x14ac:dyDescent="0.25">
      <c r="A69" s="143" t="s">
        <v>136</v>
      </c>
      <c r="B69" s="144" t="s">
        <v>137</v>
      </c>
      <c r="C69" s="135">
        <f t="shared" si="59"/>
        <v>2041870913</v>
      </c>
      <c r="D69" s="136">
        <f t="shared" si="60"/>
        <v>0</v>
      </c>
      <c r="E69" s="135">
        <v>0</v>
      </c>
      <c r="F69" s="136">
        <v>0</v>
      </c>
      <c r="G69" s="136">
        <v>0</v>
      </c>
      <c r="H69" s="136">
        <v>0</v>
      </c>
      <c r="I69" s="136">
        <v>0</v>
      </c>
      <c r="J69" s="136">
        <v>0</v>
      </c>
      <c r="K69" s="136">
        <v>0</v>
      </c>
      <c r="L69" s="136">
        <v>0</v>
      </c>
      <c r="M69" s="136">
        <v>0</v>
      </c>
      <c r="N69" s="136">
        <v>0</v>
      </c>
      <c r="O69" s="136">
        <v>0</v>
      </c>
      <c r="P69" s="136">
        <v>0</v>
      </c>
      <c r="Q69" s="136">
        <v>0</v>
      </c>
      <c r="R69" s="136">
        <v>0</v>
      </c>
      <c r="S69" s="136">
        <v>0</v>
      </c>
      <c r="T69" s="136">
        <v>0</v>
      </c>
      <c r="U69" s="136">
        <v>0</v>
      </c>
      <c r="V69" s="136">
        <v>0</v>
      </c>
      <c r="W69" s="136">
        <v>0</v>
      </c>
      <c r="X69" s="136">
        <v>0</v>
      </c>
      <c r="Y69" s="136">
        <f t="shared" si="61"/>
        <v>0</v>
      </c>
      <c r="Z69" s="136">
        <v>0</v>
      </c>
      <c r="AA69" s="136">
        <v>0</v>
      </c>
      <c r="AB69" s="136">
        <v>0</v>
      </c>
      <c r="AC69" s="136">
        <v>0</v>
      </c>
      <c r="AD69" s="136">
        <v>0</v>
      </c>
      <c r="AE69" s="136">
        <f t="shared" si="62"/>
        <v>0</v>
      </c>
      <c r="AF69" s="136">
        <v>0</v>
      </c>
      <c r="AG69" s="136">
        <v>0</v>
      </c>
      <c r="AH69" s="136">
        <v>0</v>
      </c>
      <c r="AI69" s="136">
        <v>0</v>
      </c>
      <c r="AJ69" s="137">
        <f t="shared" si="63"/>
        <v>2041870913</v>
      </c>
      <c r="AK69" s="136">
        <f>1841870913+200000000</f>
        <v>2041870913</v>
      </c>
      <c r="AL69" s="136">
        <f t="shared" si="64"/>
        <v>0</v>
      </c>
      <c r="AM69" s="135">
        <v>0</v>
      </c>
      <c r="AN69" s="136">
        <v>0</v>
      </c>
      <c r="AO69" s="136">
        <v>0</v>
      </c>
    </row>
    <row r="70" spans="1:41" s="138" customFormat="1" ht="13.8" thickBot="1" x14ac:dyDescent="0.3">
      <c r="A70" s="158" t="s">
        <v>138</v>
      </c>
      <c r="B70" s="153" t="s">
        <v>139</v>
      </c>
      <c r="C70" s="154">
        <f t="shared" si="59"/>
        <v>94936290</v>
      </c>
      <c r="D70" s="155">
        <f t="shared" si="60"/>
        <v>68737794</v>
      </c>
      <c r="E70" s="154">
        <v>0</v>
      </c>
      <c r="F70" s="155">
        <v>0</v>
      </c>
      <c r="G70" s="155">
        <v>0</v>
      </c>
      <c r="H70" s="155">
        <v>0</v>
      </c>
      <c r="I70" s="155">
        <f>89420792-'[1]Costeo SAP 2024'!O18</f>
        <v>67065594</v>
      </c>
      <c r="J70" s="155">
        <v>0</v>
      </c>
      <c r="K70" s="155">
        <v>0</v>
      </c>
      <c r="L70" s="155">
        <v>0</v>
      </c>
      <c r="M70" s="155">
        <v>0</v>
      </c>
      <c r="N70" s="155">
        <v>300000</v>
      </c>
      <c r="O70" s="155">
        <v>300000</v>
      </c>
      <c r="P70" s="155">
        <v>0</v>
      </c>
      <c r="Q70" s="155">
        <v>0</v>
      </c>
      <c r="R70" s="155">
        <v>250000</v>
      </c>
      <c r="S70" s="155">
        <v>0</v>
      </c>
      <c r="T70" s="155">
        <v>0</v>
      </c>
      <c r="U70" s="155">
        <v>0</v>
      </c>
      <c r="V70" s="155">
        <v>822200</v>
      </c>
      <c r="W70" s="155">
        <v>0</v>
      </c>
      <c r="X70" s="155">
        <v>0</v>
      </c>
      <c r="Y70" s="155">
        <f t="shared" si="61"/>
        <v>200000</v>
      </c>
      <c r="Z70" s="155">
        <v>0</v>
      </c>
      <c r="AA70" s="155">
        <v>0</v>
      </c>
      <c r="AB70" s="155">
        <v>200000</v>
      </c>
      <c r="AC70" s="155">
        <v>0</v>
      </c>
      <c r="AD70" s="155">
        <v>0</v>
      </c>
      <c r="AE70" s="155">
        <f t="shared" si="62"/>
        <v>3543298</v>
      </c>
      <c r="AF70" s="155">
        <v>3463547</v>
      </c>
      <c r="AG70" s="155">
        <v>38751</v>
      </c>
      <c r="AH70" s="155">
        <v>41000</v>
      </c>
      <c r="AI70" s="155">
        <v>0</v>
      </c>
      <c r="AJ70" s="156">
        <f t="shared" si="63"/>
        <v>22455198</v>
      </c>
      <c r="AK70" s="155">
        <f>+'[1]Costeo SAP 2024'!O18</f>
        <v>22355198</v>
      </c>
      <c r="AL70" s="155">
        <f t="shared" si="64"/>
        <v>100000</v>
      </c>
      <c r="AM70" s="135">
        <v>0</v>
      </c>
      <c r="AN70" s="136">
        <v>100000</v>
      </c>
      <c r="AO70" s="136">
        <v>0</v>
      </c>
    </row>
    <row r="71" spans="1:41" s="138" customFormat="1" x14ac:dyDescent="0.25">
      <c r="A71" s="143"/>
      <c r="B71" s="144"/>
      <c r="C71" s="135"/>
      <c r="D71" s="136"/>
      <c r="E71" s="135"/>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7"/>
      <c r="AK71" s="136"/>
      <c r="AL71" s="136"/>
      <c r="AM71" s="135"/>
      <c r="AN71" s="136"/>
      <c r="AO71" s="136"/>
    </row>
    <row r="72" spans="1:41" s="138" customFormat="1" x14ac:dyDescent="0.25">
      <c r="A72" s="143"/>
      <c r="B72" s="144"/>
      <c r="C72" s="135"/>
      <c r="D72" s="136"/>
      <c r="E72" s="135"/>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7"/>
      <c r="AK72" s="136"/>
      <c r="AL72" s="136"/>
      <c r="AM72" s="135"/>
      <c r="AN72" s="136"/>
      <c r="AO72" s="136"/>
    </row>
    <row r="73" spans="1:41" s="138" customFormat="1" x14ac:dyDescent="0.25">
      <c r="A73" s="157" t="s">
        <v>140</v>
      </c>
      <c r="B73" s="139" t="s">
        <v>141</v>
      </c>
      <c r="C73" s="140">
        <f t="shared" ref="C73:AO73" si="65">+C74+C76+C83+C98+C104+C105+C106</f>
        <v>3324510703</v>
      </c>
      <c r="D73" s="141">
        <f t="shared" si="65"/>
        <v>681260998</v>
      </c>
      <c r="E73" s="140">
        <f t="shared" si="65"/>
        <v>0</v>
      </c>
      <c r="F73" s="141">
        <f t="shared" si="65"/>
        <v>3999929</v>
      </c>
      <c r="G73" s="141">
        <f t="shared" si="65"/>
        <v>12000000</v>
      </c>
      <c r="H73" s="141">
        <f t="shared" si="65"/>
        <v>5000000</v>
      </c>
      <c r="I73" s="141">
        <f t="shared" si="65"/>
        <v>47638500</v>
      </c>
      <c r="J73" s="141">
        <f t="shared" si="65"/>
        <v>0</v>
      </c>
      <c r="K73" s="141">
        <f t="shared" si="65"/>
        <v>5000000</v>
      </c>
      <c r="L73" s="141">
        <f t="shared" si="65"/>
        <v>25000000</v>
      </c>
      <c r="M73" s="141">
        <f t="shared" si="65"/>
        <v>5800000</v>
      </c>
      <c r="N73" s="141">
        <f t="shared" si="65"/>
        <v>20580069.000000004</v>
      </c>
      <c r="O73" s="141">
        <f t="shared" si="65"/>
        <v>326247500</v>
      </c>
      <c r="P73" s="141">
        <f t="shared" si="65"/>
        <v>20000000</v>
      </c>
      <c r="Q73" s="141">
        <f t="shared" si="65"/>
        <v>0</v>
      </c>
      <c r="R73" s="141">
        <f t="shared" si="65"/>
        <v>1000000</v>
      </c>
      <c r="S73" s="141">
        <f t="shared" si="65"/>
        <v>152600000</v>
      </c>
      <c r="T73" s="141">
        <f t="shared" si="65"/>
        <v>2000000</v>
      </c>
      <c r="U73" s="141">
        <f t="shared" si="65"/>
        <v>5495000</v>
      </c>
      <c r="V73" s="141">
        <f t="shared" si="65"/>
        <v>0</v>
      </c>
      <c r="W73" s="141">
        <f t="shared" si="65"/>
        <v>2650000</v>
      </c>
      <c r="X73" s="141">
        <f t="shared" si="65"/>
        <v>46250000</v>
      </c>
      <c r="Y73" s="141">
        <f t="shared" si="65"/>
        <v>1309153000</v>
      </c>
      <c r="Z73" s="141">
        <f t="shared" si="65"/>
        <v>8000000</v>
      </c>
      <c r="AA73" s="141">
        <f t="shared" si="65"/>
        <v>30000000</v>
      </c>
      <c r="AB73" s="141">
        <f t="shared" si="65"/>
        <v>1265653000</v>
      </c>
      <c r="AC73" s="141">
        <f t="shared" si="65"/>
        <v>5500000</v>
      </c>
      <c r="AD73" s="141">
        <f t="shared" si="65"/>
        <v>0</v>
      </c>
      <c r="AE73" s="141">
        <f t="shared" si="65"/>
        <v>329703407</v>
      </c>
      <c r="AF73" s="141">
        <f t="shared" si="65"/>
        <v>15822000</v>
      </c>
      <c r="AG73" s="141">
        <f t="shared" si="65"/>
        <v>120531407</v>
      </c>
      <c r="AH73" s="141">
        <f t="shared" si="65"/>
        <v>22150000</v>
      </c>
      <c r="AI73" s="141">
        <f t="shared" si="65"/>
        <v>171200000</v>
      </c>
      <c r="AJ73" s="142">
        <f t="shared" si="65"/>
        <v>1004393298</v>
      </c>
      <c r="AK73" s="141">
        <f t="shared" si="65"/>
        <v>1004393298</v>
      </c>
      <c r="AL73" s="141">
        <f t="shared" si="65"/>
        <v>0</v>
      </c>
      <c r="AM73" s="140">
        <f t="shared" si="65"/>
        <v>0</v>
      </c>
      <c r="AN73" s="141">
        <f t="shared" si="65"/>
        <v>0</v>
      </c>
      <c r="AO73" s="141">
        <f t="shared" si="65"/>
        <v>0</v>
      </c>
    </row>
    <row r="74" spans="1:41" s="138" customFormat="1" x14ac:dyDescent="0.25">
      <c r="A74" s="159" t="s">
        <v>142</v>
      </c>
      <c r="B74" s="144" t="s">
        <v>143</v>
      </c>
      <c r="C74" s="135">
        <f t="shared" ref="C74" si="66">D74+Y74+AE74+AJ74</f>
        <v>200000</v>
      </c>
      <c r="D74" s="136">
        <f t="shared" ref="D74" si="67">SUM(E74:X74)</f>
        <v>200000</v>
      </c>
      <c r="E74" s="135">
        <v>0</v>
      </c>
      <c r="F74" s="136">
        <v>0</v>
      </c>
      <c r="G74" s="136">
        <v>0</v>
      </c>
      <c r="H74" s="136">
        <v>0</v>
      </c>
      <c r="I74" s="136">
        <v>0</v>
      </c>
      <c r="J74" s="136">
        <v>0</v>
      </c>
      <c r="K74" s="136">
        <v>0</v>
      </c>
      <c r="L74" s="136">
        <v>0</v>
      </c>
      <c r="M74" s="136">
        <v>0</v>
      </c>
      <c r="N74" s="136">
        <v>0</v>
      </c>
      <c r="O74" s="136">
        <v>200000</v>
      </c>
      <c r="P74" s="136">
        <v>0</v>
      </c>
      <c r="Q74" s="136">
        <v>0</v>
      </c>
      <c r="R74" s="136">
        <v>0</v>
      </c>
      <c r="S74" s="136">
        <v>0</v>
      </c>
      <c r="T74" s="136">
        <v>0</v>
      </c>
      <c r="U74" s="136">
        <v>0</v>
      </c>
      <c r="V74" s="136">
        <v>0</v>
      </c>
      <c r="W74" s="136">
        <v>0</v>
      </c>
      <c r="X74" s="136">
        <v>0</v>
      </c>
      <c r="Y74" s="136">
        <f t="shared" ref="Y74" si="68">SUM(Z74:AD74)</f>
        <v>0</v>
      </c>
      <c r="Z74" s="136">
        <v>0</v>
      </c>
      <c r="AA74" s="136">
        <v>0</v>
      </c>
      <c r="AB74" s="136">
        <v>0</v>
      </c>
      <c r="AC74" s="136">
        <v>0</v>
      </c>
      <c r="AD74" s="136">
        <v>0</v>
      </c>
      <c r="AE74" s="136">
        <f t="shared" ref="AE74" si="69">SUM(AF74:AI74)</f>
        <v>0</v>
      </c>
      <c r="AF74" s="136">
        <v>0</v>
      </c>
      <c r="AG74" s="136">
        <v>0</v>
      </c>
      <c r="AH74" s="136">
        <v>0</v>
      </c>
      <c r="AI74" s="136">
        <v>0</v>
      </c>
      <c r="AJ74" s="137">
        <f t="shared" ref="AJ74" si="70">SUM(AK74+AL74)</f>
        <v>0</v>
      </c>
      <c r="AK74" s="136">
        <v>0</v>
      </c>
      <c r="AL74" s="136">
        <f t="shared" ref="AL74" si="71">SUM(AM74:AO74)</f>
        <v>0</v>
      </c>
      <c r="AM74" s="135">
        <v>0</v>
      </c>
      <c r="AN74" s="136">
        <v>0</v>
      </c>
      <c r="AO74" s="136">
        <v>0</v>
      </c>
    </row>
    <row r="75" spans="1:41" s="138" customFormat="1" x14ac:dyDescent="0.25">
      <c r="A75" s="143"/>
      <c r="B75" s="144"/>
      <c r="C75" s="135"/>
      <c r="D75" s="136"/>
      <c r="E75" s="135"/>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7"/>
      <c r="AK75" s="136"/>
      <c r="AL75" s="136"/>
      <c r="AM75" s="135"/>
      <c r="AN75" s="136"/>
      <c r="AO75" s="136"/>
    </row>
    <row r="76" spans="1:41" s="138" customFormat="1" x14ac:dyDescent="0.25">
      <c r="A76" s="157" t="s">
        <v>144</v>
      </c>
      <c r="B76" s="139" t="s">
        <v>145</v>
      </c>
      <c r="C76" s="140">
        <f>SUM(C77:C81)</f>
        <v>624446455</v>
      </c>
      <c r="D76" s="141">
        <f t="shared" ref="D76:AO76" si="72">SUM(D77:D81)</f>
        <v>179000000</v>
      </c>
      <c r="E76" s="140">
        <f t="shared" si="72"/>
        <v>0</v>
      </c>
      <c r="F76" s="141">
        <f t="shared" si="72"/>
        <v>0</v>
      </c>
      <c r="G76" s="141">
        <f t="shared" si="72"/>
        <v>12000000</v>
      </c>
      <c r="H76" s="141">
        <f t="shared" si="72"/>
        <v>5000000</v>
      </c>
      <c r="I76" s="141">
        <f t="shared" si="72"/>
        <v>0</v>
      </c>
      <c r="J76" s="141">
        <f t="shared" si="72"/>
        <v>0</v>
      </c>
      <c r="K76" s="141">
        <f t="shared" si="72"/>
        <v>5000000</v>
      </c>
      <c r="L76" s="141">
        <f t="shared" si="72"/>
        <v>0</v>
      </c>
      <c r="M76" s="141">
        <f t="shared" si="72"/>
        <v>5000000</v>
      </c>
      <c r="N76" s="141">
        <f t="shared" si="72"/>
        <v>0</v>
      </c>
      <c r="O76" s="141">
        <f t="shared" si="72"/>
        <v>0</v>
      </c>
      <c r="P76" s="141">
        <f t="shared" si="72"/>
        <v>0</v>
      </c>
      <c r="Q76" s="141">
        <f t="shared" si="72"/>
        <v>0</v>
      </c>
      <c r="R76" s="141">
        <f t="shared" si="72"/>
        <v>0</v>
      </c>
      <c r="S76" s="141">
        <f t="shared" si="72"/>
        <v>152000000</v>
      </c>
      <c r="T76" s="141">
        <f t="shared" si="72"/>
        <v>0</v>
      </c>
      <c r="U76" s="141">
        <f t="shared" si="72"/>
        <v>0</v>
      </c>
      <c r="V76" s="141">
        <f t="shared" si="72"/>
        <v>0</v>
      </c>
      <c r="W76" s="141">
        <f t="shared" si="72"/>
        <v>0</v>
      </c>
      <c r="X76" s="141">
        <f t="shared" si="72"/>
        <v>0</v>
      </c>
      <c r="Y76" s="141">
        <f t="shared" si="72"/>
        <v>8000000</v>
      </c>
      <c r="Z76" s="141">
        <f t="shared" si="72"/>
        <v>8000000</v>
      </c>
      <c r="AA76" s="141">
        <f t="shared" si="72"/>
        <v>0</v>
      </c>
      <c r="AB76" s="141">
        <f t="shared" si="72"/>
        <v>0</v>
      </c>
      <c r="AC76" s="141">
        <f t="shared" si="72"/>
        <v>0</v>
      </c>
      <c r="AD76" s="141">
        <f t="shared" si="72"/>
        <v>0</v>
      </c>
      <c r="AE76" s="141">
        <f t="shared" si="72"/>
        <v>57446455</v>
      </c>
      <c r="AF76" s="141">
        <f t="shared" si="72"/>
        <v>3500000</v>
      </c>
      <c r="AG76" s="141">
        <f t="shared" si="72"/>
        <v>42946455</v>
      </c>
      <c r="AH76" s="141">
        <f t="shared" si="72"/>
        <v>11000000</v>
      </c>
      <c r="AI76" s="141">
        <f t="shared" si="72"/>
        <v>0</v>
      </c>
      <c r="AJ76" s="142">
        <f t="shared" si="72"/>
        <v>380000000</v>
      </c>
      <c r="AK76" s="141">
        <f t="shared" si="72"/>
        <v>380000000</v>
      </c>
      <c r="AL76" s="141">
        <f t="shared" si="72"/>
        <v>0</v>
      </c>
      <c r="AM76" s="140">
        <f t="shared" si="72"/>
        <v>0</v>
      </c>
      <c r="AN76" s="141">
        <f t="shared" si="72"/>
        <v>0</v>
      </c>
      <c r="AO76" s="141">
        <f t="shared" si="72"/>
        <v>0</v>
      </c>
    </row>
    <row r="77" spans="1:41" s="138" customFormat="1" x14ac:dyDescent="0.25">
      <c r="A77" s="143" t="s">
        <v>146</v>
      </c>
      <c r="B77" s="144" t="s">
        <v>147</v>
      </c>
      <c r="C77" s="135">
        <f t="shared" ref="C77:C81" si="73">D77+Y77+AE77+AJ77</f>
        <v>38500000</v>
      </c>
      <c r="D77" s="136">
        <f t="shared" ref="D77:D81" si="74">SUM(E77:X77)</f>
        <v>27000000</v>
      </c>
      <c r="E77" s="135">
        <v>0</v>
      </c>
      <c r="F77" s="136">
        <v>0</v>
      </c>
      <c r="G77" s="136">
        <v>12000000</v>
      </c>
      <c r="H77" s="136">
        <v>5000000</v>
      </c>
      <c r="I77" s="136">
        <v>0</v>
      </c>
      <c r="J77" s="136">
        <v>0</v>
      </c>
      <c r="K77" s="136">
        <v>5000000</v>
      </c>
      <c r="L77" s="136">
        <v>0</v>
      </c>
      <c r="M77" s="136">
        <v>5000000</v>
      </c>
      <c r="N77" s="136">
        <v>0</v>
      </c>
      <c r="O77" s="136">
        <v>0</v>
      </c>
      <c r="P77" s="136">
        <v>0</v>
      </c>
      <c r="Q77" s="136">
        <v>0</v>
      </c>
      <c r="R77" s="136">
        <v>0</v>
      </c>
      <c r="S77" s="136">
        <v>0</v>
      </c>
      <c r="T77" s="136">
        <v>0</v>
      </c>
      <c r="U77" s="136">
        <v>0</v>
      </c>
      <c r="V77" s="136">
        <v>0</v>
      </c>
      <c r="W77" s="136">
        <v>0</v>
      </c>
      <c r="X77" s="136">
        <v>0</v>
      </c>
      <c r="Y77" s="136">
        <f t="shared" ref="Y77:Y81" si="75">SUM(Z77:AD77)</f>
        <v>8000000</v>
      </c>
      <c r="Z77" s="136">
        <v>8000000</v>
      </c>
      <c r="AA77" s="136">
        <v>0</v>
      </c>
      <c r="AB77" s="136">
        <v>0</v>
      </c>
      <c r="AC77" s="136">
        <v>0</v>
      </c>
      <c r="AD77" s="136">
        <v>0</v>
      </c>
      <c r="AE77" s="136">
        <f t="shared" ref="AE77:AE81" si="76">SUM(AF77:AI77)</f>
        <v>3500000</v>
      </c>
      <c r="AF77" s="136">
        <v>3500000</v>
      </c>
      <c r="AG77" s="136">
        <v>0</v>
      </c>
      <c r="AH77" s="136">
        <v>0</v>
      </c>
      <c r="AI77" s="136">
        <v>0</v>
      </c>
      <c r="AJ77" s="137">
        <f t="shared" ref="AJ77:AJ81" si="77">SUM(AK77+AL77)</f>
        <v>0</v>
      </c>
      <c r="AK77" s="136">
        <v>0</v>
      </c>
      <c r="AL77" s="136">
        <f t="shared" ref="AL77:AL81" si="78">SUM(AM77:AO77)</f>
        <v>0</v>
      </c>
      <c r="AM77" s="135">
        <v>0</v>
      </c>
      <c r="AN77" s="136">
        <v>0</v>
      </c>
      <c r="AO77" s="136">
        <v>0</v>
      </c>
    </row>
    <row r="78" spans="1:41" s="138" customFormat="1" x14ac:dyDescent="0.25">
      <c r="A78" s="143" t="s">
        <v>148</v>
      </c>
      <c r="B78" s="144" t="s">
        <v>149</v>
      </c>
      <c r="C78" s="135">
        <f t="shared" si="73"/>
        <v>11000000</v>
      </c>
      <c r="D78" s="136">
        <f t="shared" si="74"/>
        <v>0</v>
      </c>
      <c r="E78" s="135">
        <v>0</v>
      </c>
      <c r="F78" s="136">
        <v>0</v>
      </c>
      <c r="G78" s="136">
        <v>0</v>
      </c>
      <c r="H78" s="136">
        <v>0</v>
      </c>
      <c r="I78" s="136">
        <v>0</v>
      </c>
      <c r="J78" s="136">
        <v>0</v>
      </c>
      <c r="K78" s="136">
        <v>0</v>
      </c>
      <c r="L78" s="136">
        <v>0</v>
      </c>
      <c r="M78" s="136">
        <v>0</v>
      </c>
      <c r="N78" s="136">
        <v>0</v>
      </c>
      <c r="O78" s="136">
        <v>0</v>
      </c>
      <c r="P78" s="136">
        <v>0</v>
      </c>
      <c r="Q78" s="136">
        <v>0</v>
      </c>
      <c r="R78" s="136">
        <v>0</v>
      </c>
      <c r="S78" s="136">
        <v>0</v>
      </c>
      <c r="T78" s="136">
        <v>0</v>
      </c>
      <c r="U78" s="136">
        <v>0</v>
      </c>
      <c r="V78" s="136">
        <v>0</v>
      </c>
      <c r="W78" s="136">
        <v>0</v>
      </c>
      <c r="X78" s="136">
        <v>0</v>
      </c>
      <c r="Y78" s="136">
        <f t="shared" si="75"/>
        <v>0</v>
      </c>
      <c r="Z78" s="136">
        <v>0</v>
      </c>
      <c r="AA78" s="136">
        <v>0</v>
      </c>
      <c r="AB78" s="136">
        <v>0</v>
      </c>
      <c r="AC78" s="136">
        <v>0</v>
      </c>
      <c r="AD78" s="136">
        <v>0</v>
      </c>
      <c r="AE78" s="136">
        <f t="shared" si="76"/>
        <v>11000000</v>
      </c>
      <c r="AF78" s="136">
        <v>0</v>
      </c>
      <c r="AG78" s="136">
        <v>0</v>
      </c>
      <c r="AH78" s="136">
        <v>11000000</v>
      </c>
      <c r="AI78" s="136">
        <v>0</v>
      </c>
      <c r="AJ78" s="137">
        <f t="shared" si="77"/>
        <v>0</v>
      </c>
      <c r="AK78" s="136">
        <v>0</v>
      </c>
      <c r="AL78" s="136">
        <f t="shared" si="78"/>
        <v>0</v>
      </c>
      <c r="AM78" s="135">
        <v>0</v>
      </c>
      <c r="AN78" s="136">
        <v>0</v>
      </c>
      <c r="AO78" s="136">
        <v>0</v>
      </c>
    </row>
    <row r="79" spans="1:41" s="138" customFormat="1" x14ac:dyDescent="0.25">
      <c r="A79" s="143" t="s">
        <v>150</v>
      </c>
      <c r="B79" s="144" t="s">
        <v>151</v>
      </c>
      <c r="C79" s="135">
        <f t="shared" si="73"/>
        <v>29506820</v>
      </c>
      <c r="D79" s="136"/>
      <c r="E79" s="135"/>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f t="shared" si="76"/>
        <v>29506820</v>
      </c>
      <c r="AF79" s="136"/>
      <c r="AG79" s="136">
        <v>29506820</v>
      </c>
      <c r="AH79" s="136"/>
      <c r="AI79" s="136"/>
      <c r="AJ79" s="137"/>
      <c r="AK79" s="136"/>
      <c r="AL79" s="136"/>
      <c r="AM79" s="135"/>
      <c r="AN79" s="136"/>
      <c r="AO79" s="136"/>
    </row>
    <row r="80" spans="1:41" s="138" customFormat="1" x14ac:dyDescent="0.25">
      <c r="A80" s="143" t="s">
        <v>152</v>
      </c>
      <c r="B80" s="144" t="s">
        <v>153</v>
      </c>
      <c r="C80" s="135">
        <f t="shared" si="73"/>
        <v>532000000</v>
      </c>
      <c r="D80" s="136">
        <f t="shared" si="74"/>
        <v>152000000</v>
      </c>
      <c r="E80" s="135">
        <v>0</v>
      </c>
      <c r="F80" s="136">
        <v>0</v>
      </c>
      <c r="G80" s="136">
        <v>0</v>
      </c>
      <c r="H80" s="136">
        <v>0</v>
      </c>
      <c r="I80" s="136">
        <v>0</v>
      </c>
      <c r="J80" s="136">
        <v>0</v>
      </c>
      <c r="K80" s="136">
        <v>0</v>
      </c>
      <c r="L80" s="136">
        <v>0</v>
      </c>
      <c r="M80" s="136">
        <v>0</v>
      </c>
      <c r="N80" s="136">
        <v>0</v>
      </c>
      <c r="O80" s="136">
        <v>0</v>
      </c>
      <c r="P80" s="136">
        <v>0</v>
      </c>
      <c r="Q80" s="136">
        <v>0</v>
      </c>
      <c r="R80" s="136">
        <v>0</v>
      </c>
      <c r="S80" s="136">
        <v>152000000</v>
      </c>
      <c r="T80" s="136">
        <v>0</v>
      </c>
      <c r="U80" s="136">
        <v>0</v>
      </c>
      <c r="V80" s="136">
        <v>0</v>
      </c>
      <c r="W80" s="136">
        <v>0</v>
      </c>
      <c r="X80" s="136">
        <v>0</v>
      </c>
      <c r="Y80" s="136">
        <f t="shared" si="75"/>
        <v>0</v>
      </c>
      <c r="Z80" s="136">
        <v>0</v>
      </c>
      <c r="AA80" s="136">
        <v>0</v>
      </c>
      <c r="AB80" s="136">
        <v>0</v>
      </c>
      <c r="AC80" s="136">
        <v>0</v>
      </c>
      <c r="AD80" s="136">
        <v>0</v>
      </c>
      <c r="AE80" s="136">
        <f t="shared" si="76"/>
        <v>0</v>
      </c>
      <c r="AF80" s="136">
        <v>0</v>
      </c>
      <c r="AG80" s="136">
        <v>0</v>
      </c>
      <c r="AH80" s="136">
        <v>0</v>
      </c>
      <c r="AI80" s="136">
        <v>0</v>
      </c>
      <c r="AJ80" s="137">
        <f t="shared" si="77"/>
        <v>380000000</v>
      </c>
      <c r="AK80" s="136">
        <v>380000000</v>
      </c>
      <c r="AL80" s="136">
        <f t="shared" si="78"/>
        <v>0</v>
      </c>
      <c r="AM80" s="135">
        <v>0</v>
      </c>
      <c r="AN80" s="136">
        <v>0</v>
      </c>
      <c r="AO80" s="136">
        <v>0</v>
      </c>
    </row>
    <row r="81" spans="1:41" s="138" customFormat="1" x14ac:dyDescent="0.25">
      <c r="A81" s="143" t="s">
        <v>154</v>
      </c>
      <c r="B81" s="144" t="s">
        <v>155</v>
      </c>
      <c r="C81" s="135">
        <f t="shared" si="73"/>
        <v>13439635</v>
      </c>
      <c r="D81" s="136">
        <f t="shared" si="74"/>
        <v>0</v>
      </c>
      <c r="E81" s="135">
        <v>0</v>
      </c>
      <c r="F81" s="136">
        <v>0</v>
      </c>
      <c r="G81" s="136">
        <v>0</v>
      </c>
      <c r="H81" s="136">
        <v>0</v>
      </c>
      <c r="I81" s="136">
        <v>0</v>
      </c>
      <c r="J81" s="136">
        <v>0</v>
      </c>
      <c r="K81" s="136">
        <v>0</v>
      </c>
      <c r="L81" s="136">
        <v>0</v>
      </c>
      <c r="M81" s="136">
        <v>0</v>
      </c>
      <c r="N81" s="136">
        <v>0</v>
      </c>
      <c r="O81" s="136">
        <v>0</v>
      </c>
      <c r="P81" s="136">
        <v>0</v>
      </c>
      <c r="Q81" s="136">
        <v>0</v>
      </c>
      <c r="R81" s="136">
        <v>0</v>
      </c>
      <c r="S81" s="136">
        <v>0</v>
      </c>
      <c r="T81" s="136">
        <v>0</v>
      </c>
      <c r="U81" s="136">
        <v>0</v>
      </c>
      <c r="V81" s="136">
        <v>0</v>
      </c>
      <c r="W81" s="136">
        <v>0</v>
      </c>
      <c r="X81" s="136">
        <v>0</v>
      </c>
      <c r="Y81" s="136">
        <f t="shared" si="75"/>
        <v>0</v>
      </c>
      <c r="Z81" s="136">
        <v>0</v>
      </c>
      <c r="AA81" s="136">
        <v>0</v>
      </c>
      <c r="AB81" s="136">
        <v>0</v>
      </c>
      <c r="AC81" s="136">
        <v>0</v>
      </c>
      <c r="AD81" s="136">
        <v>0</v>
      </c>
      <c r="AE81" s="136">
        <f t="shared" si="76"/>
        <v>13439635</v>
      </c>
      <c r="AF81" s="136">
        <v>0</v>
      </c>
      <c r="AG81" s="136">
        <v>13439635</v>
      </c>
      <c r="AH81" s="136">
        <v>0</v>
      </c>
      <c r="AI81" s="136">
        <v>0</v>
      </c>
      <c r="AJ81" s="137">
        <f t="shared" si="77"/>
        <v>0</v>
      </c>
      <c r="AK81" s="136">
        <v>0</v>
      </c>
      <c r="AL81" s="136">
        <f t="shared" si="78"/>
        <v>0</v>
      </c>
      <c r="AM81" s="135">
        <v>0</v>
      </c>
      <c r="AN81" s="136">
        <v>0</v>
      </c>
      <c r="AO81" s="136">
        <v>0</v>
      </c>
    </row>
    <row r="82" spans="1:41" s="138" customFormat="1" x14ac:dyDescent="0.25">
      <c r="A82" s="143"/>
      <c r="B82" s="144"/>
      <c r="C82" s="135"/>
      <c r="D82" s="136"/>
      <c r="E82" s="135"/>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7"/>
      <c r="AK82" s="136"/>
      <c r="AL82" s="136"/>
      <c r="AM82" s="135"/>
      <c r="AN82" s="136"/>
      <c r="AO82" s="136"/>
    </row>
    <row r="83" spans="1:41" s="138" customFormat="1" x14ac:dyDescent="0.25">
      <c r="A83" s="157" t="s">
        <v>156</v>
      </c>
      <c r="B83" s="139" t="s">
        <v>157</v>
      </c>
      <c r="C83" s="140">
        <f>SUM(C84:C95)</f>
        <v>1370905577</v>
      </c>
      <c r="D83" s="141">
        <f t="shared" ref="D83:AO83" si="79">SUM(D84:D95)</f>
        <v>1100000</v>
      </c>
      <c r="E83" s="140">
        <f t="shared" si="79"/>
        <v>0</v>
      </c>
      <c r="F83" s="141">
        <f t="shared" si="79"/>
        <v>0</v>
      </c>
      <c r="G83" s="141">
        <f t="shared" si="79"/>
        <v>0</v>
      </c>
      <c r="H83" s="141">
        <f t="shared" si="79"/>
        <v>0</v>
      </c>
      <c r="I83" s="141">
        <f t="shared" si="79"/>
        <v>0</v>
      </c>
      <c r="J83" s="141">
        <f t="shared" si="79"/>
        <v>0</v>
      </c>
      <c r="K83" s="141">
        <f t="shared" si="79"/>
        <v>0</v>
      </c>
      <c r="L83" s="141">
        <f t="shared" si="79"/>
        <v>0</v>
      </c>
      <c r="M83" s="141">
        <f t="shared" si="79"/>
        <v>0</v>
      </c>
      <c r="N83" s="141">
        <f t="shared" si="79"/>
        <v>0</v>
      </c>
      <c r="O83" s="141">
        <f t="shared" si="79"/>
        <v>0</v>
      </c>
      <c r="P83" s="141">
        <f t="shared" si="79"/>
        <v>0</v>
      </c>
      <c r="Q83" s="141">
        <f t="shared" si="79"/>
        <v>0</v>
      </c>
      <c r="R83" s="141">
        <f t="shared" si="79"/>
        <v>0</v>
      </c>
      <c r="S83" s="141">
        <f t="shared" si="79"/>
        <v>0</v>
      </c>
      <c r="T83" s="141">
        <f t="shared" si="79"/>
        <v>0</v>
      </c>
      <c r="U83" s="141">
        <f t="shared" si="79"/>
        <v>0</v>
      </c>
      <c r="V83" s="141">
        <f t="shared" si="79"/>
        <v>0</v>
      </c>
      <c r="W83" s="141">
        <f t="shared" si="79"/>
        <v>1100000</v>
      </c>
      <c r="X83" s="141">
        <f t="shared" si="79"/>
        <v>0</v>
      </c>
      <c r="Y83" s="141">
        <f t="shared" si="79"/>
        <v>1222898625</v>
      </c>
      <c r="Z83" s="141">
        <f t="shared" si="79"/>
        <v>0</v>
      </c>
      <c r="AA83" s="141">
        <f t="shared" si="79"/>
        <v>0</v>
      </c>
      <c r="AB83" s="141">
        <f t="shared" si="79"/>
        <v>1222898625</v>
      </c>
      <c r="AC83" s="141">
        <f t="shared" si="79"/>
        <v>0</v>
      </c>
      <c r="AD83" s="141">
        <f t="shared" si="79"/>
        <v>0</v>
      </c>
      <c r="AE83" s="141">
        <f t="shared" si="79"/>
        <v>146906952</v>
      </c>
      <c r="AF83" s="141">
        <f t="shared" si="79"/>
        <v>12322000</v>
      </c>
      <c r="AG83" s="141">
        <f t="shared" si="79"/>
        <v>77584952</v>
      </c>
      <c r="AH83" s="141">
        <f t="shared" si="79"/>
        <v>11000000</v>
      </c>
      <c r="AI83" s="141">
        <f t="shared" si="79"/>
        <v>46000000</v>
      </c>
      <c r="AJ83" s="142">
        <f t="shared" si="79"/>
        <v>0</v>
      </c>
      <c r="AK83" s="141">
        <f t="shared" si="79"/>
        <v>0</v>
      </c>
      <c r="AL83" s="141">
        <f t="shared" si="79"/>
        <v>0</v>
      </c>
      <c r="AM83" s="140">
        <f t="shared" si="79"/>
        <v>0</v>
      </c>
      <c r="AN83" s="141">
        <f t="shared" si="79"/>
        <v>0</v>
      </c>
      <c r="AO83" s="141">
        <f t="shared" si="79"/>
        <v>0</v>
      </c>
    </row>
    <row r="84" spans="1:41" s="138" customFormat="1" x14ac:dyDescent="0.25">
      <c r="A84" s="143" t="s">
        <v>158</v>
      </c>
      <c r="B84" s="144" t="s">
        <v>159</v>
      </c>
      <c r="C84" s="135">
        <f t="shared" ref="C84:C95" si="80">D84+Y84+AE84+AJ84</f>
        <v>9100000</v>
      </c>
      <c r="D84" s="136">
        <f t="shared" ref="D84:D93" si="81">SUM(E84:X84)</f>
        <v>1100000</v>
      </c>
      <c r="E84" s="135">
        <v>0</v>
      </c>
      <c r="F84" s="136">
        <v>0</v>
      </c>
      <c r="G84" s="136">
        <v>0</v>
      </c>
      <c r="H84" s="136">
        <v>0</v>
      </c>
      <c r="I84" s="136">
        <v>0</v>
      </c>
      <c r="J84" s="136">
        <v>0</v>
      </c>
      <c r="K84" s="136">
        <v>0</v>
      </c>
      <c r="L84" s="136">
        <v>0</v>
      </c>
      <c r="M84" s="136">
        <v>0</v>
      </c>
      <c r="N84" s="136">
        <v>0</v>
      </c>
      <c r="O84" s="136">
        <v>0</v>
      </c>
      <c r="P84" s="136">
        <v>0</v>
      </c>
      <c r="Q84" s="136">
        <v>0</v>
      </c>
      <c r="R84" s="136">
        <v>0</v>
      </c>
      <c r="S84" s="136">
        <v>0</v>
      </c>
      <c r="T84" s="136">
        <v>0</v>
      </c>
      <c r="U84" s="136">
        <v>0</v>
      </c>
      <c r="V84" s="136">
        <v>0</v>
      </c>
      <c r="W84" s="136">
        <v>1100000</v>
      </c>
      <c r="X84" s="136">
        <v>0</v>
      </c>
      <c r="Y84" s="136">
        <f t="shared" ref="Y84:Y93" si="82">SUM(Z84:AD84)</f>
        <v>0</v>
      </c>
      <c r="Z84" s="136">
        <v>0</v>
      </c>
      <c r="AA84" s="136">
        <v>0</v>
      </c>
      <c r="AB84" s="136">
        <v>0</v>
      </c>
      <c r="AC84" s="136">
        <v>0</v>
      </c>
      <c r="AD84" s="136">
        <v>0</v>
      </c>
      <c r="AE84" s="136">
        <f t="shared" ref="AE84:AE95" si="83">SUM(AF84:AI84)</f>
        <v>8000000</v>
      </c>
      <c r="AF84" s="136">
        <v>0</v>
      </c>
      <c r="AG84" s="136">
        <v>0</v>
      </c>
      <c r="AH84" s="136">
        <v>0</v>
      </c>
      <c r="AI84" s="136">
        <v>8000000</v>
      </c>
      <c r="AJ84" s="137">
        <f t="shared" ref="AJ84:AJ93" si="84">SUM(AK84+AL84)</f>
        <v>0</v>
      </c>
      <c r="AK84" s="136">
        <v>0</v>
      </c>
      <c r="AL84" s="136">
        <f t="shared" ref="AL84:AL93" si="85">SUM(AM84:AO84)</f>
        <v>0</v>
      </c>
      <c r="AM84" s="135">
        <v>0</v>
      </c>
      <c r="AN84" s="136">
        <v>0</v>
      </c>
      <c r="AO84" s="136">
        <v>0</v>
      </c>
    </row>
    <row r="85" spans="1:41" s="138" customFormat="1" x14ac:dyDescent="0.25">
      <c r="A85" s="143" t="s">
        <v>160</v>
      </c>
      <c r="B85" s="144" t="s">
        <v>161</v>
      </c>
      <c r="C85" s="135">
        <f t="shared" si="80"/>
        <v>11000000</v>
      </c>
      <c r="D85" s="136">
        <f t="shared" si="81"/>
        <v>0</v>
      </c>
      <c r="E85" s="135">
        <v>0</v>
      </c>
      <c r="F85" s="136">
        <v>0</v>
      </c>
      <c r="G85" s="136">
        <v>0</v>
      </c>
      <c r="H85" s="136">
        <v>0</v>
      </c>
      <c r="I85" s="136">
        <v>0</v>
      </c>
      <c r="J85" s="136">
        <v>0</v>
      </c>
      <c r="K85" s="136">
        <v>0</v>
      </c>
      <c r="L85" s="136">
        <v>0</v>
      </c>
      <c r="M85" s="136">
        <v>0</v>
      </c>
      <c r="N85" s="136">
        <v>0</v>
      </c>
      <c r="O85" s="136">
        <v>0</v>
      </c>
      <c r="P85" s="136">
        <v>0</v>
      </c>
      <c r="Q85" s="136">
        <v>0</v>
      </c>
      <c r="R85" s="136">
        <v>0</v>
      </c>
      <c r="S85" s="136">
        <v>0</v>
      </c>
      <c r="T85" s="136">
        <v>0</v>
      </c>
      <c r="U85" s="136">
        <v>0</v>
      </c>
      <c r="V85" s="136">
        <v>0</v>
      </c>
      <c r="W85" s="136">
        <v>0</v>
      </c>
      <c r="X85" s="136">
        <v>0</v>
      </c>
      <c r="Y85" s="136">
        <f t="shared" si="82"/>
        <v>0</v>
      </c>
      <c r="Z85" s="136">
        <v>0</v>
      </c>
      <c r="AA85" s="136">
        <v>0</v>
      </c>
      <c r="AB85" s="136">
        <v>0</v>
      </c>
      <c r="AC85" s="136">
        <v>0</v>
      </c>
      <c r="AD85" s="136">
        <v>0</v>
      </c>
      <c r="AE85" s="136">
        <f t="shared" si="83"/>
        <v>11000000</v>
      </c>
      <c r="AF85" s="136">
        <v>0</v>
      </c>
      <c r="AG85" s="136">
        <v>0</v>
      </c>
      <c r="AH85" s="136">
        <v>11000000</v>
      </c>
      <c r="AI85" s="136">
        <v>0</v>
      </c>
      <c r="AJ85" s="137">
        <f t="shared" si="84"/>
        <v>0</v>
      </c>
      <c r="AK85" s="136">
        <v>0</v>
      </c>
      <c r="AL85" s="136">
        <f t="shared" si="85"/>
        <v>0</v>
      </c>
      <c r="AM85" s="135">
        <v>0</v>
      </c>
      <c r="AN85" s="136">
        <v>0</v>
      </c>
      <c r="AO85" s="136">
        <v>0</v>
      </c>
    </row>
    <row r="86" spans="1:41" s="138" customFormat="1" x14ac:dyDescent="0.25">
      <c r="A86" s="143" t="s">
        <v>162</v>
      </c>
      <c r="B86" s="144" t="s">
        <v>163</v>
      </c>
      <c r="C86" s="135">
        <f t="shared" si="80"/>
        <v>32584952</v>
      </c>
      <c r="D86" s="136">
        <f t="shared" si="81"/>
        <v>0</v>
      </c>
      <c r="E86" s="135">
        <v>0</v>
      </c>
      <c r="F86" s="136">
        <v>0</v>
      </c>
      <c r="G86" s="136">
        <v>0</v>
      </c>
      <c r="H86" s="136">
        <v>0</v>
      </c>
      <c r="I86" s="136">
        <v>0</v>
      </c>
      <c r="J86" s="136">
        <v>0</v>
      </c>
      <c r="K86" s="136">
        <v>0</v>
      </c>
      <c r="L86" s="136">
        <v>0</v>
      </c>
      <c r="M86" s="136">
        <v>0</v>
      </c>
      <c r="N86" s="136">
        <v>0</v>
      </c>
      <c r="O86" s="136">
        <v>0</v>
      </c>
      <c r="P86" s="136">
        <v>0</v>
      </c>
      <c r="Q86" s="136">
        <v>0</v>
      </c>
      <c r="R86" s="136">
        <v>0</v>
      </c>
      <c r="S86" s="136">
        <v>0</v>
      </c>
      <c r="T86" s="136">
        <v>0</v>
      </c>
      <c r="U86" s="136">
        <v>0</v>
      </c>
      <c r="V86" s="136">
        <v>0</v>
      </c>
      <c r="W86" s="136">
        <v>0</v>
      </c>
      <c r="X86" s="136">
        <v>0</v>
      </c>
      <c r="Y86" s="136">
        <f t="shared" si="82"/>
        <v>0</v>
      </c>
      <c r="Z86" s="136">
        <v>0</v>
      </c>
      <c r="AA86" s="136">
        <v>0</v>
      </c>
      <c r="AB86" s="136">
        <v>0</v>
      </c>
      <c r="AC86" s="136">
        <v>0</v>
      </c>
      <c r="AD86" s="136">
        <v>0</v>
      </c>
      <c r="AE86" s="136">
        <f t="shared" si="83"/>
        <v>32584952</v>
      </c>
      <c r="AF86" s="136">
        <v>0</v>
      </c>
      <c r="AG86" s="136">
        <v>32584952</v>
      </c>
      <c r="AH86" s="136">
        <v>0</v>
      </c>
      <c r="AI86" s="136">
        <v>0</v>
      </c>
      <c r="AJ86" s="137">
        <f t="shared" si="84"/>
        <v>0</v>
      </c>
      <c r="AK86" s="136">
        <v>0</v>
      </c>
      <c r="AL86" s="136">
        <f t="shared" si="85"/>
        <v>0</v>
      </c>
      <c r="AM86" s="135">
        <v>0</v>
      </c>
      <c r="AN86" s="136">
        <v>0</v>
      </c>
      <c r="AO86" s="136">
        <v>0</v>
      </c>
    </row>
    <row r="87" spans="1:41" s="138" customFormat="1" x14ac:dyDescent="0.25">
      <c r="A87" s="143" t="s">
        <v>164</v>
      </c>
      <c r="B87" s="144" t="s">
        <v>165</v>
      </c>
      <c r="C87" s="135">
        <f t="shared" si="80"/>
        <v>56246139</v>
      </c>
      <c r="D87" s="136">
        <f t="shared" si="81"/>
        <v>0</v>
      </c>
      <c r="E87" s="135">
        <v>0</v>
      </c>
      <c r="F87" s="136">
        <v>0</v>
      </c>
      <c r="G87" s="136">
        <v>0</v>
      </c>
      <c r="H87" s="136">
        <v>0</v>
      </c>
      <c r="I87" s="136">
        <v>0</v>
      </c>
      <c r="J87" s="136">
        <v>0</v>
      </c>
      <c r="K87" s="136">
        <v>0</v>
      </c>
      <c r="L87" s="136">
        <v>0</v>
      </c>
      <c r="M87" s="136">
        <v>0</v>
      </c>
      <c r="N87" s="136">
        <v>0</v>
      </c>
      <c r="O87" s="136">
        <v>0</v>
      </c>
      <c r="P87" s="136">
        <v>0</v>
      </c>
      <c r="Q87" s="136">
        <v>0</v>
      </c>
      <c r="R87" s="136">
        <v>0</v>
      </c>
      <c r="S87" s="136">
        <v>0</v>
      </c>
      <c r="T87" s="136">
        <v>0</v>
      </c>
      <c r="U87" s="136">
        <v>0</v>
      </c>
      <c r="V87" s="136">
        <v>0</v>
      </c>
      <c r="W87" s="136">
        <v>0</v>
      </c>
      <c r="X87" s="136">
        <v>0</v>
      </c>
      <c r="Y87" s="136">
        <f t="shared" si="82"/>
        <v>56246139</v>
      </c>
      <c r="Z87" s="136">
        <v>0</v>
      </c>
      <c r="AA87" s="136">
        <v>0</v>
      </c>
      <c r="AB87" s="136">
        <v>56246139</v>
      </c>
      <c r="AC87" s="136">
        <v>0</v>
      </c>
      <c r="AD87" s="136">
        <v>0</v>
      </c>
      <c r="AE87" s="136">
        <f t="shared" si="83"/>
        <v>0</v>
      </c>
      <c r="AF87" s="136">
        <v>0</v>
      </c>
      <c r="AG87" s="136">
        <v>0</v>
      </c>
      <c r="AH87" s="136">
        <v>0</v>
      </c>
      <c r="AI87" s="136">
        <v>0</v>
      </c>
      <c r="AJ87" s="137">
        <f t="shared" si="84"/>
        <v>0</v>
      </c>
      <c r="AK87" s="136">
        <v>0</v>
      </c>
      <c r="AL87" s="136">
        <f t="shared" si="85"/>
        <v>0</v>
      </c>
      <c r="AM87" s="135">
        <v>0</v>
      </c>
      <c r="AN87" s="136">
        <v>0</v>
      </c>
      <c r="AO87" s="136">
        <v>0</v>
      </c>
    </row>
    <row r="88" spans="1:41" s="138" customFormat="1" x14ac:dyDescent="0.25">
      <c r="A88" s="143" t="s">
        <v>166</v>
      </c>
      <c r="B88" s="144" t="s">
        <v>167</v>
      </c>
      <c r="C88" s="135">
        <f t="shared" si="80"/>
        <v>275000000</v>
      </c>
      <c r="D88" s="136">
        <f t="shared" si="81"/>
        <v>0</v>
      </c>
      <c r="E88" s="135">
        <v>0</v>
      </c>
      <c r="F88" s="136">
        <v>0</v>
      </c>
      <c r="G88" s="136">
        <v>0</v>
      </c>
      <c r="H88" s="136">
        <v>0</v>
      </c>
      <c r="I88" s="136">
        <v>0</v>
      </c>
      <c r="J88" s="136">
        <v>0</v>
      </c>
      <c r="K88" s="136">
        <v>0</v>
      </c>
      <c r="L88" s="136">
        <v>0</v>
      </c>
      <c r="M88" s="136">
        <v>0</v>
      </c>
      <c r="N88" s="136">
        <v>0</v>
      </c>
      <c r="O88" s="136">
        <v>0</v>
      </c>
      <c r="P88" s="136">
        <v>0</v>
      </c>
      <c r="Q88" s="136">
        <v>0</v>
      </c>
      <c r="R88" s="136">
        <v>0</v>
      </c>
      <c r="S88" s="136">
        <v>0</v>
      </c>
      <c r="T88" s="136">
        <v>0</v>
      </c>
      <c r="U88" s="136">
        <v>0</v>
      </c>
      <c r="V88" s="136">
        <v>0</v>
      </c>
      <c r="W88" s="136">
        <v>0</v>
      </c>
      <c r="X88" s="136">
        <v>0</v>
      </c>
      <c r="Y88" s="136">
        <f t="shared" si="82"/>
        <v>275000000</v>
      </c>
      <c r="Z88" s="136">
        <v>0</v>
      </c>
      <c r="AA88" s="136">
        <v>0</v>
      </c>
      <c r="AB88" s="136">
        <v>275000000</v>
      </c>
      <c r="AC88" s="136">
        <v>0</v>
      </c>
      <c r="AD88" s="136">
        <v>0</v>
      </c>
      <c r="AE88" s="136">
        <f t="shared" si="83"/>
        <v>0</v>
      </c>
      <c r="AF88" s="136">
        <v>0</v>
      </c>
      <c r="AG88" s="136">
        <v>0</v>
      </c>
      <c r="AH88" s="136">
        <v>0</v>
      </c>
      <c r="AI88" s="136">
        <v>0</v>
      </c>
      <c r="AJ88" s="137">
        <f t="shared" si="84"/>
        <v>0</v>
      </c>
      <c r="AK88" s="136">
        <v>0</v>
      </c>
      <c r="AL88" s="136">
        <f t="shared" si="85"/>
        <v>0</v>
      </c>
      <c r="AM88" s="135">
        <v>0</v>
      </c>
      <c r="AN88" s="136">
        <v>0</v>
      </c>
      <c r="AO88" s="136">
        <v>0</v>
      </c>
    </row>
    <row r="89" spans="1:41" s="138" customFormat="1" x14ac:dyDescent="0.25">
      <c r="A89" s="143" t="s">
        <v>168</v>
      </c>
      <c r="B89" s="144" t="s">
        <v>169</v>
      </c>
      <c r="C89" s="135">
        <f t="shared" si="80"/>
        <v>12322000</v>
      </c>
      <c r="D89" s="136"/>
      <c r="E89" s="135"/>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f t="shared" si="83"/>
        <v>12322000</v>
      </c>
      <c r="AF89" s="136">
        <v>12322000</v>
      </c>
      <c r="AG89" s="136"/>
      <c r="AH89" s="136"/>
      <c r="AI89" s="136"/>
      <c r="AJ89" s="137"/>
      <c r="AK89" s="136"/>
      <c r="AL89" s="136"/>
      <c r="AM89" s="135"/>
      <c r="AN89" s="136"/>
      <c r="AO89" s="136"/>
    </row>
    <row r="90" spans="1:41" s="138" customFormat="1" x14ac:dyDescent="0.25">
      <c r="A90" s="143" t="s">
        <v>170</v>
      </c>
      <c r="B90" s="144" t="s">
        <v>171</v>
      </c>
      <c r="C90" s="135">
        <f t="shared" si="80"/>
        <v>38000000</v>
      </c>
      <c r="D90" s="136">
        <f t="shared" si="81"/>
        <v>0</v>
      </c>
      <c r="E90" s="135">
        <v>0</v>
      </c>
      <c r="F90" s="136">
        <v>0</v>
      </c>
      <c r="G90" s="136">
        <v>0</v>
      </c>
      <c r="H90" s="136">
        <v>0</v>
      </c>
      <c r="I90" s="136">
        <v>0</v>
      </c>
      <c r="J90" s="136">
        <v>0</v>
      </c>
      <c r="K90" s="136">
        <v>0</v>
      </c>
      <c r="L90" s="136">
        <v>0</v>
      </c>
      <c r="M90" s="136">
        <v>0</v>
      </c>
      <c r="N90" s="136">
        <v>0</v>
      </c>
      <c r="O90" s="136">
        <v>0</v>
      </c>
      <c r="P90" s="136">
        <v>0</v>
      </c>
      <c r="Q90" s="136">
        <v>0</v>
      </c>
      <c r="R90" s="136">
        <v>0</v>
      </c>
      <c r="S90" s="136">
        <v>0</v>
      </c>
      <c r="T90" s="136">
        <v>0</v>
      </c>
      <c r="U90" s="136">
        <v>0</v>
      </c>
      <c r="V90" s="136">
        <v>0</v>
      </c>
      <c r="W90" s="136">
        <v>0</v>
      </c>
      <c r="X90" s="136">
        <v>0</v>
      </c>
      <c r="Y90" s="136">
        <f t="shared" si="82"/>
        <v>0</v>
      </c>
      <c r="Z90" s="136">
        <v>0</v>
      </c>
      <c r="AA90" s="136">
        <v>0</v>
      </c>
      <c r="AB90" s="136">
        <v>0</v>
      </c>
      <c r="AC90" s="136">
        <v>0</v>
      </c>
      <c r="AD90" s="136">
        <v>0</v>
      </c>
      <c r="AE90" s="136">
        <f t="shared" si="83"/>
        <v>38000000</v>
      </c>
      <c r="AF90" s="136">
        <v>0</v>
      </c>
      <c r="AG90" s="136">
        <v>0</v>
      </c>
      <c r="AH90" s="136">
        <v>0</v>
      </c>
      <c r="AI90" s="136">
        <v>38000000</v>
      </c>
      <c r="AJ90" s="137">
        <f t="shared" si="84"/>
        <v>0</v>
      </c>
      <c r="AK90" s="136">
        <v>0</v>
      </c>
      <c r="AL90" s="136">
        <f t="shared" si="85"/>
        <v>0</v>
      </c>
      <c r="AM90" s="135">
        <v>0</v>
      </c>
      <c r="AN90" s="136">
        <v>0</v>
      </c>
      <c r="AO90" s="136">
        <v>0</v>
      </c>
    </row>
    <row r="91" spans="1:41" s="138" customFormat="1" x14ac:dyDescent="0.25">
      <c r="A91" s="143" t="s">
        <v>172</v>
      </c>
      <c r="B91" s="144" t="s">
        <v>173</v>
      </c>
      <c r="C91" s="135">
        <f t="shared" si="80"/>
        <v>6652486</v>
      </c>
      <c r="D91" s="136">
        <f t="shared" si="81"/>
        <v>0</v>
      </c>
      <c r="E91" s="135">
        <v>0</v>
      </c>
      <c r="F91" s="136">
        <v>0</v>
      </c>
      <c r="G91" s="136">
        <v>0</v>
      </c>
      <c r="H91" s="136">
        <v>0</v>
      </c>
      <c r="I91" s="136">
        <v>0</v>
      </c>
      <c r="J91" s="136">
        <v>0</v>
      </c>
      <c r="K91" s="136">
        <v>0</v>
      </c>
      <c r="L91" s="136">
        <v>0</v>
      </c>
      <c r="M91" s="136">
        <v>0</v>
      </c>
      <c r="N91" s="136">
        <v>0</v>
      </c>
      <c r="O91" s="136">
        <v>0</v>
      </c>
      <c r="P91" s="136">
        <v>0</v>
      </c>
      <c r="Q91" s="136">
        <v>0</v>
      </c>
      <c r="R91" s="136">
        <v>0</v>
      </c>
      <c r="S91" s="136">
        <v>0</v>
      </c>
      <c r="T91" s="136">
        <v>0</v>
      </c>
      <c r="U91" s="136">
        <v>0</v>
      </c>
      <c r="V91" s="136">
        <v>0</v>
      </c>
      <c r="W91" s="136">
        <v>0</v>
      </c>
      <c r="X91" s="136">
        <v>0</v>
      </c>
      <c r="Y91" s="136">
        <f t="shared" si="82"/>
        <v>6652486</v>
      </c>
      <c r="Z91" s="136">
        <v>0</v>
      </c>
      <c r="AA91" s="136">
        <v>0</v>
      </c>
      <c r="AB91" s="136">
        <v>6652486</v>
      </c>
      <c r="AC91" s="136">
        <v>0</v>
      </c>
      <c r="AD91" s="136">
        <v>0</v>
      </c>
      <c r="AE91" s="136">
        <f t="shared" si="83"/>
        <v>0</v>
      </c>
      <c r="AF91" s="136">
        <v>0</v>
      </c>
      <c r="AG91" s="136">
        <v>0</v>
      </c>
      <c r="AH91" s="136">
        <v>0</v>
      </c>
      <c r="AI91" s="136">
        <v>0</v>
      </c>
      <c r="AJ91" s="137">
        <f t="shared" si="84"/>
        <v>0</v>
      </c>
      <c r="AK91" s="136">
        <v>0</v>
      </c>
      <c r="AL91" s="136">
        <f t="shared" si="85"/>
        <v>0</v>
      </c>
      <c r="AM91" s="135">
        <v>0</v>
      </c>
      <c r="AN91" s="136">
        <v>0</v>
      </c>
      <c r="AO91" s="136">
        <v>0</v>
      </c>
    </row>
    <row r="92" spans="1:41" s="138" customFormat="1" x14ac:dyDescent="0.25">
      <c r="A92" s="143" t="s">
        <v>174</v>
      </c>
      <c r="B92" s="144" t="s">
        <v>175</v>
      </c>
      <c r="C92" s="135">
        <f t="shared" si="80"/>
        <v>425000000</v>
      </c>
      <c r="D92" s="136">
        <f t="shared" si="81"/>
        <v>0</v>
      </c>
      <c r="E92" s="135">
        <v>0</v>
      </c>
      <c r="F92" s="136">
        <v>0</v>
      </c>
      <c r="G92" s="136">
        <v>0</v>
      </c>
      <c r="H92" s="136">
        <v>0</v>
      </c>
      <c r="I92" s="136">
        <v>0</v>
      </c>
      <c r="J92" s="136">
        <v>0</v>
      </c>
      <c r="K92" s="136">
        <v>0</v>
      </c>
      <c r="L92" s="136">
        <v>0</v>
      </c>
      <c r="M92" s="136">
        <v>0</v>
      </c>
      <c r="N92" s="136">
        <v>0</v>
      </c>
      <c r="O92" s="136">
        <v>0</v>
      </c>
      <c r="P92" s="136">
        <v>0</v>
      </c>
      <c r="Q92" s="136">
        <v>0</v>
      </c>
      <c r="R92" s="136">
        <v>0</v>
      </c>
      <c r="S92" s="136">
        <v>0</v>
      </c>
      <c r="T92" s="136">
        <v>0</v>
      </c>
      <c r="U92" s="136">
        <v>0</v>
      </c>
      <c r="V92" s="136">
        <v>0</v>
      </c>
      <c r="W92" s="136">
        <v>0</v>
      </c>
      <c r="X92" s="136">
        <v>0</v>
      </c>
      <c r="Y92" s="136">
        <f t="shared" si="82"/>
        <v>425000000</v>
      </c>
      <c r="Z92" s="136">
        <v>0</v>
      </c>
      <c r="AA92" s="136">
        <v>0</v>
      </c>
      <c r="AB92" s="136">
        <v>425000000</v>
      </c>
      <c r="AC92" s="136">
        <v>0</v>
      </c>
      <c r="AD92" s="136">
        <v>0</v>
      </c>
      <c r="AE92" s="136">
        <f t="shared" si="83"/>
        <v>0</v>
      </c>
      <c r="AF92" s="136">
        <v>0</v>
      </c>
      <c r="AG92" s="136">
        <v>0</v>
      </c>
      <c r="AH92" s="136">
        <v>0</v>
      </c>
      <c r="AI92" s="136">
        <v>0</v>
      </c>
      <c r="AJ92" s="137">
        <f t="shared" si="84"/>
        <v>0</v>
      </c>
      <c r="AK92" s="136">
        <v>0</v>
      </c>
      <c r="AL92" s="136">
        <f t="shared" si="85"/>
        <v>0</v>
      </c>
      <c r="AM92" s="135">
        <v>0</v>
      </c>
      <c r="AN92" s="136">
        <v>0</v>
      </c>
      <c r="AO92" s="136">
        <v>0</v>
      </c>
    </row>
    <row r="93" spans="1:41" s="138" customFormat="1" x14ac:dyDescent="0.25">
      <c r="A93" s="143" t="s">
        <v>176</v>
      </c>
      <c r="B93" s="144" t="s">
        <v>177</v>
      </c>
      <c r="C93" s="135">
        <f t="shared" si="80"/>
        <v>460000000</v>
      </c>
      <c r="D93" s="136">
        <f t="shared" si="81"/>
        <v>0</v>
      </c>
      <c r="E93" s="135">
        <v>0</v>
      </c>
      <c r="F93" s="136">
        <v>0</v>
      </c>
      <c r="G93" s="136">
        <v>0</v>
      </c>
      <c r="H93" s="136">
        <v>0</v>
      </c>
      <c r="I93" s="136">
        <v>0</v>
      </c>
      <c r="J93" s="136">
        <v>0</v>
      </c>
      <c r="K93" s="136">
        <v>0</v>
      </c>
      <c r="L93" s="136">
        <v>0</v>
      </c>
      <c r="M93" s="136">
        <v>0</v>
      </c>
      <c r="N93" s="136">
        <v>0</v>
      </c>
      <c r="O93" s="136">
        <v>0</v>
      </c>
      <c r="P93" s="136">
        <v>0</v>
      </c>
      <c r="Q93" s="136">
        <v>0</v>
      </c>
      <c r="R93" s="136">
        <v>0</v>
      </c>
      <c r="S93" s="136">
        <v>0</v>
      </c>
      <c r="T93" s="136">
        <v>0</v>
      </c>
      <c r="U93" s="136">
        <v>0</v>
      </c>
      <c r="V93" s="136">
        <v>0</v>
      </c>
      <c r="W93" s="136">
        <v>0</v>
      </c>
      <c r="X93" s="136">
        <v>0</v>
      </c>
      <c r="Y93" s="136">
        <f t="shared" si="82"/>
        <v>460000000</v>
      </c>
      <c r="Z93" s="136">
        <v>0</v>
      </c>
      <c r="AA93" s="136">
        <v>0</v>
      </c>
      <c r="AB93" s="136">
        <v>460000000</v>
      </c>
      <c r="AC93" s="136">
        <v>0</v>
      </c>
      <c r="AD93" s="136">
        <v>0</v>
      </c>
      <c r="AE93" s="136">
        <f t="shared" si="83"/>
        <v>0</v>
      </c>
      <c r="AF93" s="136">
        <v>0</v>
      </c>
      <c r="AG93" s="136">
        <v>0</v>
      </c>
      <c r="AH93" s="136">
        <v>0</v>
      </c>
      <c r="AI93" s="136">
        <v>0</v>
      </c>
      <c r="AJ93" s="137">
        <f t="shared" si="84"/>
        <v>0</v>
      </c>
      <c r="AK93" s="136">
        <v>0</v>
      </c>
      <c r="AL93" s="136">
        <f t="shared" si="85"/>
        <v>0</v>
      </c>
      <c r="AM93" s="135">
        <v>0</v>
      </c>
      <c r="AN93" s="136">
        <v>0</v>
      </c>
      <c r="AO93" s="136">
        <v>0</v>
      </c>
    </row>
    <row r="94" spans="1:41" s="138" customFormat="1" x14ac:dyDescent="0.25">
      <c r="A94" s="143" t="s">
        <v>178</v>
      </c>
      <c r="B94" s="144" t="s">
        <v>179</v>
      </c>
      <c r="C94" s="135">
        <f t="shared" si="80"/>
        <v>20000000</v>
      </c>
      <c r="D94" s="136"/>
      <c r="E94" s="135"/>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f t="shared" si="83"/>
        <v>20000000</v>
      </c>
      <c r="AF94" s="136">
        <v>0</v>
      </c>
      <c r="AG94" s="136">
        <v>20000000</v>
      </c>
      <c r="AH94" s="136"/>
      <c r="AI94" s="136"/>
      <c r="AJ94" s="137"/>
      <c r="AK94" s="136"/>
      <c r="AL94" s="136"/>
      <c r="AM94" s="135"/>
      <c r="AN94" s="136"/>
      <c r="AO94" s="136"/>
    </row>
    <row r="95" spans="1:41" s="138" customFormat="1" x14ac:dyDescent="0.25">
      <c r="A95" s="143" t="s">
        <v>180</v>
      </c>
      <c r="B95" s="144" t="s">
        <v>181</v>
      </c>
      <c r="C95" s="135">
        <f t="shared" si="80"/>
        <v>25000000</v>
      </c>
      <c r="D95" s="136"/>
      <c r="E95" s="135"/>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f t="shared" si="83"/>
        <v>25000000</v>
      </c>
      <c r="AF95" s="136">
        <v>0</v>
      </c>
      <c r="AG95" s="136">
        <v>25000000</v>
      </c>
      <c r="AH95" s="136"/>
      <c r="AI95" s="136"/>
      <c r="AJ95" s="137"/>
      <c r="AK95" s="136"/>
      <c r="AL95" s="136"/>
      <c r="AM95" s="135"/>
      <c r="AN95" s="136"/>
      <c r="AO95" s="136"/>
    </row>
    <row r="96" spans="1:41" s="138" customFormat="1" x14ac:dyDescent="0.25">
      <c r="A96" s="143"/>
      <c r="B96" s="144"/>
      <c r="C96" s="135"/>
      <c r="D96" s="136"/>
      <c r="E96" s="135"/>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7"/>
      <c r="AK96" s="136"/>
      <c r="AL96" s="136"/>
      <c r="AM96" s="135"/>
      <c r="AN96" s="136"/>
      <c r="AO96" s="136"/>
    </row>
    <row r="97" spans="1:41" s="138" customFormat="1" x14ac:dyDescent="0.25">
      <c r="A97" s="143"/>
      <c r="B97" s="144"/>
      <c r="C97" s="135"/>
      <c r="D97" s="136"/>
      <c r="E97" s="135"/>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7"/>
      <c r="AK97" s="136"/>
      <c r="AL97" s="136"/>
      <c r="AM97" s="135"/>
      <c r="AN97" s="136"/>
      <c r="AO97" s="136"/>
    </row>
    <row r="98" spans="1:41" s="138" customFormat="1" x14ac:dyDescent="0.25">
      <c r="A98" s="157" t="s">
        <v>182</v>
      </c>
      <c r="B98" s="130" t="s">
        <v>183</v>
      </c>
      <c r="C98" s="140">
        <f>SUM(C99:C102)</f>
        <v>289865742</v>
      </c>
      <c r="D98" s="141">
        <f t="shared" ref="D98:AO98" si="86">SUM(D99:D102)</f>
        <v>75280069</v>
      </c>
      <c r="E98" s="140">
        <f t="shared" si="86"/>
        <v>0</v>
      </c>
      <c r="F98" s="141">
        <f t="shared" si="86"/>
        <v>0</v>
      </c>
      <c r="G98" s="141">
        <f t="shared" si="86"/>
        <v>0</v>
      </c>
      <c r="H98" s="141">
        <f t="shared" si="86"/>
        <v>0</v>
      </c>
      <c r="I98" s="141">
        <f t="shared" si="86"/>
        <v>0</v>
      </c>
      <c r="J98" s="141">
        <f t="shared" si="86"/>
        <v>0</v>
      </c>
      <c r="K98" s="141">
        <f t="shared" si="86"/>
        <v>0</v>
      </c>
      <c r="L98" s="141">
        <f t="shared" si="86"/>
        <v>25000000</v>
      </c>
      <c r="M98" s="141">
        <f t="shared" si="86"/>
        <v>0</v>
      </c>
      <c r="N98" s="141">
        <f t="shared" si="86"/>
        <v>20280069.000000004</v>
      </c>
      <c r="O98" s="141">
        <f t="shared" si="86"/>
        <v>0</v>
      </c>
      <c r="P98" s="141">
        <f t="shared" si="86"/>
        <v>20000000</v>
      </c>
      <c r="Q98" s="141">
        <f t="shared" si="86"/>
        <v>0</v>
      </c>
      <c r="R98" s="141">
        <f t="shared" si="86"/>
        <v>0</v>
      </c>
      <c r="S98" s="141">
        <f t="shared" si="86"/>
        <v>0</v>
      </c>
      <c r="T98" s="141">
        <f t="shared" si="86"/>
        <v>0</v>
      </c>
      <c r="U98" s="141">
        <f t="shared" si="86"/>
        <v>0</v>
      </c>
      <c r="V98" s="141">
        <f t="shared" si="86"/>
        <v>0</v>
      </c>
      <c r="W98" s="141">
        <f t="shared" si="86"/>
        <v>0</v>
      </c>
      <c r="X98" s="141">
        <f t="shared" si="86"/>
        <v>10000000</v>
      </c>
      <c r="Y98" s="141">
        <f t="shared" si="86"/>
        <v>42754375</v>
      </c>
      <c r="Z98" s="141">
        <f t="shared" si="86"/>
        <v>0</v>
      </c>
      <c r="AA98" s="141">
        <f t="shared" si="86"/>
        <v>0</v>
      </c>
      <c r="AB98" s="141">
        <f t="shared" si="86"/>
        <v>42754375</v>
      </c>
      <c r="AC98" s="141">
        <f t="shared" si="86"/>
        <v>0</v>
      </c>
      <c r="AD98" s="141">
        <f t="shared" si="86"/>
        <v>0</v>
      </c>
      <c r="AE98" s="141">
        <f t="shared" si="86"/>
        <v>2000000</v>
      </c>
      <c r="AF98" s="141">
        <f t="shared" si="86"/>
        <v>0</v>
      </c>
      <c r="AG98" s="141">
        <f t="shared" si="86"/>
        <v>0</v>
      </c>
      <c r="AH98" s="141">
        <f t="shared" si="86"/>
        <v>0</v>
      </c>
      <c r="AI98" s="141">
        <f t="shared" si="86"/>
        <v>2000000</v>
      </c>
      <c r="AJ98" s="142">
        <f t="shared" si="86"/>
        <v>169831298</v>
      </c>
      <c r="AK98" s="141">
        <f t="shared" si="86"/>
        <v>169831298</v>
      </c>
      <c r="AL98" s="141">
        <f t="shared" si="86"/>
        <v>0</v>
      </c>
      <c r="AM98" s="140">
        <f t="shared" si="86"/>
        <v>0</v>
      </c>
      <c r="AN98" s="141">
        <f t="shared" si="86"/>
        <v>0</v>
      </c>
      <c r="AO98" s="141">
        <f t="shared" si="86"/>
        <v>0</v>
      </c>
    </row>
    <row r="99" spans="1:41" s="138" customFormat="1" x14ac:dyDescent="0.25">
      <c r="A99" s="143" t="s">
        <v>184</v>
      </c>
      <c r="B99" s="144" t="s">
        <v>185</v>
      </c>
      <c r="C99" s="135">
        <f t="shared" ref="C99:C106" si="87">D99+Y99+AE99+AJ99</f>
        <v>245111367</v>
      </c>
      <c r="D99" s="136">
        <f t="shared" ref="D99:D106" si="88">SUM(E99:X99)</f>
        <v>75280069</v>
      </c>
      <c r="E99" s="135">
        <v>0</v>
      </c>
      <c r="F99" s="136">
        <v>0</v>
      </c>
      <c r="G99" s="136">
        <v>0</v>
      </c>
      <c r="H99" s="136">
        <v>0</v>
      </c>
      <c r="I99" s="136">
        <v>0</v>
      </c>
      <c r="J99" s="136">
        <v>0</v>
      </c>
      <c r="K99" s="136">
        <v>0</v>
      </c>
      <c r="L99" s="136">
        <f>60000000-'[1]Costeo SAP 2024'!O20-'[1]Costeo SAP 2024'!O21</f>
        <v>25000000</v>
      </c>
      <c r="M99" s="136">
        <v>0</v>
      </c>
      <c r="N99" s="136">
        <f>75111367-'[1]Costeo SAP 2024'!O19-0.09</f>
        <v>20280069.000000004</v>
      </c>
      <c r="O99" s="136">
        <v>0</v>
      </c>
      <c r="P99" s="136">
        <v>20000000</v>
      </c>
      <c r="Q99" s="136">
        <v>0</v>
      </c>
      <c r="R99" s="136">
        <v>0</v>
      </c>
      <c r="S99" s="136">
        <v>0</v>
      </c>
      <c r="T99" s="136">
        <v>0</v>
      </c>
      <c r="U99" s="136">
        <v>0</v>
      </c>
      <c r="V99" s="136">
        <v>0</v>
      </c>
      <c r="W99" s="136">
        <v>0</v>
      </c>
      <c r="X99" s="136">
        <v>10000000</v>
      </c>
      <c r="Y99" s="136">
        <f t="shared" ref="Y99:Y106" si="89">SUM(Z99:AD99)</f>
        <v>0</v>
      </c>
      <c r="Z99" s="136">
        <v>0</v>
      </c>
      <c r="AA99" s="136">
        <v>0</v>
      </c>
      <c r="AB99" s="136">
        <v>0</v>
      </c>
      <c r="AC99" s="136">
        <v>0</v>
      </c>
      <c r="AD99" s="136">
        <v>0</v>
      </c>
      <c r="AE99" s="136">
        <f t="shared" ref="AE99:AE106" si="90">SUM(AF99:AI99)</f>
        <v>0</v>
      </c>
      <c r="AF99" s="136">
        <v>0</v>
      </c>
      <c r="AG99" s="136">
        <v>0</v>
      </c>
      <c r="AH99" s="136">
        <v>0</v>
      </c>
      <c r="AI99" s="136">
        <v>0</v>
      </c>
      <c r="AJ99" s="137">
        <f t="shared" ref="AJ99:AJ106" si="91">SUM(AK99+AL99)</f>
        <v>169831298</v>
      </c>
      <c r="AK99" s="136">
        <f>80000000+'[1]Costeo SAP 2024'!O19+'[1]Costeo SAP 2024'!O20+'[1]Costeo SAP 2024'!O21+0.09</f>
        <v>169831298</v>
      </c>
      <c r="AL99" s="136">
        <f t="shared" ref="AL99:AL106" si="92">SUM(AM99:AO99)</f>
        <v>0</v>
      </c>
      <c r="AM99" s="135">
        <v>0</v>
      </c>
      <c r="AN99" s="136">
        <v>0</v>
      </c>
      <c r="AO99" s="136">
        <v>0</v>
      </c>
    </row>
    <row r="100" spans="1:41" s="138" customFormat="1" x14ac:dyDescent="0.25">
      <c r="A100" s="143" t="s">
        <v>186</v>
      </c>
      <c r="B100" s="144" t="s">
        <v>187</v>
      </c>
      <c r="C100" s="135">
        <f t="shared" si="87"/>
        <v>2000000</v>
      </c>
      <c r="D100" s="136">
        <f t="shared" si="88"/>
        <v>0</v>
      </c>
      <c r="E100" s="135">
        <v>0</v>
      </c>
      <c r="F100" s="136">
        <v>0</v>
      </c>
      <c r="G100" s="136">
        <v>0</v>
      </c>
      <c r="H100" s="136">
        <v>0</v>
      </c>
      <c r="I100" s="136">
        <v>0</v>
      </c>
      <c r="J100" s="136">
        <v>0</v>
      </c>
      <c r="K100" s="136">
        <v>0</v>
      </c>
      <c r="L100" s="136">
        <v>0</v>
      </c>
      <c r="M100" s="136">
        <v>0</v>
      </c>
      <c r="N100" s="136">
        <v>0</v>
      </c>
      <c r="O100" s="136">
        <v>0</v>
      </c>
      <c r="P100" s="136">
        <v>0</v>
      </c>
      <c r="Q100" s="136">
        <v>0</v>
      </c>
      <c r="R100" s="136">
        <v>0</v>
      </c>
      <c r="S100" s="136">
        <v>0</v>
      </c>
      <c r="T100" s="136">
        <v>0</v>
      </c>
      <c r="U100" s="136">
        <v>0</v>
      </c>
      <c r="V100" s="136">
        <v>0</v>
      </c>
      <c r="W100" s="136">
        <v>0</v>
      </c>
      <c r="X100" s="136">
        <v>0</v>
      </c>
      <c r="Y100" s="136">
        <f t="shared" si="89"/>
        <v>0</v>
      </c>
      <c r="Z100" s="136">
        <v>0</v>
      </c>
      <c r="AA100" s="136">
        <v>0</v>
      </c>
      <c r="AB100" s="136">
        <v>0</v>
      </c>
      <c r="AC100" s="136">
        <v>0</v>
      </c>
      <c r="AD100" s="136">
        <v>0</v>
      </c>
      <c r="AE100" s="136">
        <f t="shared" si="90"/>
        <v>2000000</v>
      </c>
      <c r="AF100" s="136">
        <v>0</v>
      </c>
      <c r="AG100" s="136">
        <v>0</v>
      </c>
      <c r="AH100" s="136">
        <v>0</v>
      </c>
      <c r="AI100" s="136">
        <v>2000000</v>
      </c>
      <c r="AJ100" s="137">
        <f t="shared" si="91"/>
        <v>0</v>
      </c>
      <c r="AK100" s="136">
        <v>0</v>
      </c>
      <c r="AL100" s="136">
        <f t="shared" si="92"/>
        <v>0</v>
      </c>
      <c r="AM100" s="135">
        <v>0</v>
      </c>
      <c r="AN100" s="136">
        <v>0</v>
      </c>
      <c r="AO100" s="136">
        <v>0</v>
      </c>
    </row>
    <row r="101" spans="1:41" s="138" customFormat="1" x14ac:dyDescent="0.25">
      <c r="A101" s="143" t="s">
        <v>188</v>
      </c>
      <c r="B101" s="144" t="s">
        <v>189</v>
      </c>
      <c r="C101" s="135">
        <f t="shared" si="87"/>
        <v>2754375</v>
      </c>
      <c r="D101" s="136">
        <f t="shared" si="88"/>
        <v>0</v>
      </c>
      <c r="E101" s="135">
        <v>0</v>
      </c>
      <c r="F101" s="136">
        <v>0</v>
      </c>
      <c r="G101" s="136">
        <v>0</v>
      </c>
      <c r="H101" s="136">
        <v>0</v>
      </c>
      <c r="I101" s="136">
        <v>0</v>
      </c>
      <c r="J101" s="136">
        <v>0</v>
      </c>
      <c r="K101" s="136">
        <v>0</v>
      </c>
      <c r="L101" s="136">
        <v>0</v>
      </c>
      <c r="M101" s="136">
        <v>0</v>
      </c>
      <c r="N101" s="136">
        <v>0</v>
      </c>
      <c r="O101" s="136">
        <v>0</v>
      </c>
      <c r="P101" s="136">
        <v>0</v>
      </c>
      <c r="Q101" s="136">
        <v>0</v>
      </c>
      <c r="R101" s="136">
        <v>0</v>
      </c>
      <c r="S101" s="136">
        <v>0</v>
      </c>
      <c r="T101" s="136">
        <v>0</v>
      </c>
      <c r="U101" s="136">
        <v>0</v>
      </c>
      <c r="V101" s="136">
        <v>0</v>
      </c>
      <c r="W101" s="136">
        <v>0</v>
      </c>
      <c r="X101" s="136">
        <v>0</v>
      </c>
      <c r="Y101" s="136">
        <f t="shared" si="89"/>
        <v>2754375</v>
      </c>
      <c r="Z101" s="136">
        <v>0</v>
      </c>
      <c r="AA101" s="136">
        <v>0</v>
      </c>
      <c r="AB101" s="136">
        <v>2754375</v>
      </c>
      <c r="AC101" s="136">
        <v>0</v>
      </c>
      <c r="AD101" s="136">
        <v>0</v>
      </c>
      <c r="AE101" s="136">
        <f t="shared" si="90"/>
        <v>0</v>
      </c>
      <c r="AF101" s="136">
        <v>0</v>
      </c>
      <c r="AG101" s="136">
        <v>0</v>
      </c>
      <c r="AH101" s="136">
        <v>0</v>
      </c>
      <c r="AI101" s="136">
        <v>0</v>
      </c>
      <c r="AJ101" s="137">
        <f t="shared" si="91"/>
        <v>0</v>
      </c>
      <c r="AK101" s="136">
        <v>0</v>
      </c>
      <c r="AL101" s="136">
        <f t="shared" si="92"/>
        <v>0</v>
      </c>
      <c r="AM101" s="135">
        <v>0</v>
      </c>
      <c r="AN101" s="136">
        <v>0</v>
      </c>
      <c r="AO101" s="136">
        <v>0</v>
      </c>
    </row>
    <row r="102" spans="1:41" s="138" customFormat="1" x14ac:dyDescent="0.25">
      <c r="A102" s="143" t="s">
        <v>190</v>
      </c>
      <c r="B102" s="144" t="s">
        <v>191</v>
      </c>
      <c r="C102" s="135">
        <f t="shared" si="87"/>
        <v>40000000</v>
      </c>
      <c r="D102" s="136">
        <f t="shared" si="88"/>
        <v>0</v>
      </c>
      <c r="E102" s="135">
        <v>0</v>
      </c>
      <c r="F102" s="136">
        <v>0</v>
      </c>
      <c r="G102" s="136">
        <v>0</v>
      </c>
      <c r="H102" s="136">
        <v>0</v>
      </c>
      <c r="I102" s="136">
        <v>0</v>
      </c>
      <c r="J102" s="136">
        <v>0</v>
      </c>
      <c r="K102" s="136">
        <v>0</v>
      </c>
      <c r="L102" s="136">
        <v>0</v>
      </c>
      <c r="M102" s="136">
        <v>0</v>
      </c>
      <c r="N102" s="136">
        <v>0</v>
      </c>
      <c r="O102" s="136">
        <v>0</v>
      </c>
      <c r="P102" s="136">
        <v>0</v>
      </c>
      <c r="Q102" s="136">
        <v>0</v>
      </c>
      <c r="R102" s="136">
        <v>0</v>
      </c>
      <c r="S102" s="136">
        <v>0</v>
      </c>
      <c r="T102" s="136">
        <v>0</v>
      </c>
      <c r="U102" s="136">
        <v>0</v>
      </c>
      <c r="V102" s="136">
        <v>0</v>
      </c>
      <c r="W102" s="136">
        <v>0</v>
      </c>
      <c r="X102" s="136">
        <v>0</v>
      </c>
      <c r="Y102" s="136">
        <f t="shared" si="89"/>
        <v>40000000</v>
      </c>
      <c r="Z102" s="136">
        <v>0</v>
      </c>
      <c r="AA102" s="136">
        <v>0</v>
      </c>
      <c r="AB102" s="136">
        <v>40000000</v>
      </c>
      <c r="AC102" s="136">
        <v>0</v>
      </c>
      <c r="AD102" s="136">
        <v>0</v>
      </c>
      <c r="AE102" s="136">
        <f t="shared" si="90"/>
        <v>0</v>
      </c>
      <c r="AF102" s="136">
        <v>0</v>
      </c>
      <c r="AG102" s="136">
        <v>0</v>
      </c>
      <c r="AH102" s="136">
        <v>0</v>
      </c>
      <c r="AI102" s="136">
        <v>0</v>
      </c>
      <c r="AJ102" s="137">
        <f t="shared" si="91"/>
        <v>0</v>
      </c>
      <c r="AK102" s="136">
        <v>0</v>
      </c>
      <c r="AL102" s="136">
        <f t="shared" si="92"/>
        <v>0</v>
      </c>
      <c r="AM102" s="135">
        <v>0</v>
      </c>
      <c r="AN102" s="136">
        <v>0</v>
      </c>
      <c r="AO102" s="136">
        <v>0</v>
      </c>
    </row>
    <row r="103" spans="1:41" s="138" customFormat="1" x14ac:dyDescent="0.25">
      <c r="A103" s="143"/>
      <c r="B103" s="144"/>
      <c r="C103" s="135"/>
      <c r="D103" s="136"/>
      <c r="E103" s="135"/>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7"/>
      <c r="AK103" s="136"/>
      <c r="AL103" s="136"/>
      <c r="AM103" s="135"/>
      <c r="AN103" s="136"/>
      <c r="AO103" s="136"/>
    </row>
    <row r="104" spans="1:41" s="138" customFormat="1" x14ac:dyDescent="0.25">
      <c r="A104" s="143" t="s">
        <v>192</v>
      </c>
      <c r="B104" s="144" t="s">
        <v>193</v>
      </c>
      <c r="C104" s="135">
        <f t="shared" si="87"/>
        <v>67517929</v>
      </c>
      <c r="D104" s="136">
        <f t="shared" si="88"/>
        <v>51638429</v>
      </c>
      <c r="E104" s="135">
        <v>0</v>
      </c>
      <c r="F104" s="136">
        <v>3999929</v>
      </c>
      <c r="G104" s="136">
        <v>0</v>
      </c>
      <c r="H104" s="136">
        <v>0</v>
      </c>
      <c r="I104" s="136">
        <f>63518000-'[1]Costeo SAP 2024'!O22</f>
        <v>47638500</v>
      </c>
      <c r="J104" s="136">
        <v>0</v>
      </c>
      <c r="K104" s="136">
        <v>0</v>
      </c>
      <c r="L104" s="136">
        <v>0</v>
      </c>
      <c r="M104" s="136">
        <v>0</v>
      </c>
      <c r="N104" s="136">
        <v>0</v>
      </c>
      <c r="O104" s="136">
        <v>0</v>
      </c>
      <c r="P104" s="136">
        <v>0</v>
      </c>
      <c r="Q104" s="136">
        <v>0</v>
      </c>
      <c r="R104" s="136">
        <v>0</v>
      </c>
      <c r="S104" s="136">
        <v>0</v>
      </c>
      <c r="T104" s="136">
        <v>0</v>
      </c>
      <c r="U104" s="136">
        <v>0</v>
      </c>
      <c r="V104" s="136">
        <v>0</v>
      </c>
      <c r="W104" s="136">
        <v>0</v>
      </c>
      <c r="X104" s="136">
        <v>0</v>
      </c>
      <c r="Y104" s="136">
        <f t="shared" si="89"/>
        <v>0</v>
      </c>
      <c r="Z104" s="136">
        <v>0</v>
      </c>
      <c r="AA104" s="136">
        <v>0</v>
      </c>
      <c r="AB104" s="136">
        <v>0</v>
      </c>
      <c r="AC104" s="136">
        <v>0</v>
      </c>
      <c r="AD104" s="136">
        <v>0</v>
      </c>
      <c r="AE104" s="136">
        <f t="shared" si="90"/>
        <v>0</v>
      </c>
      <c r="AF104" s="136">
        <v>0</v>
      </c>
      <c r="AG104" s="136">
        <v>0</v>
      </c>
      <c r="AH104" s="136">
        <v>0</v>
      </c>
      <c r="AI104" s="136">
        <v>0</v>
      </c>
      <c r="AJ104" s="137">
        <f t="shared" si="91"/>
        <v>15879500</v>
      </c>
      <c r="AK104" s="136">
        <f>+'[1]Costeo SAP 2024'!O22</f>
        <v>15879500</v>
      </c>
      <c r="AL104" s="136">
        <f t="shared" si="92"/>
        <v>0</v>
      </c>
      <c r="AM104" s="135">
        <v>0</v>
      </c>
      <c r="AN104" s="136">
        <v>0</v>
      </c>
      <c r="AO104" s="136">
        <v>0</v>
      </c>
    </row>
    <row r="105" spans="1:41" s="138" customFormat="1" x14ac:dyDescent="0.25">
      <c r="A105" s="143" t="s">
        <v>194</v>
      </c>
      <c r="B105" s="144" t="s">
        <v>195</v>
      </c>
      <c r="C105" s="135">
        <f t="shared" si="87"/>
        <v>522725000</v>
      </c>
      <c r="D105" s="136">
        <f t="shared" si="88"/>
        <v>332780000</v>
      </c>
      <c r="E105" s="135">
        <v>0</v>
      </c>
      <c r="F105" s="136">
        <v>0</v>
      </c>
      <c r="G105" s="136">
        <v>0</v>
      </c>
      <c r="H105" s="136">
        <v>0</v>
      </c>
      <c r="I105" s="136">
        <v>0</v>
      </c>
      <c r="J105" s="136">
        <v>0</v>
      </c>
      <c r="K105" s="136">
        <v>0</v>
      </c>
      <c r="L105" s="136">
        <v>0</v>
      </c>
      <c r="M105" s="136">
        <v>800000</v>
      </c>
      <c r="N105" s="136">
        <v>300000</v>
      </c>
      <c r="O105" s="136">
        <f>1026380000-'[1]Costeo SAP 2024'!O23-500000000-150000000</f>
        <v>319785000</v>
      </c>
      <c r="P105" s="136">
        <v>0</v>
      </c>
      <c r="Q105" s="136">
        <v>0</v>
      </c>
      <c r="R105" s="136">
        <v>1000000</v>
      </c>
      <c r="S105" s="136">
        <v>600000</v>
      </c>
      <c r="T105" s="136">
        <v>2000000</v>
      </c>
      <c r="U105" s="136">
        <v>5495000</v>
      </c>
      <c r="V105" s="136">
        <v>0</v>
      </c>
      <c r="W105" s="136">
        <v>1550000</v>
      </c>
      <c r="X105" s="136">
        <v>1250000</v>
      </c>
      <c r="Y105" s="136">
        <f t="shared" si="89"/>
        <v>0</v>
      </c>
      <c r="Z105" s="136">
        <v>0</v>
      </c>
      <c r="AA105" s="136">
        <v>0</v>
      </c>
      <c r="AB105" s="136">
        <v>0</v>
      </c>
      <c r="AC105" s="136">
        <v>0</v>
      </c>
      <c r="AD105" s="136">
        <v>0</v>
      </c>
      <c r="AE105" s="136">
        <f t="shared" si="90"/>
        <v>123350000</v>
      </c>
      <c r="AF105" s="136">
        <v>0</v>
      </c>
      <c r="AG105" s="136">
        <v>0</v>
      </c>
      <c r="AH105" s="136">
        <v>150000</v>
      </c>
      <c r="AI105" s="136">
        <v>123200000</v>
      </c>
      <c r="AJ105" s="137">
        <f t="shared" si="91"/>
        <v>66595000</v>
      </c>
      <c r="AK105" s="136">
        <f>10000000+'[1]Costeo SAP 2024'!O23</f>
        <v>66595000</v>
      </c>
      <c r="AL105" s="136">
        <f t="shared" si="92"/>
        <v>0</v>
      </c>
      <c r="AM105" s="135">
        <v>0</v>
      </c>
      <c r="AN105" s="136">
        <v>0</v>
      </c>
      <c r="AO105" s="136">
        <v>0</v>
      </c>
    </row>
    <row r="106" spans="1:41" s="138" customFormat="1" ht="13.8" thickBot="1" x14ac:dyDescent="0.3">
      <c r="A106" s="158" t="s">
        <v>196</v>
      </c>
      <c r="B106" s="160" t="s">
        <v>197</v>
      </c>
      <c r="C106" s="154">
        <f t="shared" si="87"/>
        <v>448850000</v>
      </c>
      <c r="D106" s="155">
        <f t="shared" si="88"/>
        <v>41262500</v>
      </c>
      <c r="E106" s="154">
        <v>0</v>
      </c>
      <c r="F106" s="155">
        <v>0</v>
      </c>
      <c r="G106" s="155">
        <v>0</v>
      </c>
      <c r="H106" s="155">
        <v>0</v>
      </c>
      <c r="I106" s="155">
        <v>0</v>
      </c>
      <c r="J106" s="155">
        <v>0</v>
      </c>
      <c r="K106" s="155">
        <v>0</v>
      </c>
      <c r="L106" s="155">
        <v>0</v>
      </c>
      <c r="M106" s="155">
        <v>0</v>
      </c>
      <c r="N106" s="155">
        <v>0</v>
      </c>
      <c r="O106" s="155">
        <f>8350000-'[1]Costeo SAP 2024'!O25</f>
        <v>6262500</v>
      </c>
      <c r="P106" s="155">
        <v>0</v>
      </c>
      <c r="Q106" s="155">
        <v>0</v>
      </c>
      <c r="R106" s="155">
        <v>0</v>
      </c>
      <c r="S106" s="155">
        <v>0</v>
      </c>
      <c r="T106" s="155">
        <v>0</v>
      </c>
      <c r="U106" s="155">
        <v>0</v>
      </c>
      <c r="V106" s="155">
        <v>0</v>
      </c>
      <c r="W106" s="155">
        <v>0</v>
      </c>
      <c r="X106" s="155">
        <v>35000000</v>
      </c>
      <c r="Y106" s="155">
        <f t="shared" si="89"/>
        <v>35500000</v>
      </c>
      <c r="Z106" s="155">
        <v>0</v>
      </c>
      <c r="AA106" s="155">
        <v>30000000</v>
      </c>
      <c r="AB106" s="155">
        <v>0</v>
      </c>
      <c r="AC106" s="155">
        <v>5500000</v>
      </c>
      <c r="AD106" s="155">
        <v>0</v>
      </c>
      <c r="AE106" s="155">
        <f t="shared" si="90"/>
        <v>0</v>
      </c>
      <c r="AF106" s="155">
        <v>0</v>
      </c>
      <c r="AG106" s="155">
        <v>0</v>
      </c>
      <c r="AH106" s="155">
        <v>0</v>
      </c>
      <c r="AI106" s="155">
        <v>0</v>
      </c>
      <c r="AJ106" s="156">
        <f t="shared" si="91"/>
        <v>372087500</v>
      </c>
      <c r="AK106" s="155">
        <f>370000000+'[1]Costeo SAP 2024'!O25</f>
        <v>372087500</v>
      </c>
      <c r="AL106" s="155">
        <f t="shared" si="92"/>
        <v>0</v>
      </c>
      <c r="AM106" s="135">
        <v>0</v>
      </c>
      <c r="AN106" s="136">
        <v>0</v>
      </c>
      <c r="AO106" s="136">
        <v>0</v>
      </c>
    </row>
    <row r="107" spans="1:41" s="138" customFormat="1" x14ac:dyDescent="0.25">
      <c r="A107" s="143"/>
      <c r="B107" s="144"/>
      <c r="C107" s="135"/>
      <c r="D107" s="136"/>
      <c r="E107" s="135"/>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7"/>
      <c r="AK107" s="136"/>
      <c r="AL107" s="136"/>
      <c r="AM107" s="135"/>
      <c r="AN107" s="136"/>
      <c r="AO107" s="136"/>
    </row>
    <row r="108" spans="1:41" s="138" customFormat="1" x14ac:dyDescent="0.25">
      <c r="A108" s="157" t="s">
        <v>198</v>
      </c>
      <c r="B108" s="139" t="s">
        <v>199</v>
      </c>
      <c r="C108" s="140">
        <f>SUM(C109:C110)</f>
        <v>38001000</v>
      </c>
      <c r="D108" s="141">
        <f t="shared" ref="D108:AO108" si="93">SUM(D109:D110)</f>
        <v>18556000</v>
      </c>
      <c r="E108" s="140">
        <f t="shared" si="93"/>
        <v>0</v>
      </c>
      <c r="F108" s="141">
        <f t="shared" si="93"/>
        <v>0</v>
      </c>
      <c r="G108" s="141">
        <f t="shared" si="93"/>
        <v>500000</v>
      </c>
      <c r="H108" s="141">
        <f t="shared" si="93"/>
        <v>500000</v>
      </c>
      <c r="I108" s="141">
        <f t="shared" si="93"/>
        <v>0</v>
      </c>
      <c r="J108" s="141">
        <f t="shared" si="93"/>
        <v>0</v>
      </c>
      <c r="K108" s="141">
        <f t="shared" si="93"/>
        <v>500000</v>
      </c>
      <c r="L108" s="141">
        <f t="shared" si="93"/>
        <v>0</v>
      </c>
      <c r="M108" s="141">
        <f t="shared" si="93"/>
        <v>200000</v>
      </c>
      <c r="N108" s="141">
        <f t="shared" si="93"/>
        <v>0</v>
      </c>
      <c r="O108" s="141">
        <f t="shared" si="93"/>
        <v>16456000</v>
      </c>
      <c r="P108" s="141">
        <f t="shared" si="93"/>
        <v>0</v>
      </c>
      <c r="Q108" s="141">
        <f t="shared" si="93"/>
        <v>0</v>
      </c>
      <c r="R108" s="141">
        <f t="shared" si="93"/>
        <v>0</v>
      </c>
      <c r="S108" s="141">
        <f t="shared" si="93"/>
        <v>0</v>
      </c>
      <c r="T108" s="141">
        <f t="shared" si="93"/>
        <v>0</v>
      </c>
      <c r="U108" s="141">
        <f t="shared" si="93"/>
        <v>0</v>
      </c>
      <c r="V108" s="141">
        <f t="shared" si="93"/>
        <v>0</v>
      </c>
      <c r="W108" s="141">
        <f t="shared" si="93"/>
        <v>0</v>
      </c>
      <c r="X108" s="141">
        <f t="shared" si="93"/>
        <v>400000</v>
      </c>
      <c r="Y108" s="141">
        <f t="shared" si="93"/>
        <v>8770000</v>
      </c>
      <c r="Z108" s="141">
        <f t="shared" si="93"/>
        <v>450000</v>
      </c>
      <c r="AA108" s="141">
        <f t="shared" si="93"/>
        <v>870000</v>
      </c>
      <c r="AB108" s="141">
        <f t="shared" si="93"/>
        <v>5100000</v>
      </c>
      <c r="AC108" s="141">
        <f t="shared" si="93"/>
        <v>2000000</v>
      </c>
      <c r="AD108" s="141">
        <f t="shared" si="93"/>
        <v>350000</v>
      </c>
      <c r="AE108" s="141">
        <f t="shared" si="93"/>
        <v>7975000</v>
      </c>
      <c r="AF108" s="141">
        <f t="shared" si="93"/>
        <v>400000</v>
      </c>
      <c r="AG108" s="141">
        <f t="shared" si="93"/>
        <v>2500000</v>
      </c>
      <c r="AH108" s="141">
        <f t="shared" si="93"/>
        <v>75000</v>
      </c>
      <c r="AI108" s="141">
        <f t="shared" si="93"/>
        <v>5000000</v>
      </c>
      <c r="AJ108" s="142">
        <f t="shared" si="93"/>
        <v>2700000</v>
      </c>
      <c r="AK108" s="141">
        <f t="shared" si="93"/>
        <v>2650000</v>
      </c>
      <c r="AL108" s="141">
        <f t="shared" si="93"/>
        <v>50000</v>
      </c>
      <c r="AM108" s="140">
        <f t="shared" si="93"/>
        <v>50000</v>
      </c>
      <c r="AN108" s="141">
        <f t="shared" si="93"/>
        <v>0</v>
      </c>
      <c r="AO108" s="141">
        <f t="shared" si="93"/>
        <v>0</v>
      </c>
    </row>
    <row r="109" spans="1:41" s="138" customFormat="1" x14ac:dyDescent="0.25">
      <c r="A109" s="147" t="s">
        <v>200</v>
      </c>
      <c r="B109" s="134" t="s">
        <v>201</v>
      </c>
      <c r="C109" s="135">
        <f t="shared" ref="C109:C110" si="94">D109+Y109+AE109+AJ109</f>
        <v>1746000</v>
      </c>
      <c r="D109" s="136">
        <f t="shared" ref="D109:D110" si="95">SUM(E109:X109)</f>
        <v>1496000</v>
      </c>
      <c r="E109" s="135">
        <v>0</v>
      </c>
      <c r="F109" s="136">
        <v>0</v>
      </c>
      <c r="G109" s="136">
        <v>0</v>
      </c>
      <c r="H109" s="136">
        <v>0</v>
      </c>
      <c r="I109" s="136">
        <v>0</v>
      </c>
      <c r="J109" s="136">
        <v>0</v>
      </c>
      <c r="K109" s="136">
        <v>0</v>
      </c>
      <c r="L109" s="136">
        <v>0</v>
      </c>
      <c r="M109" s="136">
        <v>0</v>
      </c>
      <c r="N109" s="136">
        <v>0</v>
      </c>
      <c r="O109" s="136">
        <v>1496000</v>
      </c>
      <c r="P109" s="136">
        <v>0</v>
      </c>
      <c r="Q109" s="136">
        <v>0</v>
      </c>
      <c r="R109" s="136">
        <v>0</v>
      </c>
      <c r="S109" s="136">
        <v>0</v>
      </c>
      <c r="T109" s="136">
        <v>0</v>
      </c>
      <c r="U109" s="136">
        <v>0</v>
      </c>
      <c r="V109" s="136">
        <v>0</v>
      </c>
      <c r="W109" s="136">
        <v>0</v>
      </c>
      <c r="X109" s="136">
        <v>0</v>
      </c>
      <c r="Y109" s="136">
        <f t="shared" ref="Y109:Y110" si="96">SUM(Z109:AD109)</f>
        <v>100000</v>
      </c>
      <c r="Z109" s="136">
        <v>0</v>
      </c>
      <c r="AA109" s="136">
        <v>0</v>
      </c>
      <c r="AB109" s="136">
        <v>100000</v>
      </c>
      <c r="AC109" s="136">
        <v>0</v>
      </c>
      <c r="AD109" s="136">
        <v>0</v>
      </c>
      <c r="AE109" s="136">
        <f t="shared" ref="AE109:AE110" si="97">SUM(AF109:AI109)</f>
        <v>0</v>
      </c>
      <c r="AF109" s="136">
        <v>0</v>
      </c>
      <c r="AG109" s="136">
        <v>0</v>
      </c>
      <c r="AH109" s="136">
        <v>0</v>
      </c>
      <c r="AI109" s="136">
        <v>0</v>
      </c>
      <c r="AJ109" s="137">
        <f t="shared" ref="AJ109:AJ110" si="98">SUM(AK109+AL109)</f>
        <v>150000</v>
      </c>
      <c r="AK109" s="136">
        <v>150000</v>
      </c>
      <c r="AL109" s="136">
        <f t="shared" ref="AL109:AL110" si="99">SUM(AM109:AO109)</f>
        <v>0</v>
      </c>
      <c r="AM109" s="135">
        <v>0</v>
      </c>
      <c r="AN109" s="136">
        <v>0</v>
      </c>
      <c r="AO109" s="136">
        <v>0</v>
      </c>
    </row>
    <row r="110" spans="1:41" s="138" customFormat="1" x14ac:dyDescent="0.25">
      <c r="A110" s="147" t="s">
        <v>202</v>
      </c>
      <c r="B110" s="134" t="s">
        <v>203</v>
      </c>
      <c r="C110" s="135">
        <f t="shared" si="94"/>
        <v>36255000</v>
      </c>
      <c r="D110" s="136">
        <f t="shared" si="95"/>
        <v>17060000</v>
      </c>
      <c r="E110" s="135">
        <v>0</v>
      </c>
      <c r="F110" s="136">
        <v>0</v>
      </c>
      <c r="G110" s="136">
        <v>500000</v>
      </c>
      <c r="H110" s="136">
        <v>500000</v>
      </c>
      <c r="I110" s="136">
        <v>0</v>
      </c>
      <c r="J110" s="136">
        <v>0</v>
      </c>
      <c r="K110" s="136">
        <v>500000</v>
      </c>
      <c r="L110" s="136">
        <v>0</v>
      </c>
      <c r="M110" s="136">
        <v>200000</v>
      </c>
      <c r="N110" s="136">
        <v>0</v>
      </c>
      <c r="O110" s="136">
        <v>14960000</v>
      </c>
      <c r="P110" s="136">
        <v>0</v>
      </c>
      <c r="Q110" s="136">
        <v>0</v>
      </c>
      <c r="R110" s="136">
        <v>0</v>
      </c>
      <c r="S110" s="136">
        <v>0</v>
      </c>
      <c r="T110" s="136">
        <v>0</v>
      </c>
      <c r="U110" s="136">
        <v>0</v>
      </c>
      <c r="V110" s="136">
        <v>0</v>
      </c>
      <c r="W110" s="136">
        <v>0</v>
      </c>
      <c r="X110" s="136">
        <v>400000</v>
      </c>
      <c r="Y110" s="136">
        <f t="shared" si="96"/>
        <v>8670000</v>
      </c>
      <c r="Z110" s="136">
        <v>450000</v>
      </c>
      <c r="AA110" s="136">
        <v>870000</v>
      </c>
      <c r="AB110" s="136">
        <v>5000000</v>
      </c>
      <c r="AC110" s="136">
        <v>2000000</v>
      </c>
      <c r="AD110" s="136">
        <v>350000</v>
      </c>
      <c r="AE110" s="136">
        <f t="shared" si="97"/>
        <v>7975000</v>
      </c>
      <c r="AF110" s="136">
        <v>400000</v>
      </c>
      <c r="AG110" s="136">
        <v>2500000</v>
      </c>
      <c r="AH110" s="136">
        <v>75000</v>
      </c>
      <c r="AI110" s="136">
        <v>5000000</v>
      </c>
      <c r="AJ110" s="137">
        <f t="shared" si="98"/>
        <v>2550000</v>
      </c>
      <c r="AK110" s="136">
        <v>2500000</v>
      </c>
      <c r="AL110" s="136">
        <f t="shared" si="99"/>
        <v>50000</v>
      </c>
      <c r="AM110" s="135">
        <v>50000</v>
      </c>
      <c r="AN110" s="136">
        <v>0</v>
      </c>
      <c r="AO110" s="136">
        <v>0</v>
      </c>
    </row>
    <row r="111" spans="1:41" s="138" customFormat="1" x14ac:dyDescent="0.25">
      <c r="A111" s="143"/>
      <c r="B111" s="144"/>
      <c r="C111" s="135"/>
      <c r="D111" s="136"/>
      <c r="E111" s="135"/>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7"/>
      <c r="AK111" s="136"/>
      <c r="AL111" s="136"/>
      <c r="AM111" s="135"/>
      <c r="AN111" s="136"/>
      <c r="AO111" s="136"/>
    </row>
    <row r="112" spans="1:41" s="138" customFormat="1" ht="26.4" x14ac:dyDescent="0.25">
      <c r="A112" s="157" t="s">
        <v>204</v>
      </c>
      <c r="B112" s="139" t="s">
        <v>205</v>
      </c>
      <c r="C112" s="140">
        <f>SUM(C113:C118)</f>
        <v>896207115.00164914</v>
      </c>
      <c r="D112" s="141">
        <f t="shared" ref="D112:AO112" si="100">SUM(D113:D118)</f>
        <v>189750000</v>
      </c>
      <c r="E112" s="140">
        <f t="shared" si="100"/>
        <v>0</v>
      </c>
      <c r="F112" s="141">
        <f t="shared" si="100"/>
        <v>0</v>
      </c>
      <c r="G112" s="141">
        <f t="shared" si="100"/>
        <v>0</v>
      </c>
      <c r="H112" s="141">
        <f t="shared" si="100"/>
        <v>0</v>
      </c>
      <c r="I112" s="141">
        <f t="shared" si="100"/>
        <v>0</v>
      </c>
      <c r="J112" s="141">
        <f t="shared" si="100"/>
        <v>0</v>
      </c>
      <c r="K112" s="141">
        <f t="shared" si="100"/>
        <v>0</v>
      </c>
      <c r="L112" s="141">
        <f t="shared" si="100"/>
        <v>0</v>
      </c>
      <c r="M112" s="141">
        <f t="shared" si="100"/>
        <v>0</v>
      </c>
      <c r="N112" s="141">
        <f t="shared" si="100"/>
        <v>0</v>
      </c>
      <c r="O112" s="141">
        <f t="shared" si="100"/>
        <v>18750000</v>
      </c>
      <c r="P112" s="141">
        <f t="shared" si="100"/>
        <v>9000000</v>
      </c>
      <c r="Q112" s="141">
        <f t="shared" si="100"/>
        <v>0</v>
      </c>
      <c r="R112" s="141">
        <f t="shared" si="100"/>
        <v>0</v>
      </c>
      <c r="S112" s="141">
        <f t="shared" si="100"/>
        <v>162000000</v>
      </c>
      <c r="T112" s="141">
        <f t="shared" si="100"/>
        <v>0</v>
      </c>
      <c r="U112" s="141">
        <f t="shared" si="100"/>
        <v>0</v>
      </c>
      <c r="V112" s="141">
        <f t="shared" si="100"/>
        <v>0</v>
      </c>
      <c r="W112" s="141">
        <f t="shared" si="100"/>
        <v>0</v>
      </c>
      <c r="X112" s="141">
        <f t="shared" si="100"/>
        <v>0</v>
      </c>
      <c r="Y112" s="141">
        <f t="shared" si="100"/>
        <v>0</v>
      </c>
      <c r="Z112" s="141">
        <f t="shared" si="100"/>
        <v>0</v>
      </c>
      <c r="AA112" s="141">
        <f t="shared" si="100"/>
        <v>0</v>
      </c>
      <c r="AB112" s="141">
        <f t="shared" si="100"/>
        <v>0</v>
      </c>
      <c r="AC112" s="141">
        <f t="shared" si="100"/>
        <v>0</v>
      </c>
      <c r="AD112" s="141">
        <f t="shared" si="100"/>
        <v>0</v>
      </c>
      <c r="AE112" s="141">
        <f t="shared" si="100"/>
        <v>7913700</v>
      </c>
      <c r="AF112" s="141">
        <f t="shared" si="100"/>
        <v>5913700</v>
      </c>
      <c r="AG112" s="141">
        <f t="shared" si="100"/>
        <v>0</v>
      </c>
      <c r="AH112" s="141">
        <f t="shared" si="100"/>
        <v>2000000</v>
      </c>
      <c r="AI112" s="141">
        <f t="shared" si="100"/>
        <v>0</v>
      </c>
      <c r="AJ112" s="142">
        <f t="shared" si="100"/>
        <v>698543415.00164914</v>
      </c>
      <c r="AK112" s="141">
        <f t="shared" si="100"/>
        <v>698543415.00164914</v>
      </c>
      <c r="AL112" s="141">
        <f t="shared" si="100"/>
        <v>0</v>
      </c>
      <c r="AM112" s="140">
        <f t="shared" si="100"/>
        <v>0</v>
      </c>
      <c r="AN112" s="141">
        <f t="shared" si="100"/>
        <v>0</v>
      </c>
      <c r="AO112" s="141">
        <f t="shared" si="100"/>
        <v>0</v>
      </c>
    </row>
    <row r="113" spans="1:41" s="138" customFormat="1" x14ac:dyDescent="0.25">
      <c r="A113" s="143" t="s">
        <v>206</v>
      </c>
      <c r="B113" s="144" t="s">
        <v>207</v>
      </c>
      <c r="C113" s="135">
        <f t="shared" ref="C113:C118" si="101">D113+Y113+AE113+AJ113</f>
        <v>35000000</v>
      </c>
      <c r="D113" s="136">
        <f t="shared" ref="D113:D118" si="102">SUM(E113:X113)</f>
        <v>26250000</v>
      </c>
      <c r="E113" s="135">
        <v>0</v>
      </c>
      <c r="F113" s="136">
        <v>0</v>
      </c>
      <c r="G113" s="136">
        <v>0</v>
      </c>
      <c r="H113" s="136">
        <v>0</v>
      </c>
      <c r="I113" s="136">
        <v>0</v>
      </c>
      <c r="J113" s="136">
        <v>0</v>
      </c>
      <c r="K113" s="136">
        <v>0</v>
      </c>
      <c r="L113" s="136">
        <v>0</v>
      </c>
      <c r="M113" s="136">
        <v>0</v>
      </c>
      <c r="N113" s="136">
        <v>0</v>
      </c>
      <c r="O113" s="136">
        <f>23000000-'[1]Costeo SAP 2024'!O26</f>
        <v>17250000</v>
      </c>
      <c r="P113" s="136">
        <f>12000000-'[1]Costeo SAP 2024'!O27</f>
        <v>9000000</v>
      </c>
      <c r="Q113" s="136">
        <v>0</v>
      </c>
      <c r="R113" s="136">
        <v>0</v>
      </c>
      <c r="S113" s="136">
        <v>0</v>
      </c>
      <c r="T113" s="136">
        <v>0</v>
      </c>
      <c r="U113" s="136">
        <v>0</v>
      </c>
      <c r="V113" s="136">
        <v>0</v>
      </c>
      <c r="W113" s="136">
        <v>0</v>
      </c>
      <c r="X113" s="136">
        <v>0</v>
      </c>
      <c r="Y113" s="136">
        <f t="shared" ref="Y113:Y118" si="103">SUM(Z113:AD113)</f>
        <v>0</v>
      </c>
      <c r="Z113" s="136">
        <v>0</v>
      </c>
      <c r="AA113" s="136">
        <v>0</v>
      </c>
      <c r="AB113" s="136">
        <v>0</v>
      </c>
      <c r="AC113" s="136">
        <v>0</v>
      </c>
      <c r="AD113" s="136">
        <v>0</v>
      </c>
      <c r="AE113" s="136">
        <f t="shared" ref="AE113:AE118" si="104">SUM(AF113:AI113)</f>
        <v>0</v>
      </c>
      <c r="AF113" s="136">
        <v>0</v>
      </c>
      <c r="AG113" s="136">
        <v>0</v>
      </c>
      <c r="AH113" s="136">
        <v>0</v>
      </c>
      <c r="AI113" s="136">
        <v>0</v>
      </c>
      <c r="AJ113" s="137">
        <f t="shared" ref="AJ113:AJ118" si="105">SUM(AK113+AL113)</f>
        <v>8750000</v>
      </c>
      <c r="AK113" s="136">
        <f>+'[1]Costeo SAP 2024'!O26+'[1]Costeo SAP 2024'!O27</f>
        <v>8750000</v>
      </c>
      <c r="AL113" s="136">
        <f t="shared" ref="AL113:AL118" si="106">SUM(AM113:AO113)</f>
        <v>0</v>
      </c>
      <c r="AM113" s="135">
        <v>0</v>
      </c>
      <c r="AN113" s="136">
        <v>0</v>
      </c>
      <c r="AO113" s="136">
        <v>0</v>
      </c>
    </row>
    <row r="114" spans="1:41" s="138" customFormat="1" x14ac:dyDescent="0.25">
      <c r="A114" s="143" t="s">
        <v>208</v>
      </c>
      <c r="B114" s="144" t="s">
        <v>209</v>
      </c>
      <c r="C114" s="135">
        <f t="shared" si="101"/>
        <v>851793415.00164914</v>
      </c>
      <c r="D114" s="136">
        <f t="shared" si="102"/>
        <v>162000000</v>
      </c>
      <c r="E114" s="135">
        <v>0</v>
      </c>
      <c r="F114" s="136">
        <v>0</v>
      </c>
      <c r="G114" s="136">
        <v>0</v>
      </c>
      <c r="H114" s="136">
        <v>0</v>
      </c>
      <c r="I114" s="136">
        <v>0</v>
      </c>
      <c r="J114" s="136">
        <v>0</v>
      </c>
      <c r="K114" s="136">
        <v>0</v>
      </c>
      <c r="L114" s="136">
        <v>0</v>
      </c>
      <c r="M114" s="136">
        <v>0</v>
      </c>
      <c r="N114" s="136">
        <v>0</v>
      </c>
      <c r="O114" s="136">
        <v>0</v>
      </c>
      <c r="P114" s="136">
        <v>0</v>
      </c>
      <c r="Q114" s="136">
        <v>0</v>
      </c>
      <c r="R114" s="136">
        <v>0</v>
      </c>
      <c r="S114" s="136">
        <v>162000000</v>
      </c>
      <c r="T114" s="136">
        <v>0</v>
      </c>
      <c r="U114" s="136">
        <v>0</v>
      </c>
      <c r="V114" s="136">
        <v>0</v>
      </c>
      <c r="W114" s="136">
        <v>0</v>
      </c>
      <c r="X114" s="136">
        <v>0</v>
      </c>
      <c r="Y114" s="136">
        <f t="shared" si="103"/>
        <v>0</v>
      </c>
      <c r="Z114" s="136">
        <v>0</v>
      </c>
      <c r="AA114" s="136">
        <v>0</v>
      </c>
      <c r="AB114" s="136">
        <v>0</v>
      </c>
      <c r="AC114" s="136">
        <v>0</v>
      </c>
      <c r="AD114" s="136">
        <v>0</v>
      </c>
      <c r="AE114" s="136">
        <f t="shared" si="104"/>
        <v>0</v>
      </c>
      <c r="AF114" s="136">
        <v>0</v>
      </c>
      <c r="AG114" s="136">
        <v>0</v>
      </c>
      <c r="AH114" s="136">
        <v>0</v>
      </c>
      <c r="AI114" s="136">
        <v>0</v>
      </c>
      <c r="AJ114" s="137">
        <f t="shared" si="105"/>
        <v>689793415.00164914</v>
      </c>
      <c r="AK114" s="136">
        <f>+'[1]Ingresos 2024'!I53</f>
        <v>689793415.00164914</v>
      </c>
      <c r="AL114" s="136">
        <f t="shared" si="106"/>
        <v>0</v>
      </c>
      <c r="AM114" s="135">
        <v>0</v>
      </c>
      <c r="AN114" s="136">
        <v>0</v>
      </c>
      <c r="AO114" s="136">
        <v>0</v>
      </c>
    </row>
    <row r="115" spans="1:41" s="138" customFormat="1" x14ac:dyDescent="0.25">
      <c r="A115" s="143" t="s">
        <v>210</v>
      </c>
      <c r="B115" s="144" t="s">
        <v>211</v>
      </c>
      <c r="C115" s="135">
        <f t="shared" si="101"/>
        <v>2000000</v>
      </c>
      <c r="D115" s="136">
        <f t="shared" si="102"/>
        <v>0</v>
      </c>
      <c r="E115" s="135">
        <v>0</v>
      </c>
      <c r="F115" s="136">
        <v>0</v>
      </c>
      <c r="G115" s="136">
        <v>0</v>
      </c>
      <c r="H115" s="136">
        <v>0</v>
      </c>
      <c r="I115" s="136">
        <v>0</v>
      </c>
      <c r="J115" s="136">
        <v>0</v>
      </c>
      <c r="K115" s="136">
        <v>0</v>
      </c>
      <c r="L115" s="136">
        <v>0</v>
      </c>
      <c r="M115" s="136">
        <v>0</v>
      </c>
      <c r="N115" s="136">
        <v>0</v>
      </c>
      <c r="O115" s="136">
        <v>0</v>
      </c>
      <c r="P115" s="136">
        <v>0</v>
      </c>
      <c r="Q115" s="136">
        <v>0</v>
      </c>
      <c r="R115" s="136">
        <v>0</v>
      </c>
      <c r="S115" s="136">
        <v>0</v>
      </c>
      <c r="T115" s="136">
        <v>0</v>
      </c>
      <c r="U115" s="136">
        <v>0</v>
      </c>
      <c r="V115" s="136">
        <v>0</v>
      </c>
      <c r="W115" s="136">
        <v>0</v>
      </c>
      <c r="X115" s="136">
        <v>0</v>
      </c>
      <c r="Y115" s="136">
        <f t="shared" si="103"/>
        <v>0</v>
      </c>
      <c r="Z115" s="136">
        <v>0</v>
      </c>
      <c r="AA115" s="136">
        <v>0</v>
      </c>
      <c r="AB115" s="136">
        <v>0</v>
      </c>
      <c r="AC115" s="136">
        <v>0</v>
      </c>
      <c r="AD115" s="136">
        <v>0</v>
      </c>
      <c r="AE115" s="136">
        <f t="shared" si="104"/>
        <v>2000000</v>
      </c>
      <c r="AF115" s="136"/>
      <c r="AG115" s="136">
        <v>0</v>
      </c>
      <c r="AH115" s="136">
        <v>2000000</v>
      </c>
      <c r="AI115" s="136">
        <v>0</v>
      </c>
      <c r="AJ115" s="137">
        <f t="shared" si="105"/>
        <v>0</v>
      </c>
      <c r="AK115" s="136">
        <v>0</v>
      </c>
      <c r="AL115" s="136">
        <f t="shared" si="106"/>
        <v>0</v>
      </c>
      <c r="AM115" s="135">
        <v>0</v>
      </c>
      <c r="AN115" s="136">
        <v>0</v>
      </c>
      <c r="AO115" s="136">
        <v>0</v>
      </c>
    </row>
    <row r="116" spans="1:41" s="138" customFormat="1" x14ac:dyDescent="0.25">
      <c r="A116" s="143" t="s">
        <v>212</v>
      </c>
      <c r="B116" s="144" t="s">
        <v>213</v>
      </c>
      <c r="C116" s="135">
        <f t="shared" si="101"/>
        <v>5913700</v>
      </c>
      <c r="D116" s="136"/>
      <c r="E116" s="135"/>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f t="shared" si="104"/>
        <v>5913700</v>
      </c>
      <c r="AF116" s="136">
        <v>5913700</v>
      </c>
      <c r="AG116" s="136"/>
      <c r="AH116" s="136"/>
      <c r="AI116" s="136"/>
      <c r="AJ116" s="137"/>
      <c r="AK116" s="136"/>
      <c r="AL116" s="136"/>
      <c r="AM116" s="135"/>
      <c r="AN116" s="136"/>
      <c r="AO116" s="136"/>
    </row>
    <row r="117" spans="1:41" s="138" customFormat="1" x14ac:dyDescent="0.25">
      <c r="A117" s="143" t="s">
        <v>214</v>
      </c>
      <c r="B117" s="144" t="s">
        <v>215</v>
      </c>
      <c r="C117" s="135">
        <f t="shared" si="101"/>
        <v>1000000</v>
      </c>
      <c r="D117" s="136">
        <f t="shared" si="102"/>
        <v>1000000</v>
      </c>
      <c r="E117" s="135">
        <v>0</v>
      </c>
      <c r="F117" s="136">
        <v>0</v>
      </c>
      <c r="G117" s="136">
        <v>0</v>
      </c>
      <c r="H117" s="136">
        <v>0</v>
      </c>
      <c r="I117" s="136">
        <v>0</v>
      </c>
      <c r="J117" s="136">
        <v>0</v>
      </c>
      <c r="K117" s="136">
        <v>0</v>
      </c>
      <c r="L117" s="136">
        <v>0</v>
      </c>
      <c r="M117" s="136">
        <v>0</v>
      </c>
      <c r="N117" s="136">
        <v>0</v>
      </c>
      <c r="O117" s="136">
        <v>1000000</v>
      </c>
      <c r="P117" s="136">
        <v>0</v>
      </c>
      <c r="Q117" s="136">
        <v>0</v>
      </c>
      <c r="R117" s="136">
        <v>0</v>
      </c>
      <c r="S117" s="136">
        <v>0</v>
      </c>
      <c r="T117" s="136">
        <v>0</v>
      </c>
      <c r="U117" s="136">
        <v>0</v>
      </c>
      <c r="V117" s="136">
        <v>0</v>
      </c>
      <c r="W117" s="136">
        <v>0</v>
      </c>
      <c r="X117" s="136">
        <v>0</v>
      </c>
      <c r="Y117" s="136">
        <f t="shared" si="103"/>
        <v>0</v>
      </c>
      <c r="Z117" s="136">
        <v>0</v>
      </c>
      <c r="AA117" s="136">
        <v>0</v>
      </c>
      <c r="AB117" s="136">
        <v>0</v>
      </c>
      <c r="AC117" s="136">
        <v>0</v>
      </c>
      <c r="AD117" s="136">
        <v>0</v>
      </c>
      <c r="AE117" s="136">
        <f t="shared" si="104"/>
        <v>0</v>
      </c>
      <c r="AF117" s="136">
        <v>0</v>
      </c>
      <c r="AG117" s="136">
        <v>0</v>
      </c>
      <c r="AH117" s="136">
        <v>0</v>
      </c>
      <c r="AI117" s="136">
        <v>0</v>
      </c>
      <c r="AJ117" s="137">
        <f t="shared" si="105"/>
        <v>0</v>
      </c>
      <c r="AK117" s="136">
        <v>0</v>
      </c>
      <c r="AL117" s="136">
        <f t="shared" si="106"/>
        <v>0</v>
      </c>
      <c r="AM117" s="135">
        <v>0</v>
      </c>
      <c r="AN117" s="136">
        <v>0</v>
      </c>
      <c r="AO117" s="136">
        <v>0</v>
      </c>
    </row>
    <row r="118" spans="1:41" s="138" customFormat="1" x14ac:dyDescent="0.25">
      <c r="A118" s="143" t="s">
        <v>216</v>
      </c>
      <c r="B118" s="144" t="s">
        <v>217</v>
      </c>
      <c r="C118" s="135">
        <f t="shared" si="101"/>
        <v>500000</v>
      </c>
      <c r="D118" s="136">
        <f t="shared" si="102"/>
        <v>500000</v>
      </c>
      <c r="E118" s="135">
        <v>0</v>
      </c>
      <c r="F118" s="136">
        <v>0</v>
      </c>
      <c r="G118" s="136">
        <v>0</v>
      </c>
      <c r="H118" s="136">
        <v>0</v>
      </c>
      <c r="I118" s="136">
        <v>0</v>
      </c>
      <c r="J118" s="136">
        <v>0</v>
      </c>
      <c r="K118" s="136">
        <v>0</v>
      </c>
      <c r="L118" s="136">
        <v>0</v>
      </c>
      <c r="M118" s="136">
        <v>0</v>
      </c>
      <c r="N118" s="136">
        <v>0</v>
      </c>
      <c r="O118" s="136">
        <v>500000</v>
      </c>
      <c r="P118" s="136">
        <v>0</v>
      </c>
      <c r="Q118" s="136">
        <v>0</v>
      </c>
      <c r="R118" s="136">
        <v>0</v>
      </c>
      <c r="S118" s="136">
        <v>0</v>
      </c>
      <c r="T118" s="136">
        <v>0</v>
      </c>
      <c r="U118" s="136">
        <v>0</v>
      </c>
      <c r="V118" s="136">
        <v>0</v>
      </c>
      <c r="W118" s="136">
        <v>0</v>
      </c>
      <c r="X118" s="136">
        <v>0</v>
      </c>
      <c r="Y118" s="136">
        <f t="shared" si="103"/>
        <v>0</v>
      </c>
      <c r="Z118" s="136">
        <v>0</v>
      </c>
      <c r="AA118" s="136">
        <v>0</v>
      </c>
      <c r="AB118" s="136">
        <v>0</v>
      </c>
      <c r="AC118" s="136">
        <v>0</v>
      </c>
      <c r="AD118" s="136">
        <v>0</v>
      </c>
      <c r="AE118" s="136">
        <f t="shared" si="104"/>
        <v>0</v>
      </c>
      <c r="AF118" s="136">
        <v>0</v>
      </c>
      <c r="AG118" s="136">
        <v>0</v>
      </c>
      <c r="AH118" s="136">
        <v>0</v>
      </c>
      <c r="AI118" s="136">
        <v>0</v>
      </c>
      <c r="AJ118" s="137">
        <f t="shared" si="105"/>
        <v>0</v>
      </c>
      <c r="AK118" s="136">
        <v>0</v>
      </c>
      <c r="AL118" s="136">
        <f t="shared" si="106"/>
        <v>0</v>
      </c>
      <c r="AM118" s="135">
        <v>0</v>
      </c>
      <c r="AN118" s="136">
        <v>0</v>
      </c>
      <c r="AO118" s="136">
        <v>0</v>
      </c>
    </row>
    <row r="119" spans="1:41" s="138" customFormat="1" x14ac:dyDescent="0.25">
      <c r="A119" s="143"/>
      <c r="B119" s="144"/>
      <c r="C119" s="135"/>
      <c r="D119" s="136"/>
      <c r="E119" s="135"/>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7"/>
      <c r="AK119" s="136"/>
      <c r="AL119" s="136"/>
      <c r="AM119" s="135"/>
      <c r="AN119" s="136"/>
      <c r="AO119" s="136"/>
    </row>
    <row r="120" spans="1:41" s="138" customFormat="1" x14ac:dyDescent="0.25">
      <c r="A120" s="157" t="s">
        <v>218</v>
      </c>
      <c r="B120" s="139" t="s">
        <v>219</v>
      </c>
      <c r="C120" s="140">
        <f>SUM(C121:C122)</f>
        <v>97872677</v>
      </c>
      <c r="D120" s="141">
        <f t="shared" ref="D120:AO120" si="107">SUM(D121:D122)</f>
        <v>61022677</v>
      </c>
      <c r="E120" s="140">
        <f t="shared" si="107"/>
        <v>0</v>
      </c>
      <c r="F120" s="141">
        <f t="shared" si="107"/>
        <v>1022677</v>
      </c>
      <c r="G120" s="141">
        <f t="shared" si="107"/>
        <v>3000000</v>
      </c>
      <c r="H120" s="141">
        <f t="shared" si="107"/>
        <v>0</v>
      </c>
      <c r="I120" s="141">
        <f t="shared" si="107"/>
        <v>0</v>
      </c>
      <c r="J120" s="141">
        <f t="shared" si="107"/>
        <v>0</v>
      </c>
      <c r="K120" s="141">
        <f t="shared" si="107"/>
        <v>0</v>
      </c>
      <c r="L120" s="141">
        <f t="shared" si="107"/>
        <v>0</v>
      </c>
      <c r="M120" s="141">
        <f t="shared" si="107"/>
        <v>0</v>
      </c>
      <c r="N120" s="141">
        <f t="shared" si="107"/>
        <v>0</v>
      </c>
      <c r="O120" s="141">
        <f t="shared" si="107"/>
        <v>0</v>
      </c>
      <c r="P120" s="141">
        <f t="shared" si="107"/>
        <v>47000000</v>
      </c>
      <c r="Q120" s="141">
        <f t="shared" si="107"/>
        <v>0</v>
      </c>
      <c r="R120" s="141">
        <f t="shared" si="107"/>
        <v>0</v>
      </c>
      <c r="S120" s="141">
        <f t="shared" si="107"/>
        <v>0</v>
      </c>
      <c r="T120" s="141">
        <f t="shared" si="107"/>
        <v>0</v>
      </c>
      <c r="U120" s="141">
        <f t="shared" si="107"/>
        <v>0</v>
      </c>
      <c r="V120" s="141">
        <f t="shared" si="107"/>
        <v>0</v>
      </c>
      <c r="W120" s="141">
        <f t="shared" si="107"/>
        <v>0</v>
      </c>
      <c r="X120" s="141">
        <f t="shared" si="107"/>
        <v>10000000</v>
      </c>
      <c r="Y120" s="141">
        <f t="shared" si="107"/>
        <v>3850000</v>
      </c>
      <c r="Z120" s="141">
        <f t="shared" si="107"/>
        <v>0</v>
      </c>
      <c r="AA120" s="141">
        <f t="shared" si="107"/>
        <v>0</v>
      </c>
      <c r="AB120" s="141">
        <f t="shared" si="107"/>
        <v>3450000</v>
      </c>
      <c r="AC120" s="141">
        <f t="shared" si="107"/>
        <v>0</v>
      </c>
      <c r="AD120" s="141">
        <f t="shared" si="107"/>
        <v>400000</v>
      </c>
      <c r="AE120" s="141">
        <f t="shared" si="107"/>
        <v>0</v>
      </c>
      <c r="AF120" s="141">
        <f t="shared" si="107"/>
        <v>0</v>
      </c>
      <c r="AG120" s="141">
        <f t="shared" si="107"/>
        <v>0</v>
      </c>
      <c r="AH120" s="141">
        <f t="shared" si="107"/>
        <v>0</v>
      </c>
      <c r="AI120" s="141">
        <f t="shared" si="107"/>
        <v>0</v>
      </c>
      <c r="AJ120" s="142">
        <f t="shared" si="107"/>
        <v>33000000</v>
      </c>
      <c r="AK120" s="141">
        <f t="shared" si="107"/>
        <v>33000000</v>
      </c>
      <c r="AL120" s="141">
        <f t="shared" si="107"/>
        <v>0</v>
      </c>
      <c r="AM120" s="140">
        <f t="shared" si="107"/>
        <v>0</v>
      </c>
      <c r="AN120" s="141">
        <f t="shared" si="107"/>
        <v>0</v>
      </c>
      <c r="AO120" s="141">
        <f t="shared" si="107"/>
        <v>0</v>
      </c>
    </row>
    <row r="121" spans="1:41" s="138" customFormat="1" x14ac:dyDescent="0.25">
      <c r="A121" s="147" t="s">
        <v>220</v>
      </c>
      <c r="B121" s="134" t="s">
        <v>221</v>
      </c>
      <c r="C121" s="135">
        <f t="shared" ref="C121:C122" si="108">D121+Y121+AE121+AJ121</f>
        <v>89872677</v>
      </c>
      <c r="D121" s="136">
        <f t="shared" ref="D121:D122" si="109">SUM(E121:X121)</f>
        <v>54022677</v>
      </c>
      <c r="E121" s="135">
        <v>0</v>
      </c>
      <c r="F121" s="136">
        <v>1022677</v>
      </c>
      <c r="G121" s="136">
        <v>1000000</v>
      </c>
      <c r="H121" s="136">
        <v>0</v>
      </c>
      <c r="I121" s="136">
        <v>0</v>
      </c>
      <c r="J121" s="136">
        <v>0</v>
      </c>
      <c r="K121" s="136">
        <v>0</v>
      </c>
      <c r="L121" s="136">
        <v>0</v>
      </c>
      <c r="M121" s="136">
        <v>0</v>
      </c>
      <c r="N121" s="136">
        <v>0</v>
      </c>
      <c r="O121" s="136">
        <v>0</v>
      </c>
      <c r="P121" s="136">
        <f>25000000+2000000+20000000</f>
        <v>47000000</v>
      </c>
      <c r="Q121" s="136">
        <v>0</v>
      </c>
      <c r="R121" s="136">
        <v>0</v>
      </c>
      <c r="S121" s="136">
        <v>0</v>
      </c>
      <c r="T121" s="136">
        <v>0</v>
      </c>
      <c r="U121" s="136">
        <v>0</v>
      </c>
      <c r="V121" s="136">
        <v>0</v>
      </c>
      <c r="W121" s="136">
        <v>0</v>
      </c>
      <c r="X121" s="136">
        <v>5000000</v>
      </c>
      <c r="Y121" s="136">
        <f t="shared" ref="Y121:Y122" si="110">SUM(Z121:AD121)</f>
        <v>3850000</v>
      </c>
      <c r="Z121" s="136">
        <v>0</v>
      </c>
      <c r="AA121" s="136">
        <v>0</v>
      </c>
      <c r="AB121" s="136">
        <v>3450000</v>
      </c>
      <c r="AC121" s="136">
        <v>0</v>
      </c>
      <c r="AD121" s="136">
        <v>400000</v>
      </c>
      <c r="AE121" s="136">
        <f t="shared" ref="AE121:AE122" si="111">SUM(AF121:AI121)</f>
        <v>0</v>
      </c>
      <c r="AF121" s="136">
        <v>0</v>
      </c>
      <c r="AG121" s="136">
        <v>0</v>
      </c>
      <c r="AH121" s="136">
        <v>0</v>
      </c>
      <c r="AI121" s="136">
        <v>0</v>
      </c>
      <c r="AJ121" s="137">
        <f t="shared" ref="AJ121:AJ122" si="112">SUM(AK121+AL121)</f>
        <v>32000000</v>
      </c>
      <c r="AK121" s="136">
        <f>2000000+30000000</f>
        <v>32000000</v>
      </c>
      <c r="AL121" s="136">
        <f t="shared" ref="AL121:AL122" si="113">SUM(AM121:AO121)</f>
        <v>0</v>
      </c>
      <c r="AM121" s="135">
        <v>0</v>
      </c>
      <c r="AN121" s="136">
        <v>0</v>
      </c>
      <c r="AO121" s="136">
        <v>0</v>
      </c>
    </row>
    <row r="122" spans="1:41" s="138" customFormat="1" x14ac:dyDescent="0.25">
      <c r="A122" s="147" t="s">
        <v>222</v>
      </c>
      <c r="B122" s="134" t="s">
        <v>223</v>
      </c>
      <c r="C122" s="135">
        <f t="shared" si="108"/>
        <v>8000000</v>
      </c>
      <c r="D122" s="136">
        <f t="shared" si="109"/>
        <v>7000000</v>
      </c>
      <c r="E122" s="135">
        <v>0</v>
      </c>
      <c r="F122" s="136">
        <v>0</v>
      </c>
      <c r="G122" s="136">
        <v>2000000</v>
      </c>
      <c r="H122" s="136">
        <v>0</v>
      </c>
      <c r="I122" s="136">
        <v>0</v>
      </c>
      <c r="J122" s="136">
        <v>0</v>
      </c>
      <c r="K122" s="136">
        <v>0</v>
      </c>
      <c r="L122" s="136">
        <v>0</v>
      </c>
      <c r="M122" s="136">
        <v>0</v>
      </c>
      <c r="N122" s="136">
        <v>0</v>
      </c>
      <c r="O122" s="136">
        <v>0</v>
      </c>
      <c r="P122" s="136">
        <v>0</v>
      </c>
      <c r="Q122" s="136">
        <v>0</v>
      </c>
      <c r="R122" s="136">
        <v>0</v>
      </c>
      <c r="S122" s="136">
        <v>0</v>
      </c>
      <c r="T122" s="136">
        <v>0</v>
      </c>
      <c r="U122" s="136">
        <v>0</v>
      </c>
      <c r="V122" s="136">
        <v>0</v>
      </c>
      <c r="W122" s="136">
        <v>0</v>
      </c>
      <c r="X122" s="136">
        <v>5000000</v>
      </c>
      <c r="Y122" s="136">
        <f t="shared" si="110"/>
        <v>0</v>
      </c>
      <c r="Z122" s="136">
        <v>0</v>
      </c>
      <c r="AA122" s="136">
        <v>0</v>
      </c>
      <c r="AB122" s="136">
        <v>0</v>
      </c>
      <c r="AC122" s="136">
        <v>0</v>
      </c>
      <c r="AD122" s="136">
        <v>0</v>
      </c>
      <c r="AE122" s="136">
        <f t="shared" si="111"/>
        <v>0</v>
      </c>
      <c r="AF122" s="136">
        <v>0</v>
      </c>
      <c r="AG122" s="136">
        <v>0</v>
      </c>
      <c r="AH122" s="136">
        <v>0</v>
      </c>
      <c r="AI122" s="136">
        <v>0</v>
      </c>
      <c r="AJ122" s="137">
        <f t="shared" si="112"/>
        <v>1000000</v>
      </c>
      <c r="AK122" s="136">
        <v>1000000</v>
      </c>
      <c r="AL122" s="136">
        <f t="shared" si="113"/>
        <v>0</v>
      </c>
      <c r="AM122" s="135">
        <v>0</v>
      </c>
      <c r="AN122" s="136">
        <v>0</v>
      </c>
      <c r="AO122" s="136">
        <v>0</v>
      </c>
    </row>
    <row r="123" spans="1:41" s="138" customFormat="1" x14ac:dyDescent="0.25">
      <c r="A123" s="143"/>
      <c r="B123" s="144"/>
      <c r="C123" s="135"/>
      <c r="D123" s="136"/>
      <c r="E123" s="135"/>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7"/>
      <c r="AK123" s="136"/>
      <c r="AL123" s="136"/>
      <c r="AM123" s="135"/>
      <c r="AN123" s="136"/>
      <c r="AO123" s="136"/>
    </row>
    <row r="124" spans="1:41" s="138" customFormat="1" x14ac:dyDescent="0.25">
      <c r="A124" s="157" t="s">
        <v>224</v>
      </c>
      <c r="B124" s="139" t="s">
        <v>225</v>
      </c>
      <c r="C124" s="140">
        <f>SUM(C125:C131)</f>
        <v>231255895</v>
      </c>
      <c r="D124" s="141">
        <f t="shared" ref="D124:AO124" si="114">SUM(D125:D131)</f>
        <v>176065671</v>
      </c>
      <c r="E124" s="140">
        <f t="shared" si="114"/>
        <v>0</v>
      </c>
      <c r="F124" s="141">
        <f t="shared" si="114"/>
        <v>0</v>
      </c>
      <c r="G124" s="141">
        <f t="shared" si="114"/>
        <v>0</v>
      </c>
      <c r="H124" s="141">
        <f t="shared" si="114"/>
        <v>0</v>
      </c>
      <c r="I124" s="141">
        <f t="shared" si="114"/>
        <v>34815671</v>
      </c>
      <c r="J124" s="141">
        <f t="shared" si="114"/>
        <v>0</v>
      </c>
      <c r="K124" s="141">
        <f t="shared" si="114"/>
        <v>0</v>
      </c>
      <c r="L124" s="141">
        <f t="shared" si="114"/>
        <v>0</v>
      </c>
      <c r="M124" s="141">
        <f t="shared" si="114"/>
        <v>0</v>
      </c>
      <c r="N124" s="141">
        <f t="shared" si="114"/>
        <v>0</v>
      </c>
      <c r="O124" s="141">
        <f t="shared" si="114"/>
        <v>140300000</v>
      </c>
      <c r="P124" s="141">
        <f t="shared" si="114"/>
        <v>0</v>
      </c>
      <c r="Q124" s="141">
        <f t="shared" si="114"/>
        <v>0</v>
      </c>
      <c r="R124" s="141">
        <f t="shared" si="114"/>
        <v>0</v>
      </c>
      <c r="S124" s="141">
        <f t="shared" si="114"/>
        <v>300000</v>
      </c>
      <c r="T124" s="141">
        <f t="shared" si="114"/>
        <v>0</v>
      </c>
      <c r="U124" s="141">
        <f t="shared" si="114"/>
        <v>0</v>
      </c>
      <c r="V124" s="141">
        <f t="shared" si="114"/>
        <v>0</v>
      </c>
      <c r="W124" s="141">
        <f t="shared" si="114"/>
        <v>350000</v>
      </c>
      <c r="X124" s="141">
        <f t="shared" si="114"/>
        <v>300000</v>
      </c>
      <c r="Y124" s="141">
        <f t="shared" si="114"/>
        <v>5585000</v>
      </c>
      <c r="Z124" s="141">
        <f t="shared" si="114"/>
        <v>0</v>
      </c>
      <c r="AA124" s="141">
        <f t="shared" si="114"/>
        <v>3835000</v>
      </c>
      <c r="AB124" s="141">
        <f t="shared" si="114"/>
        <v>1500000</v>
      </c>
      <c r="AC124" s="141">
        <f t="shared" si="114"/>
        <v>200000</v>
      </c>
      <c r="AD124" s="141">
        <f t="shared" si="114"/>
        <v>50000</v>
      </c>
      <c r="AE124" s="141">
        <f t="shared" si="114"/>
        <v>300000</v>
      </c>
      <c r="AF124" s="141">
        <f t="shared" si="114"/>
        <v>0</v>
      </c>
      <c r="AG124" s="141">
        <f t="shared" si="114"/>
        <v>0</v>
      </c>
      <c r="AH124" s="141">
        <f t="shared" si="114"/>
        <v>0</v>
      </c>
      <c r="AI124" s="141">
        <f t="shared" si="114"/>
        <v>300000</v>
      </c>
      <c r="AJ124" s="142">
        <f t="shared" si="114"/>
        <v>49305224</v>
      </c>
      <c r="AK124" s="141">
        <f t="shared" si="114"/>
        <v>49305224</v>
      </c>
      <c r="AL124" s="141">
        <f t="shared" si="114"/>
        <v>0</v>
      </c>
      <c r="AM124" s="140">
        <f t="shared" si="114"/>
        <v>0</v>
      </c>
      <c r="AN124" s="141">
        <f t="shared" si="114"/>
        <v>0</v>
      </c>
      <c r="AO124" s="141">
        <f t="shared" si="114"/>
        <v>0</v>
      </c>
    </row>
    <row r="125" spans="1:41" s="138" customFormat="1" x14ac:dyDescent="0.25">
      <c r="A125" s="147" t="s">
        <v>226</v>
      </c>
      <c r="B125" s="134" t="s">
        <v>227</v>
      </c>
      <c r="C125" s="135">
        <f t="shared" ref="C125:C131" si="115">D125+Y125+AE125+AJ125</f>
        <v>151200000</v>
      </c>
      <c r="D125" s="136">
        <f t="shared" ref="D125:D131" si="116">SUM(E125:X125)</f>
        <v>110550000</v>
      </c>
      <c r="E125" s="135">
        <v>0</v>
      </c>
      <c r="F125" s="136">
        <v>0</v>
      </c>
      <c r="G125" s="136">
        <v>0</v>
      </c>
      <c r="H125" s="136">
        <v>0</v>
      </c>
      <c r="I125" s="136">
        <v>0</v>
      </c>
      <c r="J125" s="136">
        <v>0</v>
      </c>
      <c r="K125" s="136">
        <v>0</v>
      </c>
      <c r="L125" s="136">
        <v>0</v>
      </c>
      <c r="M125" s="136">
        <v>0</v>
      </c>
      <c r="N125" s="136">
        <v>0</v>
      </c>
      <c r="O125" s="136">
        <f>147400000-'[1]Costeo SAP 2024'!O28</f>
        <v>110550000</v>
      </c>
      <c r="P125" s="136">
        <v>0</v>
      </c>
      <c r="Q125" s="136">
        <v>0</v>
      </c>
      <c r="R125" s="136">
        <v>0</v>
      </c>
      <c r="S125" s="136">
        <v>0</v>
      </c>
      <c r="T125" s="136">
        <v>0</v>
      </c>
      <c r="U125" s="136">
        <v>0</v>
      </c>
      <c r="V125" s="136">
        <v>0</v>
      </c>
      <c r="W125" s="136">
        <v>0</v>
      </c>
      <c r="X125" s="136">
        <v>0</v>
      </c>
      <c r="Y125" s="136">
        <f t="shared" ref="Y125:Y131" si="117">SUM(Z125:AD125)</f>
        <v>3800000</v>
      </c>
      <c r="Z125" s="136">
        <v>0</v>
      </c>
      <c r="AA125" s="136">
        <v>3800000</v>
      </c>
      <c r="AB125" s="136">
        <v>0</v>
      </c>
      <c r="AC125" s="136">
        <v>0</v>
      </c>
      <c r="AD125" s="136">
        <v>0</v>
      </c>
      <c r="AE125" s="136">
        <f t="shared" ref="AE125:AE131" si="118">SUM(AF125:AI125)</f>
        <v>0</v>
      </c>
      <c r="AF125" s="136">
        <v>0</v>
      </c>
      <c r="AG125" s="136">
        <v>0</v>
      </c>
      <c r="AH125" s="136">
        <v>0</v>
      </c>
      <c r="AI125" s="136">
        <v>0</v>
      </c>
      <c r="AJ125" s="137">
        <f t="shared" ref="AJ125:AJ131" si="119">SUM(AK125+AL125)</f>
        <v>36850000</v>
      </c>
      <c r="AK125" s="136">
        <f>+'[1]Costeo SAP 2024'!O28</f>
        <v>36850000</v>
      </c>
      <c r="AL125" s="136">
        <f t="shared" ref="AL125:AL131" si="120">SUM(AM125:AO125)</f>
        <v>0</v>
      </c>
      <c r="AM125" s="135">
        <v>0</v>
      </c>
      <c r="AN125" s="136">
        <v>0</v>
      </c>
      <c r="AO125" s="136">
        <v>0</v>
      </c>
    </row>
    <row r="126" spans="1:41" s="138" customFormat="1" ht="26.4" x14ac:dyDescent="0.25">
      <c r="A126" s="147" t="s">
        <v>228</v>
      </c>
      <c r="B126" s="134" t="s">
        <v>229</v>
      </c>
      <c r="C126" s="135">
        <f t="shared" si="115"/>
        <v>2000000</v>
      </c>
      <c r="D126" s="136">
        <f t="shared" si="116"/>
        <v>2000000</v>
      </c>
      <c r="E126" s="135">
        <v>0</v>
      </c>
      <c r="F126" s="136">
        <v>0</v>
      </c>
      <c r="G126" s="136">
        <v>0</v>
      </c>
      <c r="H126" s="136">
        <v>0</v>
      </c>
      <c r="I126" s="136">
        <v>0</v>
      </c>
      <c r="J126" s="136">
        <v>0</v>
      </c>
      <c r="K126" s="136">
        <v>0</v>
      </c>
      <c r="L126" s="136">
        <v>0</v>
      </c>
      <c r="M126" s="136">
        <v>0</v>
      </c>
      <c r="N126" s="136">
        <v>0</v>
      </c>
      <c r="O126" s="136">
        <v>2000000</v>
      </c>
      <c r="P126" s="136">
        <v>0</v>
      </c>
      <c r="Q126" s="136">
        <v>0</v>
      </c>
      <c r="R126" s="136">
        <v>0</v>
      </c>
      <c r="S126" s="136">
        <v>0</v>
      </c>
      <c r="T126" s="136">
        <v>0</v>
      </c>
      <c r="U126" s="136">
        <v>0</v>
      </c>
      <c r="V126" s="136">
        <v>0</v>
      </c>
      <c r="W126" s="136">
        <v>0</v>
      </c>
      <c r="X126" s="136">
        <v>0</v>
      </c>
      <c r="Y126" s="136">
        <f t="shared" si="117"/>
        <v>0</v>
      </c>
      <c r="Z126" s="136">
        <v>0</v>
      </c>
      <c r="AA126" s="136">
        <v>0</v>
      </c>
      <c r="AB126" s="136">
        <v>0</v>
      </c>
      <c r="AC126" s="136">
        <v>0</v>
      </c>
      <c r="AD126" s="136">
        <v>0</v>
      </c>
      <c r="AE126" s="136">
        <f t="shared" si="118"/>
        <v>0</v>
      </c>
      <c r="AF126" s="136">
        <v>0</v>
      </c>
      <c r="AG126" s="136">
        <v>0</v>
      </c>
      <c r="AH126" s="136">
        <v>0</v>
      </c>
      <c r="AI126" s="136">
        <v>0</v>
      </c>
      <c r="AJ126" s="137">
        <f t="shared" si="119"/>
        <v>0</v>
      </c>
      <c r="AK126" s="136">
        <v>0</v>
      </c>
      <c r="AL126" s="136">
        <f t="shared" si="120"/>
        <v>0</v>
      </c>
      <c r="AM126" s="135">
        <v>0</v>
      </c>
      <c r="AN126" s="136">
        <v>0</v>
      </c>
      <c r="AO126" s="136">
        <v>0</v>
      </c>
    </row>
    <row r="127" spans="1:41" s="138" customFormat="1" x14ac:dyDescent="0.25">
      <c r="A127" s="147" t="s">
        <v>230</v>
      </c>
      <c r="B127" s="134" t="s">
        <v>231</v>
      </c>
      <c r="C127" s="135">
        <f t="shared" si="115"/>
        <v>18000000</v>
      </c>
      <c r="D127" s="136">
        <f t="shared" si="116"/>
        <v>18000000</v>
      </c>
      <c r="E127" s="135">
        <v>0</v>
      </c>
      <c r="F127" s="136">
        <v>0</v>
      </c>
      <c r="G127" s="136">
        <v>0</v>
      </c>
      <c r="H127" s="136">
        <v>0</v>
      </c>
      <c r="I127" s="136">
        <v>0</v>
      </c>
      <c r="J127" s="136">
        <v>0</v>
      </c>
      <c r="K127" s="136">
        <v>0</v>
      </c>
      <c r="L127" s="136">
        <v>0</v>
      </c>
      <c r="M127" s="136">
        <v>0</v>
      </c>
      <c r="N127" s="136">
        <v>0</v>
      </c>
      <c r="O127" s="136">
        <v>18000000</v>
      </c>
      <c r="P127" s="136">
        <v>0</v>
      </c>
      <c r="Q127" s="136">
        <v>0</v>
      </c>
      <c r="R127" s="136">
        <v>0</v>
      </c>
      <c r="S127" s="136">
        <v>0</v>
      </c>
      <c r="T127" s="136">
        <v>0</v>
      </c>
      <c r="U127" s="136">
        <v>0</v>
      </c>
      <c r="V127" s="136">
        <v>0</v>
      </c>
      <c r="W127" s="136">
        <v>0</v>
      </c>
      <c r="X127" s="136">
        <v>0</v>
      </c>
      <c r="Y127" s="136">
        <f t="shared" si="117"/>
        <v>0</v>
      </c>
      <c r="Z127" s="136">
        <v>0</v>
      </c>
      <c r="AA127" s="136">
        <v>0</v>
      </c>
      <c r="AB127" s="136">
        <v>0</v>
      </c>
      <c r="AC127" s="136">
        <v>0</v>
      </c>
      <c r="AD127" s="136">
        <v>0</v>
      </c>
      <c r="AE127" s="136">
        <f t="shared" si="118"/>
        <v>0</v>
      </c>
      <c r="AF127" s="136">
        <v>0</v>
      </c>
      <c r="AG127" s="136">
        <v>0</v>
      </c>
      <c r="AH127" s="136">
        <v>0</v>
      </c>
      <c r="AI127" s="136">
        <v>0</v>
      </c>
      <c r="AJ127" s="137">
        <f t="shared" si="119"/>
        <v>0</v>
      </c>
      <c r="AK127" s="136">
        <v>0</v>
      </c>
      <c r="AL127" s="136">
        <f t="shared" si="120"/>
        <v>0</v>
      </c>
      <c r="AM127" s="135">
        <v>0</v>
      </c>
      <c r="AN127" s="136">
        <v>0</v>
      </c>
      <c r="AO127" s="136">
        <v>0</v>
      </c>
    </row>
    <row r="128" spans="1:41" s="138" customFormat="1" ht="26.4" x14ac:dyDescent="0.25">
      <c r="A128" s="147" t="s">
        <v>232</v>
      </c>
      <c r="B128" s="134" t="s">
        <v>233</v>
      </c>
      <c r="C128" s="135">
        <f t="shared" si="115"/>
        <v>5100000</v>
      </c>
      <c r="D128" s="136">
        <f t="shared" si="116"/>
        <v>3750000</v>
      </c>
      <c r="E128" s="135">
        <v>0</v>
      </c>
      <c r="F128" s="136">
        <v>0</v>
      </c>
      <c r="G128" s="136">
        <v>0</v>
      </c>
      <c r="H128" s="136">
        <v>0</v>
      </c>
      <c r="I128" s="136">
        <v>0</v>
      </c>
      <c r="J128" s="136">
        <v>0</v>
      </c>
      <c r="K128" s="136">
        <v>0</v>
      </c>
      <c r="L128" s="136">
        <v>0</v>
      </c>
      <c r="M128" s="136">
        <v>0</v>
      </c>
      <c r="N128" s="136">
        <v>0</v>
      </c>
      <c r="O128" s="136">
        <f>5000000-'[1]Costeo SAP 2024'!O29</f>
        <v>3750000</v>
      </c>
      <c r="P128" s="136">
        <v>0</v>
      </c>
      <c r="Q128" s="136">
        <v>0</v>
      </c>
      <c r="R128" s="136">
        <v>0</v>
      </c>
      <c r="S128" s="136">
        <v>0</v>
      </c>
      <c r="T128" s="136">
        <v>0</v>
      </c>
      <c r="U128" s="136">
        <v>0</v>
      </c>
      <c r="V128" s="136">
        <v>0</v>
      </c>
      <c r="W128" s="136">
        <v>0</v>
      </c>
      <c r="X128" s="136">
        <v>0</v>
      </c>
      <c r="Y128" s="136">
        <f t="shared" si="117"/>
        <v>0</v>
      </c>
      <c r="Z128" s="136">
        <v>0</v>
      </c>
      <c r="AA128" s="136">
        <v>0</v>
      </c>
      <c r="AB128" s="136">
        <v>0</v>
      </c>
      <c r="AC128" s="136">
        <v>0</v>
      </c>
      <c r="AD128" s="136">
        <v>0</v>
      </c>
      <c r="AE128" s="136">
        <f t="shared" si="118"/>
        <v>100000</v>
      </c>
      <c r="AF128" s="136">
        <v>0</v>
      </c>
      <c r="AG128" s="136">
        <v>0</v>
      </c>
      <c r="AH128" s="136">
        <v>0</v>
      </c>
      <c r="AI128" s="136">
        <v>100000</v>
      </c>
      <c r="AJ128" s="137">
        <f t="shared" si="119"/>
        <v>1250000</v>
      </c>
      <c r="AK128" s="136">
        <f>+'[1]Costeo SAP 2024'!O29</f>
        <v>1250000</v>
      </c>
      <c r="AL128" s="136">
        <f t="shared" si="120"/>
        <v>0</v>
      </c>
      <c r="AM128" s="135">
        <v>0</v>
      </c>
      <c r="AN128" s="136">
        <v>0</v>
      </c>
      <c r="AO128" s="136">
        <v>0</v>
      </c>
    </row>
    <row r="129" spans="1:41" s="138" customFormat="1" ht="26.4" x14ac:dyDescent="0.25">
      <c r="A129" s="147" t="s">
        <v>234</v>
      </c>
      <c r="B129" s="134" t="s">
        <v>235</v>
      </c>
      <c r="C129" s="135">
        <f t="shared" si="115"/>
        <v>8800000</v>
      </c>
      <c r="D129" s="136">
        <f t="shared" si="116"/>
        <v>7300000</v>
      </c>
      <c r="E129" s="135">
        <v>0</v>
      </c>
      <c r="F129" s="136">
        <v>0</v>
      </c>
      <c r="G129" s="136">
        <v>0</v>
      </c>
      <c r="H129" s="136">
        <v>0</v>
      </c>
      <c r="I129" s="136">
        <v>4200000</v>
      </c>
      <c r="J129" s="136">
        <v>0</v>
      </c>
      <c r="K129" s="136">
        <v>0</v>
      </c>
      <c r="L129" s="136">
        <v>0</v>
      </c>
      <c r="M129" s="136">
        <v>0</v>
      </c>
      <c r="N129" s="136">
        <v>0</v>
      </c>
      <c r="O129" s="136">
        <f>4000000-'[1]Costeo SAP 2024'!O30</f>
        <v>3000000</v>
      </c>
      <c r="P129" s="136">
        <v>0</v>
      </c>
      <c r="Q129" s="136">
        <v>0</v>
      </c>
      <c r="R129" s="136">
        <v>0</v>
      </c>
      <c r="S129" s="136">
        <v>100000</v>
      </c>
      <c r="T129" s="136">
        <v>0</v>
      </c>
      <c r="U129" s="136">
        <v>0</v>
      </c>
      <c r="V129" s="136">
        <v>0</v>
      </c>
      <c r="W129" s="136">
        <v>0</v>
      </c>
      <c r="X129" s="136">
        <v>0</v>
      </c>
      <c r="Y129" s="136">
        <f t="shared" si="117"/>
        <v>500000</v>
      </c>
      <c r="Z129" s="136">
        <v>0</v>
      </c>
      <c r="AA129" s="136">
        <v>0</v>
      </c>
      <c r="AB129" s="136">
        <v>500000</v>
      </c>
      <c r="AC129" s="136">
        <v>0</v>
      </c>
      <c r="AD129" s="136">
        <v>0</v>
      </c>
      <c r="AE129" s="136">
        <f t="shared" si="118"/>
        <v>0</v>
      </c>
      <c r="AF129" s="136">
        <v>0</v>
      </c>
      <c r="AG129" s="136">
        <v>0</v>
      </c>
      <c r="AH129" s="136">
        <v>0</v>
      </c>
      <c r="AI129" s="136">
        <v>0</v>
      </c>
      <c r="AJ129" s="137">
        <f t="shared" si="119"/>
        <v>1000000</v>
      </c>
      <c r="AK129" s="136">
        <f>+'[1]Costeo SAP 2024'!O30</f>
        <v>1000000</v>
      </c>
      <c r="AL129" s="136">
        <f t="shared" si="120"/>
        <v>0</v>
      </c>
      <c r="AM129" s="135">
        <v>0</v>
      </c>
      <c r="AN129" s="136">
        <v>0</v>
      </c>
      <c r="AO129" s="136">
        <v>0</v>
      </c>
    </row>
    <row r="130" spans="1:41" s="138" customFormat="1" ht="26.4" x14ac:dyDescent="0.25">
      <c r="A130" s="147" t="s">
        <v>236</v>
      </c>
      <c r="B130" s="134" t="s">
        <v>237</v>
      </c>
      <c r="C130" s="135">
        <f t="shared" si="115"/>
        <v>41505895</v>
      </c>
      <c r="D130" s="136">
        <f t="shared" si="116"/>
        <v>31015671</v>
      </c>
      <c r="E130" s="135">
        <v>0</v>
      </c>
      <c r="F130" s="136">
        <v>0</v>
      </c>
      <c r="G130" s="136">
        <v>0</v>
      </c>
      <c r="H130" s="136">
        <v>0</v>
      </c>
      <c r="I130" s="136">
        <f>(40820894-'[1]Costeo SAP 2024'!O31)+0.5</f>
        <v>30615671</v>
      </c>
      <c r="J130" s="136">
        <v>0</v>
      </c>
      <c r="K130" s="136">
        <v>0</v>
      </c>
      <c r="L130" s="136">
        <v>0</v>
      </c>
      <c r="M130" s="136">
        <v>0</v>
      </c>
      <c r="N130" s="136">
        <v>0</v>
      </c>
      <c r="O130" s="136">
        <v>0</v>
      </c>
      <c r="P130" s="136">
        <v>0</v>
      </c>
      <c r="Q130" s="136">
        <v>0</v>
      </c>
      <c r="R130" s="136">
        <v>0</v>
      </c>
      <c r="S130" s="136">
        <v>100000</v>
      </c>
      <c r="T130" s="136">
        <v>0</v>
      </c>
      <c r="U130" s="136">
        <v>0</v>
      </c>
      <c r="V130" s="136">
        <v>0</v>
      </c>
      <c r="W130" s="136">
        <v>0</v>
      </c>
      <c r="X130" s="136">
        <v>300000</v>
      </c>
      <c r="Y130" s="136">
        <f t="shared" si="117"/>
        <v>285000</v>
      </c>
      <c r="Z130" s="136">
        <v>0</v>
      </c>
      <c r="AA130" s="136">
        <v>35000</v>
      </c>
      <c r="AB130" s="136"/>
      <c r="AC130" s="136">
        <v>200000</v>
      </c>
      <c r="AD130" s="136">
        <v>50000</v>
      </c>
      <c r="AE130" s="136">
        <f t="shared" si="118"/>
        <v>0</v>
      </c>
      <c r="AF130" s="136">
        <v>0</v>
      </c>
      <c r="AG130" s="136">
        <v>0</v>
      </c>
      <c r="AH130" s="136">
        <v>0</v>
      </c>
      <c r="AI130" s="136">
        <v>0</v>
      </c>
      <c r="AJ130" s="137">
        <f t="shared" si="119"/>
        <v>10205224</v>
      </c>
      <c r="AK130" s="136">
        <f>(+'[1]Costeo SAP 2024'!O31)+0.5</f>
        <v>10205224</v>
      </c>
      <c r="AL130" s="136">
        <f t="shared" si="120"/>
        <v>0</v>
      </c>
      <c r="AM130" s="135">
        <v>0</v>
      </c>
      <c r="AN130" s="136">
        <v>0</v>
      </c>
      <c r="AO130" s="136">
        <v>0</v>
      </c>
    </row>
    <row r="131" spans="1:41" s="138" customFormat="1" x14ac:dyDescent="0.25">
      <c r="A131" s="147" t="s">
        <v>238</v>
      </c>
      <c r="B131" s="134" t="s">
        <v>239</v>
      </c>
      <c r="C131" s="135">
        <f t="shared" si="115"/>
        <v>4650000</v>
      </c>
      <c r="D131" s="136">
        <f t="shared" si="116"/>
        <v>3450000</v>
      </c>
      <c r="E131" s="135">
        <v>0</v>
      </c>
      <c r="F131" s="136">
        <v>0</v>
      </c>
      <c r="G131" s="136">
        <v>0</v>
      </c>
      <c r="H131" s="136">
        <v>0</v>
      </c>
      <c r="I131" s="136">
        <v>0</v>
      </c>
      <c r="J131" s="136">
        <v>0</v>
      </c>
      <c r="K131" s="136">
        <v>0</v>
      </c>
      <c r="L131" s="136">
        <v>0</v>
      </c>
      <c r="M131" s="136">
        <v>0</v>
      </c>
      <c r="N131" s="136">
        <v>0</v>
      </c>
      <c r="O131" s="136">
        <v>3000000</v>
      </c>
      <c r="P131" s="136">
        <v>0</v>
      </c>
      <c r="Q131" s="136">
        <v>0</v>
      </c>
      <c r="R131" s="136">
        <v>0</v>
      </c>
      <c r="S131" s="136">
        <v>100000</v>
      </c>
      <c r="T131" s="136">
        <v>0</v>
      </c>
      <c r="U131" s="136">
        <v>0</v>
      </c>
      <c r="V131" s="136">
        <v>0</v>
      </c>
      <c r="W131" s="136">
        <v>350000</v>
      </c>
      <c r="X131" s="136">
        <v>0</v>
      </c>
      <c r="Y131" s="136">
        <f t="shared" si="117"/>
        <v>1000000</v>
      </c>
      <c r="Z131" s="136">
        <v>0</v>
      </c>
      <c r="AA131" s="136">
        <v>0</v>
      </c>
      <c r="AB131" s="136">
        <v>1000000</v>
      </c>
      <c r="AC131" s="136">
        <v>0</v>
      </c>
      <c r="AD131" s="136">
        <v>0</v>
      </c>
      <c r="AE131" s="136">
        <f t="shared" si="118"/>
        <v>200000</v>
      </c>
      <c r="AF131" s="136">
        <v>0</v>
      </c>
      <c r="AG131" s="136">
        <v>0</v>
      </c>
      <c r="AH131" s="136">
        <v>0</v>
      </c>
      <c r="AI131" s="136">
        <v>200000</v>
      </c>
      <c r="AJ131" s="137">
        <f t="shared" si="119"/>
        <v>0</v>
      </c>
      <c r="AK131" s="136">
        <v>0</v>
      </c>
      <c r="AL131" s="136">
        <f t="shared" si="120"/>
        <v>0</v>
      </c>
      <c r="AM131" s="135">
        <v>0</v>
      </c>
      <c r="AN131" s="136">
        <v>0</v>
      </c>
      <c r="AO131" s="136">
        <v>0</v>
      </c>
    </row>
    <row r="132" spans="1:41" s="138" customFormat="1" x14ac:dyDescent="0.25">
      <c r="A132" s="143"/>
      <c r="B132" s="144"/>
      <c r="C132" s="135"/>
      <c r="D132" s="136"/>
      <c r="E132" s="135"/>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7"/>
      <c r="AK132" s="136"/>
      <c r="AL132" s="136"/>
      <c r="AM132" s="135"/>
      <c r="AN132" s="136"/>
      <c r="AO132" s="136"/>
    </row>
    <row r="133" spans="1:41" s="138" customFormat="1" x14ac:dyDescent="0.25">
      <c r="A133" s="157" t="s">
        <v>240</v>
      </c>
      <c r="B133" s="139" t="s">
        <v>241</v>
      </c>
      <c r="C133" s="140">
        <f>SUM(C134)</f>
        <v>6500000</v>
      </c>
      <c r="D133" s="141">
        <f t="shared" ref="D133:AO133" si="121">SUM(D134)</f>
        <v>6500000</v>
      </c>
      <c r="E133" s="140">
        <f t="shared" si="121"/>
        <v>0</v>
      </c>
      <c r="F133" s="141">
        <f t="shared" si="121"/>
        <v>0</v>
      </c>
      <c r="G133" s="141">
        <f t="shared" si="121"/>
        <v>0</v>
      </c>
      <c r="H133" s="141">
        <f t="shared" si="121"/>
        <v>0</v>
      </c>
      <c r="I133" s="141">
        <f t="shared" si="121"/>
        <v>0</v>
      </c>
      <c r="J133" s="141">
        <f t="shared" si="121"/>
        <v>0</v>
      </c>
      <c r="K133" s="141">
        <f t="shared" si="121"/>
        <v>0</v>
      </c>
      <c r="L133" s="141">
        <f t="shared" si="121"/>
        <v>0</v>
      </c>
      <c r="M133" s="141">
        <f t="shared" si="121"/>
        <v>0</v>
      </c>
      <c r="N133" s="141">
        <f t="shared" si="121"/>
        <v>0</v>
      </c>
      <c r="O133" s="141">
        <f t="shared" si="121"/>
        <v>6500000</v>
      </c>
      <c r="P133" s="141">
        <f t="shared" si="121"/>
        <v>0</v>
      </c>
      <c r="Q133" s="141">
        <f t="shared" si="121"/>
        <v>0</v>
      </c>
      <c r="R133" s="141">
        <f t="shared" si="121"/>
        <v>0</v>
      </c>
      <c r="S133" s="141">
        <f t="shared" si="121"/>
        <v>0</v>
      </c>
      <c r="T133" s="141">
        <f t="shared" si="121"/>
        <v>0</v>
      </c>
      <c r="U133" s="141">
        <f t="shared" si="121"/>
        <v>0</v>
      </c>
      <c r="V133" s="141">
        <f t="shared" si="121"/>
        <v>0</v>
      </c>
      <c r="W133" s="141">
        <f t="shared" si="121"/>
        <v>0</v>
      </c>
      <c r="X133" s="141">
        <f t="shared" si="121"/>
        <v>0</v>
      </c>
      <c r="Y133" s="141">
        <f t="shared" si="121"/>
        <v>0</v>
      </c>
      <c r="Z133" s="141">
        <f t="shared" si="121"/>
        <v>0</v>
      </c>
      <c r="AA133" s="141">
        <f t="shared" si="121"/>
        <v>0</v>
      </c>
      <c r="AB133" s="141">
        <f t="shared" si="121"/>
        <v>0</v>
      </c>
      <c r="AC133" s="141">
        <f t="shared" si="121"/>
        <v>0</v>
      </c>
      <c r="AD133" s="141">
        <f t="shared" si="121"/>
        <v>0</v>
      </c>
      <c r="AE133" s="141">
        <f t="shared" si="121"/>
        <v>0</v>
      </c>
      <c r="AF133" s="141">
        <f t="shared" si="121"/>
        <v>0</v>
      </c>
      <c r="AG133" s="141">
        <f t="shared" si="121"/>
        <v>0</v>
      </c>
      <c r="AH133" s="141">
        <f t="shared" si="121"/>
        <v>0</v>
      </c>
      <c r="AI133" s="141">
        <f t="shared" si="121"/>
        <v>0</v>
      </c>
      <c r="AJ133" s="142">
        <f t="shared" si="121"/>
        <v>0</v>
      </c>
      <c r="AK133" s="141">
        <f t="shared" si="121"/>
        <v>0</v>
      </c>
      <c r="AL133" s="141">
        <f t="shared" si="121"/>
        <v>0</v>
      </c>
      <c r="AM133" s="140">
        <f t="shared" si="121"/>
        <v>0</v>
      </c>
      <c r="AN133" s="141">
        <f t="shared" si="121"/>
        <v>0</v>
      </c>
      <c r="AO133" s="141">
        <f t="shared" si="121"/>
        <v>0</v>
      </c>
    </row>
    <row r="134" spans="1:41" s="138" customFormat="1" x14ac:dyDescent="0.25">
      <c r="A134" s="147" t="s">
        <v>242</v>
      </c>
      <c r="B134" s="134" t="s">
        <v>243</v>
      </c>
      <c r="C134" s="135">
        <f t="shared" ref="C134" si="122">D134+Y134+AE134+AJ134</f>
        <v>6500000</v>
      </c>
      <c r="D134" s="136">
        <f t="shared" ref="D134" si="123">SUM(E134:X134)</f>
        <v>6500000</v>
      </c>
      <c r="E134" s="135">
        <v>0</v>
      </c>
      <c r="F134" s="136">
        <v>0</v>
      </c>
      <c r="G134" s="136">
        <v>0</v>
      </c>
      <c r="H134" s="136">
        <v>0</v>
      </c>
      <c r="I134" s="136">
        <v>0</v>
      </c>
      <c r="J134" s="136">
        <v>0</v>
      </c>
      <c r="K134" s="136">
        <v>0</v>
      </c>
      <c r="L134" s="136">
        <v>0</v>
      </c>
      <c r="M134" s="136">
        <v>0</v>
      </c>
      <c r="N134" s="136">
        <v>0</v>
      </c>
      <c r="O134" s="136">
        <v>6500000</v>
      </c>
      <c r="P134" s="136">
        <v>0</v>
      </c>
      <c r="Q134" s="136">
        <v>0</v>
      </c>
      <c r="R134" s="136">
        <v>0</v>
      </c>
      <c r="S134" s="136">
        <v>0</v>
      </c>
      <c r="T134" s="136">
        <v>0</v>
      </c>
      <c r="U134" s="136">
        <v>0</v>
      </c>
      <c r="V134" s="136">
        <v>0</v>
      </c>
      <c r="W134" s="136">
        <v>0</v>
      </c>
      <c r="X134" s="136">
        <v>0</v>
      </c>
      <c r="Y134" s="136">
        <f t="shared" ref="Y134" si="124">SUM(Z134:AD134)</f>
        <v>0</v>
      </c>
      <c r="Z134" s="136">
        <v>0</v>
      </c>
      <c r="AA134" s="136">
        <v>0</v>
      </c>
      <c r="AB134" s="136">
        <v>0</v>
      </c>
      <c r="AC134" s="136">
        <v>0</v>
      </c>
      <c r="AD134" s="136">
        <v>0</v>
      </c>
      <c r="AE134" s="136">
        <f t="shared" ref="AE134" si="125">SUM(AF134:AI134)</f>
        <v>0</v>
      </c>
      <c r="AF134" s="136">
        <v>0</v>
      </c>
      <c r="AG134" s="136">
        <v>0</v>
      </c>
      <c r="AH134" s="136">
        <v>0</v>
      </c>
      <c r="AI134" s="136">
        <v>0</v>
      </c>
      <c r="AJ134" s="137">
        <f t="shared" ref="AJ134" si="126">SUM(AK134+AL134)</f>
        <v>0</v>
      </c>
      <c r="AK134" s="136">
        <v>0</v>
      </c>
      <c r="AL134" s="136">
        <f t="shared" ref="AL134" si="127">SUM(AM134:AO134)</f>
        <v>0</v>
      </c>
      <c r="AM134" s="135">
        <v>0</v>
      </c>
      <c r="AN134" s="136">
        <v>0</v>
      </c>
      <c r="AO134" s="136">
        <v>0</v>
      </c>
    </row>
    <row r="135" spans="1:41" s="138" customFormat="1" x14ac:dyDescent="0.25">
      <c r="A135" s="147"/>
      <c r="B135" s="134"/>
      <c r="C135" s="135"/>
      <c r="D135" s="136"/>
      <c r="E135" s="135"/>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7"/>
      <c r="AK135" s="136"/>
      <c r="AL135" s="136"/>
      <c r="AM135" s="135"/>
      <c r="AN135" s="136"/>
      <c r="AO135" s="136"/>
    </row>
    <row r="136" spans="1:41" s="138" customFormat="1" x14ac:dyDescent="0.25">
      <c r="A136" s="157" t="s">
        <v>244</v>
      </c>
      <c r="B136" s="139" t="s">
        <v>245</v>
      </c>
      <c r="C136" s="140">
        <f>SUM(C137:C139)</f>
        <v>1850000</v>
      </c>
      <c r="D136" s="141">
        <f t="shared" ref="D136:AO136" si="128">SUM(D137:D139)</f>
        <v>1850000</v>
      </c>
      <c r="E136" s="140">
        <f t="shared" si="128"/>
        <v>0</v>
      </c>
      <c r="F136" s="141">
        <f t="shared" si="128"/>
        <v>0</v>
      </c>
      <c r="G136" s="141">
        <f t="shared" si="128"/>
        <v>0</v>
      </c>
      <c r="H136" s="141">
        <f t="shared" si="128"/>
        <v>0</v>
      </c>
      <c r="I136" s="141">
        <f t="shared" si="128"/>
        <v>0</v>
      </c>
      <c r="J136" s="141">
        <f t="shared" si="128"/>
        <v>0</v>
      </c>
      <c r="K136" s="141">
        <f t="shared" si="128"/>
        <v>0</v>
      </c>
      <c r="L136" s="141">
        <f t="shared" si="128"/>
        <v>0</v>
      </c>
      <c r="M136" s="141">
        <f t="shared" si="128"/>
        <v>0</v>
      </c>
      <c r="N136" s="141">
        <f t="shared" si="128"/>
        <v>0</v>
      </c>
      <c r="O136" s="141">
        <f t="shared" si="128"/>
        <v>1850000</v>
      </c>
      <c r="P136" s="141">
        <f t="shared" si="128"/>
        <v>0</v>
      </c>
      <c r="Q136" s="141">
        <f t="shared" si="128"/>
        <v>0</v>
      </c>
      <c r="R136" s="141">
        <f t="shared" si="128"/>
        <v>0</v>
      </c>
      <c r="S136" s="141">
        <f t="shared" si="128"/>
        <v>0</v>
      </c>
      <c r="T136" s="141">
        <f t="shared" si="128"/>
        <v>0</v>
      </c>
      <c r="U136" s="141">
        <f t="shared" si="128"/>
        <v>0</v>
      </c>
      <c r="V136" s="141">
        <f t="shared" si="128"/>
        <v>0</v>
      </c>
      <c r="W136" s="141">
        <f t="shared" si="128"/>
        <v>0</v>
      </c>
      <c r="X136" s="141">
        <f t="shared" si="128"/>
        <v>0</v>
      </c>
      <c r="Y136" s="141">
        <f t="shared" si="128"/>
        <v>0</v>
      </c>
      <c r="Z136" s="141">
        <f t="shared" si="128"/>
        <v>0</v>
      </c>
      <c r="AA136" s="141">
        <f t="shared" si="128"/>
        <v>0</v>
      </c>
      <c r="AB136" s="141">
        <f t="shared" si="128"/>
        <v>0</v>
      </c>
      <c r="AC136" s="141">
        <f t="shared" si="128"/>
        <v>0</v>
      </c>
      <c r="AD136" s="141">
        <f t="shared" si="128"/>
        <v>0</v>
      </c>
      <c r="AE136" s="141">
        <f t="shared" si="128"/>
        <v>0</v>
      </c>
      <c r="AF136" s="141">
        <f t="shared" si="128"/>
        <v>0</v>
      </c>
      <c r="AG136" s="141">
        <f t="shared" si="128"/>
        <v>0</v>
      </c>
      <c r="AH136" s="141">
        <f t="shared" si="128"/>
        <v>0</v>
      </c>
      <c r="AI136" s="141">
        <f t="shared" si="128"/>
        <v>0</v>
      </c>
      <c r="AJ136" s="142">
        <f t="shared" si="128"/>
        <v>0</v>
      </c>
      <c r="AK136" s="141">
        <f t="shared" si="128"/>
        <v>0</v>
      </c>
      <c r="AL136" s="141">
        <f t="shared" si="128"/>
        <v>0</v>
      </c>
      <c r="AM136" s="140">
        <f t="shared" si="128"/>
        <v>0</v>
      </c>
      <c r="AN136" s="141">
        <f t="shared" si="128"/>
        <v>0</v>
      </c>
      <c r="AO136" s="141">
        <f t="shared" si="128"/>
        <v>0</v>
      </c>
    </row>
    <row r="137" spans="1:41" s="138" customFormat="1" x14ac:dyDescent="0.25">
      <c r="A137" s="147" t="s">
        <v>246</v>
      </c>
      <c r="B137" s="134" t="s">
        <v>247</v>
      </c>
      <c r="C137" s="135">
        <f t="shared" ref="C137:C139" si="129">D137+Y137+AE137+AJ137</f>
        <v>200000</v>
      </c>
      <c r="D137" s="136">
        <f t="shared" ref="D137:D139" si="130">SUM(E137:X137)</f>
        <v>200000</v>
      </c>
      <c r="E137" s="135">
        <v>0</v>
      </c>
      <c r="F137" s="136">
        <v>0</v>
      </c>
      <c r="G137" s="136">
        <v>0</v>
      </c>
      <c r="H137" s="136">
        <v>0</v>
      </c>
      <c r="I137" s="136">
        <v>0</v>
      </c>
      <c r="J137" s="136">
        <v>0</v>
      </c>
      <c r="K137" s="136">
        <v>0</v>
      </c>
      <c r="L137" s="136">
        <v>0</v>
      </c>
      <c r="M137" s="136">
        <v>0</v>
      </c>
      <c r="N137" s="136">
        <v>0</v>
      </c>
      <c r="O137" s="136">
        <v>200000</v>
      </c>
      <c r="P137" s="136">
        <v>0</v>
      </c>
      <c r="Q137" s="136">
        <v>0</v>
      </c>
      <c r="R137" s="136">
        <v>0</v>
      </c>
      <c r="S137" s="136">
        <v>0</v>
      </c>
      <c r="T137" s="136">
        <v>0</v>
      </c>
      <c r="U137" s="136">
        <v>0</v>
      </c>
      <c r="V137" s="136">
        <v>0</v>
      </c>
      <c r="W137" s="136">
        <v>0</v>
      </c>
      <c r="X137" s="136">
        <v>0</v>
      </c>
      <c r="Y137" s="136">
        <f t="shared" ref="Y137:Y139" si="131">SUM(Z137:AD137)</f>
        <v>0</v>
      </c>
      <c r="Z137" s="136">
        <v>0</v>
      </c>
      <c r="AA137" s="136">
        <v>0</v>
      </c>
      <c r="AB137" s="136">
        <v>0</v>
      </c>
      <c r="AC137" s="136">
        <v>0</v>
      </c>
      <c r="AD137" s="136">
        <v>0</v>
      </c>
      <c r="AE137" s="136">
        <f t="shared" ref="AE137:AE139" si="132">SUM(AF137:AI137)</f>
        <v>0</v>
      </c>
      <c r="AF137" s="136">
        <v>0</v>
      </c>
      <c r="AG137" s="136">
        <v>0</v>
      </c>
      <c r="AH137" s="136">
        <v>0</v>
      </c>
      <c r="AI137" s="136">
        <v>0</v>
      </c>
      <c r="AJ137" s="137">
        <f t="shared" ref="AJ137:AJ139" si="133">SUM(AK137+AL137)</f>
        <v>0</v>
      </c>
      <c r="AK137" s="136">
        <v>0</v>
      </c>
      <c r="AL137" s="136">
        <f t="shared" ref="AL137:AL139" si="134">SUM(AM137:AO137)</f>
        <v>0</v>
      </c>
      <c r="AM137" s="135">
        <v>0</v>
      </c>
      <c r="AN137" s="136">
        <v>0</v>
      </c>
      <c r="AO137" s="136">
        <v>0</v>
      </c>
    </row>
    <row r="138" spans="1:41" s="138" customFormat="1" x14ac:dyDescent="0.25">
      <c r="A138" s="147" t="s">
        <v>248</v>
      </c>
      <c r="B138" s="134" t="s">
        <v>249</v>
      </c>
      <c r="C138" s="135">
        <f t="shared" si="129"/>
        <v>1400000</v>
      </c>
      <c r="D138" s="136">
        <f t="shared" si="130"/>
        <v>1400000</v>
      </c>
      <c r="E138" s="135">
        <v>0</v>
      </c>
      <c r="F138" s="136">
        <v>0</v>
      </c>
      <c r="G138" s="136">
        <v>0</v>
      </c>
      <c r="H138" s="136">
        <v>0</v>
      </c>
      <c r="I138" s="136">
        <v>0</v>
      </c>
      <c r="J138" s="136">
        <v>0</v>
      </c>
      <c r="K138" s="136">
        <v>0</v>
      </c>
      <c r="L138" s="136">
        <v>0</v>
      </c>
      <c r="M138" s="136">
        <v>0</v>
      </c>
      <c r="N138" s="136">
        <v>0</v>
      </c>
      <c r="O138" s="136">
        <v>1400000</v>
      </c>
      <c r="P138" s="136">
        <v>0</v>
      </c>
      <c r="Q138" s="136">
        <v>0</v>
      </c>
      <c r="R138" s="136">
        <v>0</v>
      </c>
      <c r="S138" s="136">
        <v>0</v>
      </c>
      <c r="T138" s="136">
        <v>0</v>
      </c>
      <c r="U138" s="136">
        <v>0</v>
      </c>
      <c r="V138" s="136">
        <v>0</v>
      </c>
      <c r="W138" s="136">
        <v>0</v>
      </c>
      <c r="X138" s="136">
        <v>0</v>
      </c>
      <c r="Y138" s="136">
        <f t="shared" si="131"/>
        <v>0</v>
      </c>
      <c r="Z138" s="136">
        <v>0</v>
      </c>
      <c r="AA138" s="136">
        <v>0</v>
      </c>
      <c r="AB138" s="136">
        <v>0</v>
      </c>
      <c r="AC138" s="136">
        <v>0</v>
      </c>
      <c r="AD138" s="136">
        <v>0</v>
      </c>
      <c r="AE138" s="136">
        <f t="shared" si="132"/>
        <v>0</v>
      </c>
      <c r="AF138" s="136">
        <v>0</v>
      </c>
      <c r="AG138" s="136">
        <v>0</v>
      </c>
      <c r="AH138" s="136">
        <v>0</v>
      </c>
      <c r="AI138" s="136">
        <v>0</v>
      </c>
      <c r="AJ138" s="137">
        <f t="shared" si="133"/>
        <v>0</v>
      </c>
      <c r="AK138" s="136">
        <v>0</v>
      </c>
      <c r="AL138" s="136">
        <f t="shared" si="134"/>
        <v>0</v>
      </c>
      <c r="AM138" s="135">
        <v>0</v>
      </c>
      <c r="AN138" s="136">
        <v>0</v>
      </c>
      <c r="AO138" s="136">
        <v>0</v>
      </c>
    </row>
    <row r="139" spans="1:41" s="138" customFormat="1" ht="13.8" thickBot="1" x14ac:dyDescent="0.3">
      <c r="A139" s="161" t="s">
        <v>250</v>
      </c>
      <c r="B139" s="153" t="s">
        <v>251</v>
      </c>
      <c r="C139" s="154">
        <f t="shared" si="129"/>
        <v>250000</v>
      </c>
      <c r="D139" s="155">
        <f t="shared" si="130"/>
        <v>250000</v>
      </c>
      <c r="E139" s="154">
        <v>0</v>
      </c>
      <c r="F139" s="155">
        <v>0</v>
      </c>
      <c r="G139" s="155">
        <v>0</v>
      </c>
      <c r="H139" s="155">
        <v>0</v>
      </c>
      <c r="I139" s="155">
        <v>0</v>
      </c>
      <c r="J139" s="155">
        <v>0</v>
      </c>
      <c r="K139" s="155">
        <v>0</v>
      </c>
      <c r="L139" s="155">
        <v>0</v>
      </c>
      <c r="M139" s="155">
        <v>0</v>
      </c>
      <c r="N139" s="155">
        <v>0</v>
      </c>
      <c r="O139" s="155">
        <v>250000</v>
      </c>
      <c r="P139" s="155">
        <v>0</v>
      </c>
      <c r="Q139" s="155">
        <v>0</v>
      </c>
      <c r="R139" s="155">
        <v>0</v>
      </c>
      <c r="S139" s="155">
        <v>0</v>
      </c>
      <c r="T139" s="155">
        <v>0</v>
      </c>
      <c r="U139" s="155">
        <v>0</v>
      </c>
      <c r="V139" s="155">
        <v>0</v>
      </c>
      <c r="W139" s="155">
        <v>0</v>
      </c>
      <c r="X139" s="155">
        <v>0</v>
      </c>
      <c r="Y139" s="155">
        <f t="shared" si="131"/>
        <v>0</v>
      </c>
      <c r="Z139" s="155">
        <v>0</v>
      </c>
      <c r="AA139" s="155">
        <v>0</v>
      </c>
      <c r="AB139" s="155">
        <v>0</v>
      </c>
      <c r="AC139" s="155">
        <v>0</v>
      </c>
      <c r="AD139" s="155">
        <v>0</v>
      </c>
      <c r="AE139" s="155">
        <f t="shared" si="132"/>
        <v>0</v>
      </c>
      <c r="AF139" s="155">
        <v>0</v>
      </c>
      <c r="AG139" s="155">
        <v>0</v>
      </c>
      <c r="AH139" s="155">
        <v>0</v>
      </c>
      <c r="AI139" s="155">
        <v>0</v>
      </c>
      <c r="AJ139" s="156">
        <f t="shared" si="133"/>
        <v>0</v>
      </c>
      <c r="AK139" s="155">
        <v>0</v>
      </c>
      <c r="AL139" s="155">
        <f t="shared" si="134"/>
        <v>0</v>
      </c>
      <c r="AM139" s="135">
        <v>0</v>
      </c>
      <c r="AN139" s="136">
        <v>0</v>
      </c>
      <c r="AO139" s="136">
        <v>0</v>
      </c>
    </row>
    <row r="140" spans="1:41" s="138" customFormat="1" x14ac:dyDescent="0.25">
      <c r="A140" s="143"/>
      <c r="B140" s="144"/>
      <c r="C140" s="135"/>
      <c r="D140" s="136"/>
      <c r="E140" s="135"/>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7"/>
      <c r="AK140" s="136"/>
      <c r="AL140" s="136"/>
      <c r="AM140" s="135"/>
      <c r="AN140" s="136"/>
      <c r="AO140" s="136"/>
    </row>
    <row r="141" spans="1:41" s="138" customFormat="1" x14ac:dyDescent="0.25">
      <c r="A141" s="162">
        <v>2</v>
      </c>
      <c r="B141" s="139" t="s">
        <v>252</v>
      </c>
      <c r="C141" s="140">
        <f>C143+C150+C154+C163+C167</f>
        <v>87004377</v>
      </c>
      <c r="D141" s="141">
        <f t="shared" ref="D141:AO141" si="135">D143+D150+D154+D163+D167</f>
        <v>63774539</v>
      </c>
      <c r="E141" s="140">
        <f t="shared" si="135"/>
        <v>3000</v>
      </c>
      <c r="F141" s="141">
        <f t="shared" si="135"/>
        <v>0</v>
      </c>
      <c r="G141" s="141">
        <f t="shared" si="135"/>
        <v>0</v>
      </c>
      <c r="H141" s="141">
        <f t="shared" si="135"/>
        <v>0</v>
      </c>
      <c r="I141" s="141">
        <f t="shared" si="135"/>
        <v>11549667</v>
      </c>
      <c r="J141" s="141">
        <f t="shared" si="135"/>
        <v>0</v>
      </c>
      <c r="K141" s="141">
        <f t="shared" si="135"/>
        <v>0</v>
      </c>
      <c r="L141" s="141">
        <f t="shared" si="135"/>
        <v>3000000</v>
      </c>
      <c r="M141" s="141">
        <f t="shared" si="135"/>
        <v>0</v>
      </c>
      <c r="N141" s="141">
        <f t="shared" si="135"/>
        <v>0</v>
      </c>
      <c r="O141" s="141">
        <f t="shared" si="135"/>
        <v>27770800</v>
      </c>
      <c r="P141" s="141">
        <f t="shared" si="135"/>
        <v>40000</v>
      </c>
      <c r="Q141" s="141">
        <f t="shared" si="135"/>
        <v>0</v>
      </c>
      <c r="R141" s="141">
        <f t="shared" si="135"/>
        <v>50000</v>
      </c>
      <c r="S141" s="141">
        <f t="shared" si="135"/>
        <v>0</v>
      </c>
      <c r="T141" s="141">
        <f t="shared" si="135"/>
        <v>230000</v>
      </c>
      <c r="U141" s="141">
        <f t="shared" si="135"/>
        <v>0</v>
      </c>
      <c r="V141" s="141">
        <f t="shared" si="135"/>
        <v>13201072</v>
      </c>
      <c r="W141" s="141">
        <f t="shared" si="135"/>
        <v>6430000</v>
      </c>
      <c r="X141" s="141">
        <f t="shared" si="135"/>
        <v>1500000</v>
      </c>
      <c r="Y141" s="141">
        <f t="shared" si="135"/>
        <v>4067400</v>
      </c>
      <c r="Z141" s="141">
        <f t="shared" si="135"/>
        <v>190000</v>
      </c>
      <c r="AA141" s="141">
        <f t="shared" si="135"/>
        <v>816500</v>
      </c>
      <c r="AB141" s="141">
        <f t="shared" si="135"/>
        <v>1965900</v>
      </c>
      <c r="AC141" s="141">
        <f t="shared" si="135"/>
        <v>1000000</v>
      </c>
      <c r="AD141" s="141">
        <f t="shared" si="135"/>
        <v>95000</v>
      </c>
      <c r="AE141" s="141">
        <f t="shared" si="135"/>
        <v>0</v>
      </c>
      <c r="AF141" s="141">
        <f t="shared" si="135"/>
        <v>0</v>
      </c>
      <c r="AG141" s="141">
        <f t="shared" si="135"/>
        <v>0</v>
      </c>
      <c r="AH141" s="141">
        <f t="shared" si="135"/>
        <v>0</v>
      </c>
      <c r="AI141" s="141">
        <f t="shared" si="135"/>
        <v>0</v>
      </c>
      <c r="AJ141" s="142">
        <f t="shared" si="135"/>
        <v>19162438</v>
      </c>
      <c r="AK141" s="141">
        <f t="shared" si="135"/>
        <v>17375000</v>
      </c>
      <c r="AL141" s="141">
        <f t="shared" si="135"/>
        <v>1787438</v>
      </c>
      <c r="AM141" s="140">
        <f t="shared" si="135"/>
        <v>150000</v>
      </c>
      <c r="AN141" s="141">
        <f t="shared" si="135"/>
        <v>1550000</v>
      </c>
      <c r="AO141" s="141">
        <f t="shared" si="135"/>
        <v>87438</v>
      </c>
    </row>
    <row r="142" spans="1:41" s="138" customFormat="1" x14ac:dyDescent="0.25">
      <c r="A142" s="162"/>
      <c r="B142" s="139"/>
      <c r="C142" s="135"/>
      <c r="D142" s="136"/>
      <c r="E142" s="135"/>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7"/>
      <c r="AK142" s="136"/>
      <c r="AL142" s="136"/>
      <c r="AM142" s="135"/>
      <c r="AN142" s="136"/>
      <c r="AO142" s="136"/>
    </row>
    <row r="143" spans="1:41" s="138" customFormat="1" x14ac:dyDescent="0.25">
      <c r="A143" s="157" t="s">
        <v>253</v>
      </c>
      <c r="B143" s="139" t="s">
        <v>254</v>
      </c>
      <c r="C143" s="140">
        <f>SUM(C144:C148)</f>
        <v>16031406</v>
      </c>
      <c r="D143" s="141">
        <f t="shared" ref="D143:AO143" si="136">SUM(D144:D148)</f>
        <v>11006406</v>
      </c>
      <c r="E143" s="140">
        <f t="shared" si="136"/>
        <v>0</v>
      </c>
      <c r="F143" s="141">
        <f t="shared" si="136"/>
        <v>0</v>
      </c>
      <c r="G143" s="141">
        <f t="shared" si="136"/>
        <v>0</v>
      </c>
      <c r="H143" s="141">
        <f t="shared" si="136"/>
        <v>0</v>
      </c>
      <c r="I143" s="141">
        <f t="shared" si="136"/>
        <v>264864</v>
      </c>
      <c r="J143" s="141">
        <f t="shared" si="136"/>
        <v>0</v>
      </c>
      <c r="K143" s="141">
        <f t="shared" si="136"/>
        <v>0</v>
      </c>
      <c r="L143" s="141">
        <f t="shared" si="136"/>
        <v>0</v>
      </c>
      <c r="M143" s="141">
        <f t="shared" si="136"/>
        <v>0</v>
      </c>
      <c r="N143" s="141">
        <f t="shared" si="136"/>
        <v>0</v>
      </c>
      <c r="O143" s="141">
        <f t="shared" si="136"/>
        <v>8075000</v>
      </c>
      <c r="P143" s="141">
        <f t="shared" si="136"/>
        <v>0</v>
      </c>
      <c r="Q143" s="141">
        <f t="shared" si="136"/>
        <v>0</v>
      </c>
      <c r="R143" s="141">
        <f t="shared" si="136"/>
        <v>0</v>
      </c>
      <c r="S143" s="141">
        <f t="shared" si="136"/>
        <v>0</v>
      </c>
      <c r="T143" s="141">
        <f t="shared" si="136"/>
        <v>100000</v>
      </c>
      <c r="U143" s="141">
        <f t="shared" si="136"/>
        <v>0</v>
      </c>
      <c r="V143" s="141">
        <f t="shared" si="136"/>
        <v>1566542</v>
      </c>
      <c r="W143" s="141">
        <f t="shared" si="136"/>
        <v>1000000</v>
      </c>
      <c r="X143" s="141">
        <f t="shared" si="136"/>
        <v>0</v>
      </c>
      <c r="Y143" s="141">
        <f t="shared" si="136"/>
        <v>500000</v>
      </c>
      <c r="Z143" s="141">
        <f t="shared" si="136"/>
        <v>0</v>
      </c>
      <c r="AA143" s="141">
        <f t="shared" si="136"/>
        <v>0</v>
      </c>
      <c r="AB143" s="141">
        <f t="shared" si="136"/>
        <v>500000</v>
      </c>
      <c r="AC143" s="141">
        <f t="shared" si="136"/>
        <v>0</v>
      </c>
      <c r="AD143" s="141">
        <f t="shared" si="136"/>
        <v>0</v>
      </c>
      <c r="AE143" s="141">
        <f t="shared" si="136"/>
        <v>0</v>
      </c>
      <c r="AF143" s="141">
        <f t="shared" si="136"/>
        <v>0</v>
      </c>
      <c r="AG143" s="141">
        <f t="shared" si="136"/>
        <v>0</v>
      </c>
      <c r="AH143" s="141">
        <f t="shared" si="136"/>
        <v>0</v>
      </c>
      <c r="AI143" s="141">
        <f t="shared" si="136"/>
        <v>0</v>
      </c>
      <c r="AJ143" s="142">
        <f t="shared" si="136"/>
        <v>4525000</v>
      </c>
      <c r="AK143" s="141">
        <f t="shared" si="136"/>
        <v>4525000</v>
      </c>
      <c r="AL143" s="141">
        <f t="shared" si="136"/>
        <v>0</v>
      </c>
      <c r="AM143" s="140">
        <f t="shared" si="136"/>
        <v>0</v>
      </c>
      <c r="AN143" s="141">
        <f t="shared" si="136"/>
        <v>0</v>
      </c>
      <c r="AO143" s="141">
        <f t="shared" si="136"/>
        <v>0</v>
      </c>
    </row>
    <row r="144" spans="1:41" s="138" customFormat="1" x14ac:dyDescent="0.25">
      <c r="A144" s="147" t="s">
        <v>255</v>
      </c>
      <c r="B144" s="134" t="s">
        <v>256</v>
      </c>
      <c r="C144" s="135">
        <f t="shared" ref="C144:C148" si="137">D144+Y144+AE144+AJ144</f>
        <v>9900000</v>
      </c>
      <c r="D144" s="136">
        <f t="shared" ref="D144:D148" si="138">SUM(E144:X144)</f>
        <v>7425000</v>
      </c>
      <c r="E144" s="135">
        <v>0</v>
      </c>
      <c r="F144" s="136">
        <v>0</v>
      </c>
      <c r="G144" s="136">
        <v>0</v>
      </c>
      <c r="H144" s="136">
        <v>0</v>
      </c>
      <c r="I144" s="136">
        <v>0</v>
      </c>
      <c r="J144" s="136">
        <v>0</v>
      </c>
      <c r="K144" s="136">
        <v>0</v>
      </c>
      <c r="L144" s="136">
        <v>0</v>
      </c>
      <c r="M144" s="136">
        <v>0</v>
      </c>
      <c r="N144" s="136">
        <v>0</v>
      </c>
      <c r="O144" s="136">
        <f>9900000-'[1]Costeo SAP 2024'!O32</f>
        <v>7425000</v>
      </c>
      <c r="P144" s="136">
        <v>0</v>
      </c>
      <c r="Q144" s="136">
        <v>0</v>
      </c>
      <c r="R144" s="136">
        <v>0</v>
      </c>
      <c r="S144" s="136">
        <v>0</v>
      </c>
      <c r="T144" s="136">
        <v>0</v>
      </c>
      <c r="U144" s="136">
        <v>0</v>
      </c>
      <c r="V144" s="136">
        <v>0</v>
      </c>
      <c r="W144" s="136">
        <v>0</v>
      </c>
      <c r="X144" s="136">
        <v>0</v>
      </c>
      <c r="Y144" s="136">
        <f t="shared" ref="Y144:Y148" si="139">SUM(Z144:AD144)</f>
        <v>0</v>
      </c>
      <c r="Z144" s="136">
        <v>0</v>
      </c>
      <c r="AA144" s="136">
        <v>0</v>
      </c>
      <c r="AB144" s="136">
        <v>0</v>
      </c>
      <c r="AC144" s="136">
        <v>0</v>
      </c>
      <c r="AD144" s="136">
        <v>0</v>
      </c>
      <c r="AE144" s="136">
        <f t="shared" ref="AE144:AE148" si="140">SUM(AF144:AI144)</f>
        <v>0</v>
      </c>
      <c r="AF144" s="136">
        <v>0</v>
      </c>
      <c r="AG144" s="136">
        <v>0</v>
      </c>
      <c r="AH144" s="136">
        <v>0</v>
      </c>
      <c r="AI144" s="136">
        <v>0</v>
      </c>
      <c r="AJ144" s="137">
        <f t="shared" ref="AJ144:AJ148" si="141">SUM(AK144+AL144)</f>
        <v>2475000</v>
      </c>
      <c r="AK144" s="136">
        <f>+'[1]Costeo SAP 2024'!O32</f>
        <v>2475000</v>
      </c>
      <c r="AL144" s="136">
        <f t="shared" ref="AL144:AL148" si="142">SUM(AM144:AO144)</f>
        <v>0</v>
      </c>
      <c r="AM144" s="135">
        <v>0</v>
      </c>
      <c r="AN144" s="136">
        <v>0</v>
      </c>
      <c r="AO144" s="136">
        <v>0</v>
      </c>
    </row>
    <row r="145" spans="1:41" s="138" customFormat="1" x14ac:dyDescent="0.25">
      <c r="A145" s="147" t="s">
        <v>257</v>
      </c>
      <c r="B145" s="134" t="s">
        <v>258</v>
      </c>
      <c r="C145" s="135">
        <f t="shared" si="137"/>
        <v>1300000</v>
      </c>
      <c r="D145" s="136">
        <f t="shared" si="138"/>
        <v>1300000</v>
      </c>
      <c r="E145" s="135">
        <v>0</v>
      </c>
      <c r="F145" s="136">
        <v>0</v>
      </c>
      <c r="G145" s="136">
        <v>0</v>
      </c>
      <c r="H145" s="136">
        <v>0</v>
      </c>
      <c r="I145" s="136">
        <v>0</v>
      </c>
      <c r="J145" s="136">
        <v>0</v>
      </c>
      <c r="K145" s="136">
        <v>0</v>
      </c>
      <c r="L145" s="136">
        <v>0</v>
      </c>
      <c r="M145" s="136">
        <v>0</v>
      </c>
      <c r="N145" s="136">
        <v>0</v>
      </c>
      <c r="O145" s="136">
        <v>200000</v>
      </c>
      <c r="P145" s="136">
        <v>0</v>
      </c>
      <c r="Q145" s="136">
        <v>0</v>
      </c>
      <c r="R145" s="136">
        <v>0</v>
      </c>
      <c r="S145" s="136">
        <v>0</v>
      </c>
      <c r="T145" s="136">
        <v>100000</v>
      </c>
      <c r="U145" s="136">
        <v>0</v>
      </c>
      <c r="V145" s="136">
        <v>0</v>
      </c>
      <c r="W145" s="136">
        <v>1000000</v>
      </c>
      <c r="X145" s="136">
        <v>0</v>
      </c>
      <c r="Y145" s="136">
        <f t="shared" si="139"/>
        <v>0</v>
      </c>
      <c r="Z145" s="136">
        <v>0</v>
      </c>
      <c r="AA145" s="136">
        <v>0</v>
      </c>
      <c r="AB145" s="136">
        <v>0</v>
      </c>
      <c r="AC145" s="136">
        <v>0</v>
      </c>
      <c r="AD145" s="136">
        <v>0</v>
      </c>
      <c r="AE145" s="136">
        <f t="shared" si="140"/>
        <v>0</v>
      </c>
      <c r="AF145" s="136">
        <v>0</v>
      </c>
      <c r="AG145" s="136">
        <v>0</v>
      </c>
      <c r="AH145" s="136">
        <v>0</v>
      </c>
      <c r="AI145" s="136">
        <v>0</v>
      </c>
      <c r="AJ145" s="137">
        <f t="shared" si="141"/>
        <v>0</v>
      </c>
      <c r="AK145" s="136">
        <v>0</v>
      </c>
      <c r="AL145" s="136">
        <f t="shared" si="142"/>
        <v>0</v>
      </c>
      <c r="AM145" s="135">
        <v>0</v>
      </c>
      <c r="AN145" s="136">
        <v>0</v>
      </c>
      <c r="AO145" s="136">
        <v>0</v>
      </c>
    </row>
    <row r="146" spans="1:41" s="138" customFormat="1" x14ac:dyDescent="0.25">
      <c r="A146" s="147" t="s">
        <v>259</v>
      </c>
      <c r="B146" s="144" t="s">
        <v>260</v>
      </c>
      <c r="C146" s="135">
        <f t="shared" si="137"/>
        <v>150000</v>
      </c>
      <c r="D146" s="136">
        <f t="shared" si="138"/>
        <v>150000</v>
      </c>
      <c r="E146" s="135">
        <v>0</v>
      </c>
      <c r="F146" s="136">
        <v>0</v>
      </c>
      <c r="G146" s="136">
        <v>0</v>
      </c>
      <c r="H146" s="136">
        <v>0</v>
      </c>
      <c r="I146" s="136">
        <v>0</v>
      </c>
      <c r="J146" s="136">
        <v>0</v>
      </c>
      <c r="K146" s="136">
        <v>0</v>
      </c>
      <c r="L146" s="136">
        <v>0</v>
      </c>
      <c r="M146" s="136">
        <v>0</v>
      </c>
      <c r="N146" s="136">
        <v>0</v>
      </c>
      <c r="O146" s="136">
        <v>150000</v>
      </c>
      <c r="P146" s="136">
        <v>0</v>
      </c>
      <c r="Q146" s="136">
        <v>0</v>
      </c>
      <c r="R146" s="136">
        <v>0</v>
      </c>
      <c r="S146" s="136">
        <v>0</v>
      </c>
      <c r="T146" s="136">
        <v>0</v>
      </c>
      <c r="U146" s="136">
        <v>0</v>
      </c>
      <c r="V146" s="136">
        <v>0</v>
      </c>
      <c r="W146" s="136">
        <v>0</v>
      </c>
      <c r="X146" s="136">
        <v>0</v>
      </c>
      <c r="Y146" s="136">
        <f t="shared" si="139"/>
        <v>0</v>
      </c>
      <c r="Z146" s="136">
        <v>0</v>
      </c>
      <c r="AA146" s="136">
        <v>0</v>
      </c>
      <c r="AB146" s="136">
        <v>0</v>
      </c>
      <c r="AC146" s="136">
        <v>0</v>
      </c>
      <c r="AD146" s="136">
        <v>0</v>
      </c>
      <c r="AE146" s="136">
        <f t="shared" si="140"/>
        <v>0</v>
      </c>
      <c r="AF146" s="136">
        <v>0</v>
      </c>
      <c r="AG146" s="136">
        <v>0</v>
      </c>
      <c r="AH146" s="136">
        <v>0</v>
      </c>
      <c r="AI146" s="136">
        <v>0</v>
      </c>
      <c r="AJ146" s="137">
        <f t="shared" si="141"/>
        <v>0</v>
      </c>
      <c r="AK146" s="136">
        <v>0</v>
      </c>
      <c r="AL146" s="136">
        <f t="shared" si="142"/>
        <v>0</v>
      </c>
      <c r="AM146" s="135">
        <v>0</v>
      </c>
      <c r="AN146" s="136">
        <v>0</v>
      </c>
      <c r="AO146" s="136">
        <v>0</v>
      </c>
    </row>
    <row r="147" spans="1:41" s="138" customFormat="1" x14ac:dyDescent="0.25">
      <c r="A147" s="147" t="s">
        <v>261</v>
      </c>
      <c r="B147" s="134" t="s">
        <v>262</v>
      </c>
      <c r="C147" s="135">
        <f t="shared" si="137"/>
        <v>4331406</v>
      </c>
      <c r="D147" s="136">
        <f t="shared" si="138"/>
        <v>1831406</v>
      </c>
      <c r="E147" s="135">
        <v>0</v>
      </c>
      <c r="F147" s="136">
        <v>0</v>
      </c>
      <c r="G147" s="136">
        <v>0</v>
      </c>
      <c r="H147" s="136">
        <v>0</v>
      </c>
      <c r="I147" s="136">
        <v>264864</v>
      </c>
      <c r="J147" s="136">
        <v>0</v>
      </c>
      <c r="K147" s="136">
        <v>0</v>
      </c>
      <c r="L147" s="136">
        <v>0</v>
      </c>
      <c r="M147" s="136">
        <v>0</v>
      </c>
      <c r="N147" s="136">
        <v>0</v>
      </c>
      <c r="O147" s="136">
        <v>0</v>
      </c>
      <c r="P147" s="136">
        <v>0</v>
      </c>
      <c r="Q147" s="136">
        <v>0</v>
      </c>
      <c r="R147" s="136">
        <v>0</v>
      </c>
      <c r="S147" s="136">
        <v>0</v>
      </c>
      <c r="T147" s="136">
        <v>0</v>
      </c>
      <c r="U147" s="136">
        <v>0</v>
      </c>
      <c r="V147" s="136">
        <v>1566542</v>
      </c>
      <c r="W147" s="136">
        <v>0</v>
      </c>
      <c r="X147" s="136">
        <v>0</v>
      </c>
      <c r="Y147" s="136">
        <f t="shared" si="139"/>
        <v>500000</v>
      </c>
      <c r="Z147" s="136">
        <v>0</v>
      </c>
      <c r="AA147" s="136">
        <v>0</v>
      </c>
      <c r="AB147" s="136">
        <v>500000</v>
      </c>
      <c r="AC147" s="136">
        <v>0</v>
      </c>
      <c r="AD147" s="136">
        <v>0</v>
      </c>
      <c r="AE147" s="136">
        <f t="shared" si="140"/>
        <v>0</v>
      </c>
      <c r="AF147" s="136">
        <v>0</v>
      </c>
      <c r="AG147" s="136">
        <v>0</v>
      </c>
      <c r="AH147" s="136">
        <v>0</v>
      </c>
      <c r="AI147" s="136">
        <v>0</v>
      </c>
      <c r="AJ147" s="137">
        <f t="shared" si="141"/>
        <v>2000000</v>
      </c>
      <c r="AK147" s="136">
        <v>2000000</v>
      </c>
      <c r="AL147" s="136">
        <f t="shared" si="142"/>
        <v>0</v>
      </c>
      <c r="AM147" s="135">
        <v>0</v>
      </c>
      <c r="AN147" s="136">
        <v>0</v>
      </c>
      <c r="AO147" s="136">
        <v>0</v>
      </c>
    </row>
    <row r="148" spans="1:41" s="138" customFormat="1" x14ac:dyDescent="0.25">
      <c r="A148" s="147" t="s">
        <v>263</v>
      </c>
      <c r="B148" s="134" t="s">
        <v>264</v>
      </c>
      <c r="C148" s="135">
        <f t="shared" si="137"/>
        <v>350000</v>
      </c>
      <c r="D148" s="136">
        <f t="shared" si="138"/>
        <v>300000</v>
      </c>
      <c r="E148" s="135">
        <v>0</v>
      </c>
      <c r="F148" s="136">
        <v>0</v>
      </c>
      <c r="G148" s="136">
        <v>0</v>
      </c>
      <c r="H148" s="136">
        <v>0</v>
      </c>
      <c r="I148" s="136">
        <v>0</v>
      </c>
      <c r="J148" s="136">
        <v>0</v>
      </c>
      <c r="K148" s="136">
        <v>0</v>
      </c>
      <c r="L148" s="136">
        <v>0</v>
      </c>
      <c r="M148" s="136">
        <v>0</v>
      </c>
      <c r="N148" s="136">
        <v>0</v>
      </c>
      <c r="O148" s="136">
        <v>300000</v>
      </c>
      <c r="P148" s="136">
        <v>0</v>
      </c>
      <c r="Q148" s="136">
        <v>0</v>
      </c>
      <c r="R148" s="136">
        <v>0</v>
      </c>
      <c r="S148" s="136">
        <v>0</v>
      </c>
      <c r="T148" s="136">
        <v>0</v>
      </c>
      <c r="U148" s="136">
        <v>0</v>
      </c>
      <c r="V148" s="136">
        <v>0</v>
      </c>
      <c r="W148" s="136">
        <v>0</v>
      </c>
      <c r="X148" s="136">
        <v>0</v>
      </c>
      <c r="Y148" s="136">
        <f t="shared" si="139"/>
        <v>0</v>
      </c>
      <c r="Z148" s="136">
        <v>0</v>
      </c>
      <c r="AA148" s="136">
        <v>0</v>
      </c>
      <c r="AB148" s="136">
        <v>0</v>
      </c>
      <c r="AC148" s="136">
        <v>0</v>
      </c>
      <c r="AD148" s="136">
        <v>0</v>
      </c>
      <c r="AE148" s="136">
        <f t="shared" si="140"/>
        <v>0</v>
      </c>
      <c r="AF148" s="136">
        <v>0</v>
      </c>
      <c r="AG148" s="136">
        <v>0</v>
      </c>
      <c r="AH148" s="136">
        <v>0</v>
      </c>
      <c r="AI148" s="136">
        <v>0</v>
      </c>
      <c r="AJ148" s="137">
        <f t="shared" si="141"/>
        <v>50000</v>
      </c>
      <c r="AK148" s="136">
        <v>50000</v>
      </c>
      <c r="AL148" s="136">
        <f t="shared" si="142"/>
        <v>0</v>
      </c>
      <c r="AM148" s="135">
        <v>0</v>
      </c>
      <c r="AN148" s="136">
        <v>0</v>
      </c>
      <c r="AO148" s="136">
        <v>0</v>
      </c>
    </row>
    <row r="149" spans="1:41" s="138" customFormat="1" x14ac:dyDescent="0.25">
      <c r="A149" s="143"/>
      <c r="B149" s="144"/>
      <c r="C149" s="135"/>
      <c r="D149" s="136"/>
      <c r="E149" s="135"/>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7"/>
      <c r="AK149" s="136"/>
      <c r="AL149" s="136"/>
      <c r="AM149" s="135"/>
      <c r="AN149" s="136"/>
      <c r="AO149" s="136"/>
    </row>
    <row r="150" spans="1:41" s="138" customFormat="1" x14ac:dyDescent="0.25">
      <c r="A150" s="157" t="s">
        <v>265</v>
      </c>
      <c r="B150" s="139" t="s">
        <v>266</v>
      </c>
      <c r="C150" s="140">
        <f>SUM(C151:C152)</f>
        <v>915800</v>
      </c>
      <c r="D150" s="141">
        <f t="shared" ref="D150:AO150" si="143">SUM(D151:D152)</f>
        <v>915800</v>
      </c>
      <c r="E150" s="140">
        <f t="shared" si="143"/>
        <v>0</v>
      </c>
      <c r="F150" s="141">
        <f t="shared" si="143"/>
        <v>0</v>
      </c>
      <c r="G150" s="141">
        <f t="shared" si="143"/>
        <v>0</v>
      </c>
      <c r="H150" s="141">
        <f t="shared" si="143"/>
        <v>0</v>
      </c>
      <c r="I150" s="141">
        <f t="shared" si="143"/>
        <v>0</v>
      </c>
      <c r="J150" s="141">
        <f t="shared" si="143"/>
        <v>0</v>
      </c>
      <c r="K150" s="141">
        <f t="shared" si="143"/>
        <v>0</v>
      </c>
      <c r="L150" s="141">
        <f t="shared" si="143"/>
        <v>0</v>
      </c>
      <c r="M150" s="141">
        <f t="shared" si="143"/>
        <v>0</v>
      </c>
      <c r="N150" s="141">
        <f t="shared" si="143"/>
        <v>0</v>
      </c>
      <c r="O150" s="141">
        <f t="shared" si="143"/>
        <v>415800</v>
      </c>
      <c r="P150" s="141">
        <f t="shared" si="143"/>
        <v>0</v>
      </c>
      <c r="Q150" s="141">
        <f t="shared" si="143"/>
        <v>0</v>
      </c>
      <c r="R150" s="141">
        <f t="shared" si="143"/>
        <v>0</v>
      </c>
      <c r="S150" s="141">
        <f t="shared" si="143"/>
        <v>0</v>
      </c>
      <c r="T150" s="141">
        <f t="shared" si="143"/>
        <v>0</v>
      </c>
      <c r="U150" s="141">
        <f t="shared" si="143"/>
        <v>0</v>
      </c>
      <c r="V150" s="141">
        <f t="shared" si="143"/>
        <v>0</v>
      </c>
      <c r="W150" s="141">
        <f t="shared" si="143"/>
        <v>0</v>
      </c>
      <c r="X150" s="141">
        <f t="shared" si="143"/>
        <v>500000</v>
      </c>
      <c r="Y150" s="141">
        <f t="shared" si="143"/>
        <v>0</v>
      </c>
      <c r="Z150" s="141">
        <f t="shared" si="143"/>
        <v>0</v>
      </c>
      <c r="AA150" s="141">
        <f t="shared" si="143"/>
        <v>0</v>
      </c>
      <c r="AB150" s="141">
        <f t="shared" si="143"/>
        <v>0</v>
      </c>
      <c r="AC150" s="141">
        <f t="shared" si="143"/>
        <v>0</v>
      </c>
      <c r="AD150" s="141">
        <f t="shared" si="143"/>
        <v>0</v>
      </c>
      <c r="AE150" s="141">
        <f t="shared" si="143"/>
        <v>0</v>
      </c>
      <c r="AF150" s="141">
        <f t="shared" si="143"/>
        <v>0</v>
      </c>
      <c r="AG150" s="141">
        <f t="shared" si="143"/>
        <v>0</v>
      </c>
      <c r="AH150" s="141">
        <f t="shared" si="143"/>
        <v>0</v>
      </c>
      <c r="AI150" s="141">
        <f t="shared" si="143"/>
        <v>0</v>
      </c>
      <c r="AJ150" s="142">
        <f t="shared" si="143"/>
        <v>0</v>
      </c>
      <c r="AK150" s="141">
        <f t="shared" si="143"/>
        <v>0</v>
      </c>
      <c r="AL150" s="141">
        <f t="shared" si="143"/>
        <v>0</v>
      </c>
      <c r="AM150" s="140">
        <f t="shared" si="143"/>
        <v>0</v>
      </c>
      <c r="AN150" s="141">
        <f t="shared" si="143"/>
        <v>0</v>
      </c>
      <c r="AO150" s="141">
        <f t="shared" si="143"/>
        <v>0</v>
      </c>
    </row>
    <row r="151" spans="1:41" s="138" customFormat="1" x14ac:dyDescent="0.25">
      <c r="A151" s="147" t="s">
        <v>267</v>
      </c>
      <c r="B151" s="134" t="s">
        <v>268</v>
      </c>
      <c r="C151" s="135">
        <f t="shared" ref="C151:C152" si="144">D151+Y151+AE151+AJ151</f>
        <v>500000</v>
      </c>
      <c r="D151" s="136">
        <f t="shared" ref="D151:D152" si="145">SUM(E151:X151)</f>
        <v>500000</v>
      </c>
      <c r="E151" s="135">
        <v>0</v>
      </c>
      <c r="F151" s="136">
        <v>0</v>
      </c>
      <c r="G151" s="136">
        <v>0</v>
      </c>
      <c r="H151" s="136">
        <v>0</v>
      </c>
      <c r="I151" s="136">
        <v>0</v>
      </c>
      <c r="J151" s="136">
        <v>0</v>
      </c>
      <c r="K151" s="136">
        <v>0</v>
      </c>
      <c r="L151" s="136">
        <v>0</v>
      </c>
      <c r="M151" s="136">
        <v>0</v>
      </c>
      <c r="N151" s="136">
        <v>0</v>
      </c>
      <c r="O151" s="136">
        <v>0</v>
      </c>
      <c r="P151" s="136">
        <v>0</v>
      </c>
      <c r="Q151" s="136">
        <v>0</v>
      </c>
      <c r="R151" s="136">
        <v>0</v>
      </c>
      <c r="S151" s="136">
        <v>0</v>
      </c>
      <c r="T151" s="136">
        <v>0</v>
      </c>
      <c r="U151" s="136">
        <v>0</v>
      </c>
      <c r="V151" s="136">
        <v>0</v>
      </c>
      <c r="W151" s="136">
        <v>0</v>
      </c>
      <c r="X151" s="136">
        <v>500000</v>
      </c>
      <c r="Y151" s="136">
        <f t="shared" ref="Y151:Y152" si="146">SUM(Z151:AD151)</f>
        <v>0</v>
      </c>
      <c r="Z151" s="136">
        <v>0</v>
      </c>
      <c r="AA151" s="136">
        <v>0</v>
      </c>
      <c r="AB151" s="136">
        <v>0</v>
      </c>
      <c r="AC151" s="136">
        <v>0</v>
      </c>
      <c r="AD151" s="136">
        <v>0</v>
      </c>
      <c r="AE151" s="136">
        <f t="shared" ref="AE151:AE152" si="147">SUM(AF151:AI151)</f>
        <v>0</v>
      </c>
      <c r="AF151" s="136">
        <v>0</v>
      </c>
      <c r="AG151" s="136">
        <v>0</v>
      </c>
      <c r="AH151" s="136">
        <v>0</v>
      </c>
      <c r="AI151" s="136">
        <v>0</v>
      </c>
      <c r="AJ151" s="137">
        <f t="shared" ref="AJ151:AJ152" si="148">SUM(AK151+AL151)</f>
        <v>0</v>
      </c>
      <c r="AK151" s="136">
        <v>0</v>
      </c>
      <c r="AL151" s="136">
        <f t="shared" ref="AL151:AL152" si="149">SUM(AM151:AO151)</f>
        <v>0</v>
      </c>
      <c r="AM151" s="135">
        <v>0</v>
      </c>
      <c r="AN151" s="136">
        <v>0</v>
      </c>
      <c r="AO151" s="136">
        <v>0</v>
      </c>
    </row>
    <row r="152" spans="1:41" s="138" customFormat="1" x14ac:dyDescent="0.25">
      <c r="A152" s="147" t="s">
        <v>269</v>
      </c>
      <c r="B152" s="144" t="s">
        <v>270</v>
      </c>
      <c r="C152" s="135">
        <f t="shared" si="144"/>
        <v>415800</v>
      </c>
      <c r="D152" s="136">
        <f t="shared" si="145"/>
        <v>415800</v>
      </c>
      <c r="E152" s="135">
        <v>0</v>
      </c>
      <c r="F152" s="136">
        <v>0</v>
      </c>
      <c r="G152" s="136">
        <v>0</v>
      </c>
      <c r="H152" s="136">
        <v>0</v>
      </c>
      <c r="I152" s="136">
        <v>0</v>
      </c>
      <c r="J152" s="136">
        <v>0</v>
      </c>
      <c r="K152" s="136">
        <v>0</v>
      </c>
      <c r="L152" s="136">
        <v>0</v>
      </c>
      <c r="M152" s="136">
        <v>0</v>
      </c>
      <c r="N152" s="136">
        <v>0</v>
      </c>
      <c r="O152" s="136">
        <v>415800</v>
      </c>
      <c r="P152" s="136">
        <v>0</v>
      </c>
      <c r="Q152" s="136">
        <v>0</v>
      </c>
      <c r="R152" s="136">
        <v>0</v>
      </c>
      <c r="S152" s="136">
        <v>0</v>
      </c>
      <c r="T152" s="136">
        <v>0</v>
      </c>
      <c r="U152" s="136">
        <v>0</v>
      </c>
      <c r="V152" s="136">
        <v>0</v>
      </c>
      <c r="W152" s="136">
        <v>0</v>
      </c>
      <c r="X152" s="136">
        <v>0</v>
      </c>
      <c r="Y152" s="136">
        <f t="shared" si="146"/>
        <v>0</v>
      </c>
      <c r="Z152" s="136">
        <v>0</v>
      </c>
      <c r="AA152" s="136">
        <v>0</v>
      </c>
      <c r="AB152" s="136">
        <v>0</v>
      </c>
      <c r="AC152" s="136">
        <v>0</v>
      </c>
      <c r="AD152" s="136">
        <v>0</v>
      </c>
      <c r="AE152" s="136">
        <f t="shared" si="147"/>
        <v>0</v>
      </c>
      <c r="AF152" s="136">
        <v>0</v>
      </c>
      <c r="AG152" s="136">
        <v>0</v>
      </c>
      <c r="AH152" s="136">
        <v>0</v>
      </c>
      <c r="AI152" s="136">
        <v>0</v>
      </c>
      <c r="AJ152" s="137">
        <f t="shared" si="148"/>
        <v>0</v>
      </c>
      <c r="AK152" s="136">
        <v>0</v>
      </c>
      <c r="AL152" s="136">
        <f t="shared" si="149"/>
        <v>0</v>
      </c>
      <c r="AM152" s="135">
        <v>0</v>
      </c>
      <c r="AN152" s="136">
        <v>0</v>
      </c>
      <c r="AO152" s="136">
        <v>0</v>
      </c>
    </row>
    <row r="153" spans="1:41" s="138" customFormat="1" x14ac:dyDescent="0.25">
      <c r="A153" s="143"/>
      <c r="B153" s="144"/>
      <c r="C153" s="135"/>
      <c r="D153" s="136"/>
      <c r="E153" s="135"/>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7"/>
      <c r="AK153" s="136"/>
      <c r="AL153" s="136"/>
      <c r="AM153" s="135"/>
      <c r="AN153" s="136"/>
      <c r="AO153" s="136"/>
    </row>
    <row r="154" spans="1:41" s="138" customFormat="1" ht="26.4" x14ac:dyDescent="0.25">
      <c r="A154" s="157" t="s">
        <v>271</v>
      </c>
      <c r="B154" s="139" t="s">
        <v>272</v>
      </c>
      <c r="C154" s="140">
        <f>SUM(C155:C161)</f>
        <v>30750000</v>
      </c>
      <c r="D154" s="141">
        <f t="shared" ref="D154:AO154" si="150">SUM(D155:D161)</f>
        <v>21200000</v>
      </c>
      <c r="E154" s="140">
        <f t="shared" si="150"/>
        <v>0</v>
      </c>
      <c r="F154" s="141">
        <f t="shared" si="150"/>
        <v>0</v>
      </c>
      <c r="G154" s="141">
        <f t="shared" si="150"/>
        <v>0</v>
      </c>
      <c r="H154" s="141">
        <f t="shared" si="150"/>
        <v>0</v>
      </c>
      <c r="I154" s="141">
        <f t="shared" si="150"/>
        <v>11250000</v>
      </c>
      <c r="J154" s="141">
        <f t="shared" si="150"/>
        <v>0</v>
      </c>
      <c r="K154" s="141">
        <f t="shared" si="150"/>
        <v>0</v>
      </c>
      <c r="L154" s="141">
        <f t="shared" si="150"/>
        <v>0</v>
      </c>
      <c r="M154" s="141">
        <f t="shared" si="150"/>
        <v>0</v>
      </c>
      <c r="N154" s="141">
        <f t="shared" si="150"/>
        <v>0</v>
      </c>
      <c r="O154" s="141">
        <f t="shared" si="150"/>
        <v>9950000</v>
      </c>
      <c r="P154" s="141">
        <f t="shared" si="150"/>
        <v>0</v>
      </c>
      <c r="Q154" s="141">
        <f t="shared" si="150"/>
        <v>0</v>
      </c>
      <c r="R154" s="141">
        <f t="shared" si="150"/>
        <v>0</v>
      </c>
      <c r="S154" s="141">
        <f t="shared" si="150"/>
        <v>0</v>
      </c>
      <c r="T154" s="141">
        <f t="shared" si="150"/>
        <v>0</v>
      </c>
      <c r="U154" s="141">
        <f t="shared" si="150"/>
        <v>0</v>
      </c>
      <c r="V154" s="141">
        <f t="shared" si="150"/>
        <v>0</v>
      </c>
      <c r="W154" s="141">
        <f t="shared" si="150"/>
        <v>0</v>
      </c>
      <c r="X154" s="141">
        <f t="shared" si="150"/>
        <v>0</v>
      </c>
      <c r="Y154" s="141">
        <f t="shared" si="150"/>
        <v>800000</v>
      </c>
      <c r="Z154" s="141">
        <f t="shared" si="150"/>
        <v>100000</v>
      </c>
      <c r="AA154" s="141">
        <f t="shared" si="150"/>
        <v>300000</v>
      </c>
      <c r="AB154" s="141">
        <f t="shared" si="150"/>
        <v>100000</v>
      </c>
      <c r="AC154" s="141">
        <f t="shared" si="150"/>
        <v>250000</v>
      </c>
      <c r="AD154" s="141">
        <f t="shared" si="150"/>
        <v>50000</v>
      </c>
      <c r="AE154" s="141">
        <f t="shared" si="150"/>
        <v>0</v>
      </c>
      <c r="AF154" s="141">
        <f t="shared" si="150"/>
        <v>0</v>
      </c>
      <c r="AG154" s="141">
        <f t="shared" si="150"/>
        <v>0</v>
      </c>
      <c r="AH154" s="141">
        <f t="shared" si="150"/>
        <v>0</v>
      </c>
      <c r="AI154" s="141">
        <f t="shared" si="150"/>
        <v>0</v>
      </c>
      <c r="AJ154" s="142">
        <f t="shared" si="150"/>
        <v>8750000</v>
      </c>
      <c r="AK154" s="141">
        <f t="shared" si="150"/>
        <v>8750000</v>
      </c>
      <c r="AL154" s="141">
        <f t="shared" si="150"/>
        <v>0</v>
      </c>
      <c r="AM154" s="140">
        <f t="shared" si="150"/>
        <v>0</v>
      </c>
      <c r="AN154" s="141">
        <f t="shared" si="150"/>
        <v>0</v>
      </c>
      <c r="AO154" s="141">
        <f t="shared" si="150"/>
        <v>0</v>
      </c>
    </row>
    <row r="155" spans="1:41" s="138" customFormat="1" x14ac:dyDescent="0.25">
      <c r="A155" s="147" t="s">
        <v>273</v>
      </c>
      <c r="B155" s="134" t="s">
        <v>274</v>
      </c>
      <c r="C155" s="135">
        <f t="shared" ref="C155:C161" si="151">D155+Y155+AE155+AJ155</f>
        <v>1150000</v>
      </c>
      <c r="D155" s="136">
        <f t="shared" ref="D155:D161" si="152">SUM(E155:X155)</f>
        <v>750000</v>
      </c>
      <c r="E155" s="135">
        <v>0</v>
      </c>
      <c r="F155" s="136">
        <v>0</v>
      </c>
      <c r="G155" s="136">
        <v>0</v>
      </c>
      <c r="H155" s="136">
        <v>0</v>
      </c>
      <c r="I155" s="136">
        <v>0</v>
      </c>
      <c r="J155" s="136">
        <v>0</v>
      </c>
      <c r="K155" s="136">
        <v>0</v>
      </c>
      <c r="L155" s="136">
        <v>0</v>
      </c>
      <c r="M155" s="136">
        <v>0</v>
      </c>
      <c r="N155" s="136">
        <v>0</v>
      </c>
      <c r="O155" s="136">
        <f>1000000-'[1]Costeo SAP 2024'!O33</f>
        <v>750000</v>
      </c>
      <c r="P155" s="136">
        <v>0</v>
      </c>
      <c r="Q155" s="136">
        <v>0</v>
      </c>
      <c r="R155" s="136">
        <v>0</v>
      </c>
      <c r="S155" s="136">
        <v>0</v>
      </c>
      <c r="T155" s="136">
        <v>0</v>
      </c>
      <c r="U155" s="136">
        <v>0</v>
      </c>
      <c r="V155" s="136">
        <v>0</v>
      </c>
      <c r="W155" s="136">
        <v>0</v>
      </c>
      <c r="X155" s="136">
        <v>0</v>
      </c>
      <c r="Y155" s="136">
        <f t="shared" ref="Y155:Y161" si="153">SUM(Z155:AD155)</f>
        <v>0</v>
      </c>
      <c r="Z155" s="136">
        <v>0</v>
      </c>
      <c r="AA155" s="136">
        <v>0</v>
      </c>
      <c r="AB155" s="136">
        <v>0</v>
      </c>
      <c r="AC155" s="136">
        <v>0</v>
      </c>
      <c r="AD155" s="136">
        <v>0</v>
      </c>
      <c r="AE155" s="136">
        <f t="shared" ref="AE155:AE161" si="154">SUM(AF155:AI155)</f>
        <v>0</v>
      </c>
      <c r="AF155" s="136">
        <v>0</v>
      </c>
      <c r="AG155" s="136">
        <v>0</v>
      </c>
      <c r="AH155" s="136">
        <v>0</v>
      </c>
      <c r="AI155" s="136">
        <v>0</v>
      </c>
      <c r="AJ155" s="137">
        <f t="shared" ref="AJ155:AJ161" si="155">SUM(AK155+AL155)</f>
        <v>400000</v>
      </c>
      <c r="AK155" s="136">
        <f>150000+'[1]Costeo SAP 2024'!O33</f>
        <v>400000</v>
      </c>
      <c r="AL155" s="136">
        <f t="shared" ref="AL155:AL161" si="156">SUM(AM155:AO155)</f>
        <v>0</v>
      </c>
      <c r="AM155" s="135">
        <v>0</v>
      </c>
      <c r="AN155" s="136">
        <v>0</v>
      </c>
      <c r="AO155" s="136">
        <v>0</v>
      </c>
    </row>
    <row r="156" spans="1:41" s="138" customFormat="1" x14ac:dyDescent="0.25">
      <c r="A156" s="147" t="s">
        <v>275</v>
      </c>
      <c r="B156" s="134" t="s">
        <v>276</v>
      </c>
      <c r="C156" s="135">
        <f t="shared" si="151"/>
        <v>1000000</v>
      </c>
      <c r="D156" s="136">
        <f t="shared" si="152"/>
        <v>750000</v>
      </c>
      <c r="E156" s="135">
        <v>0</v>
      </c>
      <c r="F156" s="136">
        <v>0</v>
      </c>
      <c r="G156" s="136">
        <v>0</v>
      </c>
      <c r="H156" s="136">
        <v>0</v>
      </c>
      <c r="I156" s="136">
        <v>0</v>
      </c>
      <c r="J156" s="136">
        <v>0</v>
      </c>
      <c r="K156" s="136">
        <v>0</v>
      </c>
      <c r="L156" s="136">
        <v>0</v>
      </c>
      <c r="M156" s="136">
        <v>0</v>
      </c>
      <c r="N156" s="136">
        <v>0</v>
      </c>
      <c r="O156" s="136">
        <f>1000000-'[1]Costeo SAP 2024'!O34</f>
        <v>750000</v>
      </c>
      <c r="P156" s="136">
        <v>0</v>
      </c>
      <c r="Q156" s="136">
        <v>0</v>
      </c>
      <c r="R156" s="136">
        <v>0</v>
      </c>
      <c r="S156" s="136">
        <v>0</v>
      </c>
      <c r="T156" s="136">
        <v>0</v>
      </c>
      <c r="U156" s="136">
        <v>0</v>
      </c>
      <c r="V156" s="136">
        <v>0</v>
      </c>
      <c r="W156" s="136">
        <v>0</v>
      </c>
      <c r="X156" s="136">
        <v>0</v>
      </c>
      <c r="Y156" s="136">
        <f t="shared" si="153"/>
        <v>0</v>
      </c>
      <c r="Z156" s="136">
        <v>0</v>
      </c>
      <c r="AA156" s="136">
        <v>0</v>
      </c>
      <c r="AB156" s="136">
        <v>0</v>
      </c>
      <c r="AC156" s="136">
        <v>0</v>
      </c>
      <c r="AD156" s="136">
        <v>0</v>
      </c>
      <c r="AE156" s="136">
        <f t="shared" si="154"/>
        <v>0</v>
      </c>
      <c r="AF156" s="136">
        <v>0</v>
      </c>
      <c r="AG156" s="136">
        <v>0</v>
      </c>
      <c r="AH156" s="136">
        <v>0</v>
      </c>
      <c r="AI156" s="136">
        <v>0</v>
      </c>
      <c r="AJ156" s="137">
        <f t="shared" si="155"/>
        <v>250000</v>
      </c>
      <c r="AK156" s="136">
        <f>+'[1]Costeo SAP 2024'!O34</f>
        <v>250000</v>
      </c>
      <c r="AL156" s="136">
        <f t="shared" si="156"/>
        <v>0</v>
      </c>
      <c r="AM156" s="135">
        <v>0</v>
      </c>
      <c r="AN156" s="136">
        <v>0</v>
      </c>
      <c r="AO156" s="136">
        <v>0</v>
      </c>
    </row>
    <row r="157" spans="1:41" s="138" customFormat="1" x14ac:dyDescent="0.25">
      <c r="A157" s="147" t="s">
        <v>277</v>
      </c>
      <c r="B157" s="134" t="s">
        <v>278</v>
      </c>
      <c r="C157" s="135">
        <f t="shared" si="151"/>
        <v>1000000</v>
      </c>
      <c r="D157" s="136">
        <f t="shared" si="152"/>
        <v>750000</v>
      </c>
      <c r="E157" s="135">
        <v>0</v>
      </c>
      <c r="F157" s="136">
        <v>0</v>
      </c>
      <c r="G157" s="136">
        <v>0</v>
      </c>
      <c r="H157" s="136">
        <v>0</v>
      </c>
      <c r="I157" s="136">
        <v>0</v>
      </c>
      <c r="J157" s="136">
        <v>0</v>
      </c>
      <c r="K157" s="136">
        <v>0</v>
      </c>
      <c r="L157" s="136">
        <v>0</v>
      </c>
      <c r="M157" s="136">
        <v>0</v>
      </c>
      <c r="N157" s="136">
        <v>0</v>
      </c>
      <c r="O157" s="136">
        <f>1000000-'[1]Costeo SAP 2024'!O35</f>
        <v>750000</v>
      </c>
      <c r="P157" s="136">
        <v>0</v>
      </c>
      <c r="Q157" s="136">
        <v>0</v>
      </c>
      <c r="R157" s="136">
        <v>0</v>
      </c>
      <c r="S157" s="136">
        <v>0</v>
      </c>
      <c r="T157" s="136">
        <v>0</v>
      </c>
      <c r="U157" s="136">
        <v>0</v>
      </c>
      <c r="V157" s="136">
        <v>0</v>
      </c>
      <c r="W157" s="136">
        <v>0</v>
      </c>
      <c r="X157" s="136">
        <v>0</v>
      </c>
      <c r="Y157" s="136">
        <f t="shared" si="153"/>
        <v>0</v>
      </c>
      <c r="Z157" s="136">
        <v>0</v>
      </c>
      <c r="AA157" s="136">
        <v>0</v>
      </c>
      <c r="AB157" s="136">
        <v>0</v>
      </c>
      <c r="AC157" s="136">
        <v>0</v>
      </c>
      <c r="AD157" s="136">
        <v>0</v>
      </c>
      <c r="AE157" s="136">
        <f t="shared" si="154"/>
        <v>0</v>
      </c>
      <c r="AF157" s="136">
        <v>0</v>
      </c>
      <c r="AG157" s="136">
        <v>0</v>
      </c>
      <c r="AH157" s="136">
        <v>0</v>
      </c>
      <c r="AI157" s="136">
        <v>0</v>
      </c>
      <c r="AJ157" s="137">
        <f t="shared" si="155"/>
        <v>250000</v>
      </c>
      <c r="AK157" s="136">
        <f>+'[1]Costeo SAP 2024'!O35</f>
        <v>250000</v>
      </c>
      <c r="AL157" s="136">
        <f t="shared" si="156"/>
        <v>0</v>
      </c>
      <c r="AM157" s="135">
        <v>0</v>
      </c>
      <c r="AN157" s="136">
        <v>0</v>
      </c>
      <c r="AO157" s="136">
        <v>0</v>
      </c>
    </row>
    <row r="158" spans="1:41" s="138" customFormat="1" ht="26.4" x14ac:dyDescent="0.25">
      <c r="A158" s="163" t="s">
        <v>279</v>
      </c>
      <c r="B158" s="134" t="s">
        <v>280</v>
      </c>
      <c r="C158" s="135">
        <f t="shared" si="151"/>
        <v>25900000</v>
      </c>
      <c r="D158" s="136">
        <f t="shared" si="152"/>
        <v>17250000</v>
      </c>
      <c r="E158" s="135">
        <v>0</v>
      </c>
      <c r="F158" s="136">
        <v>0</v>
      </c>
      <c r="G158" s="136">
        <v>0</v>
      </c>
      <c r="H158" s="136">
        <v>0</v>
      </c>
      <c r="I158" s="136">
        <f>15000000-'[1]Costeo SAP 2024'!O37</f>
        <v>11250000</v>
      </c>
      <c r="J158" s="136">
        <v>0</v>
      </c>
      <c r="K158" s="136">
        <v>0</v>
      </c>
      <c r="L158" s="136">
        <v>0</v>
      </c>
      <c r="M158" s="136">
        <f>142000-142000</f>
        <v>0</v>
      </c>
      <c r="N158" s="136">
        <f>60000-60000</f>
        <v>0</v>
      </c>
      <c r="O158" s="136">
        <f>8000000-'[1]Costeo SAP 2024'!O36</f>
        <v>6000000</v>
      </c>
      <c r="P158" s="136">
        <v>0</v>
      </c>
      <c r="Q158" s="136">
        <v>0</v>
      </c>
      <c r="R158" s="136">
        <f>200000-200000</f>
        <v>0</v>
      </c>
      <c r="S158" s="136">
        <v>0</v>
      </c>
      <c r="T158" s="136">
        <f>100000-100000</f>
        <v>0</v>
      </c>
      <c r="U158" s="136">
        <v>0</v>
      </c>
      <c r="V158" s="136">
        <f>50000-50000</f>
        <v>0</v>
      </c>
      <c r="W158" s="136">
        <v>0</v>
      </c>
      <c r="X158" s="136">
        <v>0</v>
      </c>
      <c r="Y158" s="136">
        <f t="shared" si="153"/>
        <v>800000</v>
      </c>
      <c r="Z158" s="136">
        <v>100000</v>
      </c>
      <c r="AA158" s="136">
        <v>300000</v>
      </c>
      <c r="AB158" s="136">
        <v>100000</v>
      </c>
      <c r="AC158" s="136">
        <v>250000</v>
      </c>
      <c r="AD158" s="136">
        <v>50000</v>
      </c>
      <c r="AE158" s="136">
        <f t="shared" si="154"/>
        <v>0</v>
      </c>
      <c r="AF158" s="136">
        <v>0</v>
      </c>
      <c r="AG158" s="136">
        <v>0</v>
      </c>
      <c r="AH158" s="136">
        <v>0</v>
      </c>
      <c r="AI158" s="136">
        <v>0</v>
      </c>
      <c r="AJ158" s="137">
        <f t="shared" si="155"/>
        <v>7850000</v>
      </c>
      <c r="AK158" s="136">
        <f>2100000+'[1]Costeo SAP 2024'!O36+'[1]Costeo SAP 2024'!O37</f>
        <v>7850000</v>
      </c>
      <c r="AL158" s="136">
        <f t="shared" si="156"/>
        <v>0</v>
      </c>
      <c r="AM158" s="135">
        <v>0</v>
      </c>
      <c r="AN158" s="136">
        <f>275000-275000</f>
        <v>0</v>
      </c>
      <c r="AO158" s="136">
        <v>0</v>
      </c>
    </row>
    <row r="159" spans="1:41" s="138" customFormat="1" x14ac:dyDescent="0.25">
      <c r="A159" s="147" t="s">
        <v>281</v>
      </c>
      <c r="B159" s="134" t="s">
        <v>282</v>
      </c>
      <c r="C159" s="135">
        <f t="shared" si="151"/>
        <v>500000</v>
      </c>
      <c r="D159" s="136">
        <f t="shared" si="152"/>
        <v>500000</v>
      </c>
      <c r="E159" s="135">
        <v>0</v>
      </c>
      <c r="F159" s="136">
        <v>0</v>
      </c>
      <c r="G159" s="136">
        <v>0</v>
      </c>
      <c r="H159" s="136">
        <v>0</v>
      </c>
      <c r="I159" s="136">
        <v>0</v>
      </c>
      <c r="J159" s="136">
        <v>0</v>
      </c>
      <c r="K159" s="136">
        <v>0</v>
      </c>
      <c r="L159" s="136">
        <v>0</v>
      </c>
      <c r="M159" s="136">
        <v>0</v>
      </c>
      <c r="N159" s="136">
        <v>0</v>
      </c>
      <c r="O159" s="136">
        <v>500000</v>
      </c>
      <c r="P159" s="136">
        <v>0</v>
      </c>
      <c r="Q159" s="136">
        <v>0</v>
      </c>
      <c r="R159" s="136">
        <v>0</v>
      </c>
      <c r="S159" s="136">
        <v>0</v>
      </c>
      <c r="T159" s="136">
        <v>0</v>
      </c>
      <c r="U159" s="136">
        <v>0</v>
      </c>
      <c r="V159" s="136">
        <v>0</v>
      </c>
      <c r="W159" s="136">
        <v>0</v>
      </c>
      <c r="X159" s="136">
        <v>0</v>
      </c>
      <c r="Y159" s="136">
        <f t="shared" si="153"/>
        <v>0</v>
      </c>
      <c r="Z159" s="136">
        <v>0</v>
      </c>
      <c r="AA159" s="136">
        <v>0</v>
      </c>
      <c r="AB159" s="136">
        <v>0</v>
      </c>
      <c r="AC159" s="136">
        <v>0</v>
      </c>
      <c r="AD159" s="136">
        <v>0</v>
      </c>
      <c r="AE159" s="136">
        <f t="shared" si="154"/>
        <v>0</v>
      </c>
      <c r="AF159" s="136">
        <v>0</v>
      </c>
      <c r="AG159" s="136">
        <v>0</v>
      </c>
      <c r="AH159" s="136">
        <v>0</v>
      </c>
      <c r="AI159" s="136">
        <v>0</v>
      </c>
      <c r="AJ159" s="137">
        <f t="shared" si="155"/>
        <v>0</v>
      </c>
      <c r="AK159" s="136">
        <v>0</v>
      </c>
      <c r="AL159" s="136">
        <f t="shared" si="156"/>
        <v>0</v>
      </c>
      <c r="AM159" s="135">
        <v>0</v>
      </c>
      <c r="AN159" s="136">
        <v>0</v>
      </c>
      <c r="AO159" s="136">
        <v>0</v>
      </c>
    </row>
    <row r="160" spans="1:41" s="138" customFormat="1" x14ac:dyDescent="0.25">
      <c r="A160" s="147" t="s">
        <v>283</v>
      </c>
      <c r="B160" s="134" t="s">
        <v>284</v>
      </c>
      <c r="C160" s="135">
        <f t="shared" si="151"/>
        <v>700000</v>
      </c>
      <c r="D160" s="136">
        <f t="shared" si="152"/>
        <v>700000</v>
      </c>
      <c r="E160" s="135">
        <v>0</v>
      </c>
      <c r="F160" s="136">
        <v>0</v>
      </c>
      <c r="G160" s="136">
        <v>0</v>
      </c>
      <c r="H160" s="136">
        <v>0</v>
      </c>
      <c r="I160" s="136">
        <v>0</v>
      </c>
      <c r="J160" s="136">
        <v>0</v>
      </c>
      <c r="K160" s="136">
        <v>0</v>
      </c>
      <c r="L160" s="136">
        <v>0</v>
      </c>
      <c r="M160" s="136">
        <v>0</v>
      </c>
      <c r="N160" s="136">
        <v>0</v>
      </c>
      <c r="O160" s="136">
        <v>700000</v>
      </c>
      <c r="P160" s="136">
        <v>0</v>
      </c>
      <c r="Q160" s="136">
        <v>0</v>
      </c>
      <c r="R160" s="136">
        <v>0</v>
      </c>
      <c r="S160" s="136">
        <v>0</v>
      </c>
      <c r="T160" s="136">
        <v>0</v>
      </c>
      <c r="U160" s="136">
        <v>0</v>
      </c>
      <c r="V160" s="136">
        <v>0</v>
      </c>
      <c r="W160" s="136">
        <v>0</v>
      </c>
      <c r="X160" s="136">
        <v>0</v>
      </c>
      <c r="Y160" s="136">
        <f t="shared" si="153"/>
        <v>0</v>
      </c>
      <c r="Z160" s="136">
        <v>0</v>
      </c>
      <c r="AA160" s="136">
        <v>0</v>
      </c>
      <c r="AB160" s="136">
        <v>0</v>
      </c>
      <c r="AC160" s="136">
        <v>0</v>
      </c>
      <c r="AD160" s="136">
        <v>0</v>
      </c>
      <c r="AE160" s="136">
        <f t="shared" si="154"/>
        <v>0</v>
      </c>
      <c r="AF160" s="136">
        <v>0</v>
      </c>
      <c r="AG160" s="136">
        <v>0</v>
      </c>
      <c r="AH160" s="136">
        <v>0</v>
      </c>
      <c r="AI160" s="136">
        <v>0</v>
      </c>
      <c r="AJ160" s="137">
        <f t="shared" si="155"/>
        <v>0</v>
      </c>
      <c r="AK160" s="136">
        <v>0</v>
      </c>
      <c r="AL160" s="136">
        <f t="shared" si="156"/>
        <v>0</v>
      </c>
      <c r="AM160" s="135">
        <v>0</v>
      </c>
      <c r="AN160" s="136">
        <v>0</v>
      </c>
      <c r="AO160" s="136">
        <v>0</v>
      </c>
    </row>
    <row r="161" spans="1:41" s="138" customFormat="1" ht="26.4" x14ac:dyDescent="0.25">
      <c r="A161" s="147" t="s">
        <v>285</v>
      </c>
      <c r="B161" s="134" t="s">
        <v>286</v>
      </c>
      <c r="C161" s="135">
        <f t="shared" si="151"/>
        <v>500000</v>
      </c>
      <c r="D161" s="136">
        <f t="shared" si="152"/>
        <v>500000</v>
      </c>
      <c r="E161" s="135">
        <v>0</v>
      </c>
      <c r="F161" s="136">
        <v>0</v>
      </c>
      <c r="G161" s="136">
        <v>0</v>
      </c>
      <c r="H161" s="136">
        <v>0</v>
      </c>
      <c r="I161" s="136">
        <v>0</v>
      </c>
      <c r="J161" s="136">
        <v>0</v>
      </c>
      <c r="K161" s="136">
        <v>0</v>
      </c>
      <c r="L161" s="136">
        <v>0</v>
      </c>
      <c r="M161" s="136">
        <v>0</v>
      </c>
      <c r="N161" s="136">
        <v>0</v>
      </c>
      <c r="O161" s="136">
        <v>500000</v>
      </c>
      <c r="P161" s="136">
        <v>0</v>
      </c>
      <c r="Q161" s="136">
        <v>0</v>
      </c>
      <c r="R161" s="136">
        <v>0</v>
      </c>
      <c r="S161" s="136">
        <v>0</v>
      </c>
      <c r="T161" s="136">
        <v>0</v>
      </c>
      <c r="U161" s="136">
        <v>0</v>
      </c>
      <c r="V161" s="136">
        <v>0</v>
      </c>
      <c r="W161" s="136">
        <v>0</v>
      </c>
      <c r="X161" s="136">
        <v>0</v>
      </c>
      <c r="Y161" s="136">
        <f t="shared" si="153"/>
        <v>0</v>
      </c>
      <c r="Z161" s="136">
        <v>0</v>
      </c>
      <c r="AA161" s="136">
        <v>0</v>
      </c>
      <c r="AB161" s="136">
        <v>0</v>
      </c>
      <c r="AC161" s="136">
        <v>0</v>
      </c>
      <c r="AD161" s="136">
        <v>0</v>
      </c>
      <c r="AE161" s="136">
        <f t="shared" si="154"/>
        <v>0</v>
      </c>
      <c r="AF161" s="136">
        <v>0</v>
      </c>
      <c r="AG161" s="136">
        <v>0</v>
      </c>
      <c r="AH161" s="136">
        <v>0</v>
      </c>
      <c r="AI161" s="136">
        <v>0</v>
      </c>
      <c r="AJ161" s="137">
        <f t="shared" si="155"/>
        <v>0</v>
      </c>
      <c r="AK161" s="136">
        <v>0</v>
      </c>
      <c r="AL161" s="136">
        <f t="shared" si="156"/>
        <v>0</v>
      </c>
      <c r="AM161" s="135">
        <v>0</v>
      </c>
      <c r="AN161" s="136">
        <v>0</v>
      </c>
      <c r="AO161" s="136">
        <v>0</v>
      </c>
    </row>
    <row r="162" spans="1:41" s="138" customFormat="1" x14ac:dyDescent="0.25">
      <c r="A162" s="143"/>
      <c r="B162" s="144"/>
      <c r="C162" s="135"/>
      <c r="D162" s="136"/>
      <c r="E162" s="135"/>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7"/>
      <c r="AK162" s="136"/>
      <c r="AL162" s="136"/>
      <c r="AM162" s="135"/>
      <c r="AN162" s="136"/>
      <c r="AO162" s="136"/>
    </row>
    <row r="163" spans="1:41" s="138" customFormat="1" x14ac:dyDescent="0.25">
      <c r="A163" s="157" t="s">
        <v>287</v>
      </c>
      <c r="B163" s="139" t="s">
        <v>288</v>
      </c>
      <c r="C163" s="140">
        <f>SUM(C164:C165)</f>
        <v>4650000</v>
      </c>
      <c r="D163" s="141">
        <f t="shared" ref="D163:AO163" si="157">SUM(D164:D165)</f>
        <v>4500000</v>
      </c>
      <c r="E163" s="140">
        <f t="shared" si="157"/>
        <v>0</v>
      </c>
      <c r="F163" s="141">
        <f t="shared" si="157"/>
        <v>0</v>
      </c>
      <c r="G163" s="141">
        <f t="shared" si="157"/>
        <v>0</v>
      </c>
      <c r="H163" s="141">
        <f t="shared" si="157"/>
        <v>0</v>
      </c>
      <c r="I163" s="141">
        <f t="shared" si="157"/>
        <v>0</v>
      </c>
      <c r="J163" s="141">
        <f t="shared" si="157"/>
        <v>0</v>
      </c>
      <c r="K163" s="141">
        <f t="shared" si="157"/>
        <v>0</v>
      </c>
      <c r="L163" s="141">
        <f t="shared" si="157"/>
        <v>0</v>
      </c>
      <c r="M163" s="141">
        <f t="shared" si="157"/>
        <v>0</v>
      </c>
      <c r="N163" s="141">
        <f t="shared" si="157"/>
        <v>0</v>
      </c>
      <c r="O163" s="141">
        <f t="shared" si="157"/>
        <v>4000000</v>
      </c>
      <c r="P163" s="141">
        <f t="shared" si="157"/>
        <v>0</v>
      </c>
      <c r="Q163" s="141">
        <f t="shared" si="157"/>
        <v>0</v>
      </c>
      <c r="R163" s="141">
        <f t="shared" si="157"/>
        <v>0</v>
      </c>
      <c r="S163" s="141">
        <f t="shared" si="157"/>
        <v>0</v>
      </c>
      <c r="T163" s="141">
        <f t="shared" si="157"/>
        <v>0</v>
      </c>
      <c r="U163" s="141">
        <f t="shared" si="157"/>
        <v>0</v>
      </c>
      <c r="V163" s="141">
        <f t="shared" si="157"/>
        <v>0</v>
      </c>
      <c r="W163" s="141">
        <f t="shared" si="157"/>
        <v>500000</v>
      </c>
      <c r="X163" s="141">
        <f t="shared" si="157"/>
        <v>0</v>
      </c>
      <c r="Y163" s="141">
        <f t="shared" si="157"/>
        <v>0</v>
      </c>
      <c r="Z163" s="141">
        <f t="shared" si="157"/>
        <v>0</v>
      </c>
      <c r="AA163" s="141">
        <f t="shared" si="157"/>
        <v>0</v>
      </c>
      <c r="AB163" s="141">
        <f t="shared" si="157"/>
        <v>0</v>
      </c>
      <c r="AC163" s="141">
        <f t="shared" si="157"/>
        <v>0</v>
      </c>
      <c r="AD163" s="141">
        <f t="shared" si="157"/>
        <v>0</v>
      </c>
      <c r="AE163" s="141">
        <f t="shared" si="157"/>
        <v>0</v>
      </c>
      <c r="AF163" s="141">
        <f t="shared" si="157"/>
        <v>0</v>
      </c>
      <c r="AG163" s="141">
        <f t="shared" si="157"/>
        <v>0</v>
      </c>
      <c r="AH163" s="141">
        <f t="shared" si="157"/>
        <v>0</v>
      </c>
      <c r="AI163" s="141">
        <f t="shared" si="157"/>
        <v>0</v>
      </c>
      <c r="AJ163" s="142">
        <f t="shared" si="157"/>
        <v>150000</v>
      </c>
      <c r="AK163" s="141">
        <f t="shared" si="157"/>
        <v>0</v>
      </c>
      <c r="AL163" s="141">
        <f t="shared" si="157"/>
        <v>150000</v>
      </c>
      <c r="AM163" s="140">
        <f t="shared" si="157"/>
        <v>150000</v>
      </c>
      <c r="AN163" s="141">
        <f t="shared" si="157"/>
        <v>0</v>
      </c>
      <c r="AO163" s="141">
        <f t="shared" si="157"/>
        <v>0</v>
      </c>
    </row>
    <row r="164" spans="1:41" s="138" customFormat="1" x14ac:dyDescent="0.25">
      <c r="A164" s="147" t="s">
        <v>289</v>
      </c>
      <c r="B164" s="134" t="s">
        <v>290</v>
      </c>
      <c r="C164" s="135">
        <f t="shared" ref="C164:C165" si="158">D164+Y164+AE164+AJ164</f>
        <v>1150000</v>
      </c>
      <c r="D164" s="136">
        <f t="shared" ref="D164:D165" si="159">SUM(E164:X164)</f>
        <v>1000000</v>
      </c>
      <c r="E164" s="135">
        <v>0</v>
      </c>
      <c r="F164" s="136">
        <v>0</v>
      </c>
      <c r="G164" s="136">
        <v>0</v>
      </c>
      <c r="H164" s="136">
        <v>0</v>
      </c>
      <c r="I164" s="136">
        <v>0</v>
      </c>
      <c r="J164" s="136">
        <v>0</v>
      </c>
      <c r="K164" s="136">
        <v>0</v>
      </c>
      <c r="L164" s="136">
        <v>0</v>
      </c>
      <c r="M164" s="136">
        <v>0</v>
      </c>
      <c r="N164" s="136">
        <v>0</v>
      </c>
      <c r="O164" s="136">
        <v>1000000</v>
      </c>
      <c r="P164" s="136">
        <v>0</v>
      </c>
      <c r="Q164" s="136">
        <v>0</v>
      </c>
      <c r="R164" s="136">
        <v>0</v>
      </c>
      <c r="S164" s="136">
        <v>0</v>
      </c>
      <c r="T164" s="136">
        <v>0</v>
      </c>
      <c r="U164" s="136">
        <v>0</v>
      </c>
      <c r="V164" s="136">
        <v>0</v>
      </c>
      <c r="W164" s="136">
        <v>0</v>
      </c>
      <c r="X164" s="136">
        <v>0</v>
      </c>
      <c r="Y164" s="136">
        <f t="shared" ref="Y164:Y165" si="160">SUM(Z164:AD164)</f>
        <v>0</v>
      </c>
      <c r="Z164" s="136">
        <v>0</v>
      </c>
      <c r="AA164" s="136">
        <v>0</v>
      </c>
      <c r="AB164" s="136">
        <v>0</v>
      </c>
      <c r="AC164" s="136">
        <v>0</v>
      </c>
      <c r="AD164" s="136">
        <v>0</v>
      </c>
      <c r="AE164" s="136">
        <f t="shared" ref="AE164:AE165" si="161">SUM(AF164:AI164)</f>
        <v>0</v>
      </c>
      <c r="AF164" s="136">
        <v>0</v>
      </c>
      <c r="AG164" s="136">
        <v>0</v>
      </c>
      <c r="AH164" s="136">
        <v>0</v>
      </c>
      <c r="AI164" s="136">
        <v>0</v>
      </c>
      <c r="AJ164" s="137">
        <f t="shared" ref="AJ164:AJ165" si="162">SUM(AK164+AL164)</f>
        <v>150000</v>
      </c>
      <c r="AK164" s="136">
        <v>0</v>
      </c>
      <c r="AL164" s="136">
        <f t="shared" ref="AL164:AL165" si="163">SUM(AM164:AO164)</f>
        <v>150000</v>
      </c>
      <c r="AM164" s="135">
        <v>150000</v>
      </c>
      <c r="AN164" s="136">
        <v>0</v>
      </c>
      <c r="AO164" s="136">
        <v>0</v>
      </c>
    </row>
    <row r="165" spans="1:41" s="138" customFormat="1" x14ac:dyDescent="0.25">
      <c r="A165" s="147" t="s">
        <v>291</v>
      </c>
      <c r="B165" s="134" t="s">
        <v>292</v>
      </c>
      <c r="C165" s="135">
        <f t="shared" si="158"/>
        <v>3500000</v>
      </c>
      <c r="D165" s="136">
        <f t="shared" si="159"/>
        <v>3500000</v>
      </c>
      <c r="E165" s="135">
        <v>0</v>
      </c>
      <c r="F165" s="136">
        <v>0</v>
      </c>
      <c r="G165" s="136">
        <v>0</v>
      </c>
      <c r="H165" s="136">
        <v>0</v>
      </c>
      <c r="I165" s="136">
        <v>0</v>
      </c>
      <c r="J165" s="136">
        <v>0</v>
      </c>
      <c r="K165" s="136">
        <v>0</v>
      </c>
      <c r="L165" s="136">
        <v>0</v>
      </c>
      <c r="M165" s="136">
        <v>0</v>
      </c>
      <c r="N165" s="136">
        <v>0</v>
      </c>
      <c r="O165" s="136">
        <v>3000000</v>
      </c>
      <c r="P165" s="136">
        <v>0</v>
      </c>
      <c r="Q165" s="136">
        <v>0</v>
      </c>
      <c r="R165" s="136">
        <v>0</v>
      </c>
      <c r="S165" s="136">
        <v>0</v>
      </c>
      <c r="T165" s="136">
        <v>0</v>
      </c>
      <c r="U165" s="136">
        <v>0</v>
      </c>
      <c r="V165" s="136">
        <v>0</v>
      </c>
      <c r="W165" s="136">
        <v>500000</v>
      </c>
      <c r="X165" s="136">
        <v>0</v>
      </c>
      <c r="Y165" s="136">
        <f t="shared" si="160"/>
        <v>0</v>
      </c>
      <c r="Z165" s="136">
        <v>0</v>
      </c>
      <c r="AA165" s="136">
        <v>0</v>
      </c>
      <c r="AB165" s="136">
        <v>0</v>
      </c>
      <c r="AC165" s="136">
        <v>0</v>
      </c>
      <c r="AD165" s="136">
        <v>0</v>
      </c>
      <c r="AE165" s="136">
        <f t="shared" si="161"/>
        <v>0</v>
      </c>
      <c r="AF165" s="136">
        <v>0</v>
      </c>
      <c r="AG165" s="136">
        <v>0</v>
      </c>
      <c r="AH165" s="136">
        <v>0</v>
      </c>
      <c r="AI165" s="136">
        <v>0</v>
      </c>
      <c r="AJ165" s="137">
        <f t="shared" si="162"/>
        <v>0</v>
      </c>
      <c r="AK165" s="136">
        <v>0</v>
      </c>
      <c r="AL165" s="136">
        <f t="shared" si="163"/>
        <v>0</v>
      </c>
      <c r="AM165" s="135">
        <v>0</v>
      </c>
      <c r="AN165" s="136">
        <v>0</v>
      </c>
      <c r="AO165" s="136">
        <v>0</v>
      </c>
    </row>
    <row r="166" spans="1:41" s="138" customFormat="1" x14ac:dyDescent="0.25">
      <c r="A166" s="143"/>
      <c r="B166" s="144"/>
      <c r="C166" s="135"/>
      <c r="D166" s="136"/>
      <c r="E166" s="135"/>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7"/>
      <c r="AK166" s="136"/>
      <c r="AL166" s="136"/>
      <c r="AM166" s="135"/>
      <c r="AN166" s="136"/>
      <c r="AO166" s="136"/>
    </row>
    <row r="167" spans="1:41" s="138" customFormat="1" ht="26.4" x14ac:dyDescent="0.25">
      <c r="A167" s="157" t="s">
        <v>293</v>
      </c>
      <c r="B167" s="139" t="s">
        <v>294</v>
      </c>
      <c r="C167" s="140">
        <f>SUM(C168:C175)</f>
        <v>34657171</v>
      </c>
      <c r="D167" s="141">
        <f t="shared" ref="D167:AO167" si="164">SUM(D168:D175)</f>
        <v>26152333</v>
      </c>
      <c r="E167" s="140">
        <f t="shared" si="164"/>
        <v>3000</v>
      </c>
      <c r="F167" s="141">
        <f t="shared" si="164"/>
        <v>0</v>
      </c>
      <c r="G167" s="141">
        <f t="shared" si="164"/>
        <v>0</v>
      </c>
      <c r="H167" s="141">
        <f t="shared" si="164"/>
        <v>0</v>
      </c>
      <c r="I167" s="141">
        <f t="shared" si="164"/>
        <v>34803</v>
      </c>
      <c r="J167" s="141">
        <f t="shared" si="164"/>
        <v>0</v>
      </c>
      <c r="K167" s="141">
        <f t="shared" si="164"/>
        <v>0</v>
      </c>
      <c r="L167" s="141">
        <f t="shared" si="164"/>
        <v>3000000</v>
      </c>
      <c r="M167" s="141">
        <f t="shared" si="164"/>
        <v>0</v>
      </c>
      <c r="N167" s="141">
        <f t="shared" si="164"/>
        <v>0</v>
      </c>
      <c r="O167" s="141">
        <f t="shared" si="164"/>
        <v>5330000</v>
      </c>
      <c r="P167" s="141">
        <f t="shared" si="164"/>
        <v>40000</v>
      </c>
      <c r="Q167" s="141">
        <f t="shared" si="164"/>
        <v>0</v>
      </c>
      <c r="R167" s="141">
        <f t="shared" si="164"/>
        <v>50000</v>
      </c>
      <c r="S167" s="141">
        <f t="shared" si="164"/>
        <v>0</v>
      </c>
      <c r="T167" s="141">
        <f t="shared" si="164"/>
        <v>130000</v>
      </c>
      <c r="U167" s="141">
        <f t="shared" si="164"/>
        <v>0</v>
      </c>
      <c r="V167" s="141">
        <f t="shared" si="164"/>
        <v>11634530</v>
      </c>
      <c r="W167" s="141">
        <f t="shared" si="164"/>
        <v>4930000</v>
      </c>
      <c r="X167" s="141">
        <f t="shared" si="164"/>
        <v>1000000</v>
      </c>
      <c r="Y167" s="141">
        <f t="shared" si="164"/>
        <v>2767400</v>
      </c>
      <c r="Z167" s="141">
        <f t="shared" si="164"/>
        <v>90000</v>
      </c>
      <c r="AA167" s="141">
        <f t="shared" si="164"/>
        <v>516500</v>
      </c>
      <c r="AB167" s="141">
        <f t="shared" si="164"/>
        <v>1365900</v>
      </c>
      <c r="AC167" s="141">
        <f t="shared" si="164"/>
        <v>750000</v>
      </c>
      <c r="AD167" s="141">
        <f t="shared" si="164"/>
        <v>45000</v>
      </c>
      <c r="AE167" s="141">
        <f t="shared" si="164"/>
        <v>0</v>
      </c>
      <c r="AF167" s="141">
        <f t="shared" si="164"/>
        <v>0</v>
      </c>
      <c r="AG167" s="141">
        <f t="shared" si="164"/>
        <v>0</v>
      </c>
      <c r="AH167" s="141">
        <f t="shared" si="164"/>
        <v>0</v>
      </c>
      <c r="AI167" s="141">
        <f t="shared" si="164"/>
        <v>0</v>
      </c>
      <c r="AJ167" s="142">
        <f t="shared" si="164"/>
        <v>5737438</v>
      </c>
      <c r="AK167" s="141">
        <f t="shared" si="164"/>
        <v>4100000</v>
      </c>
      <c r="AL167" s="141">
        <f t="shared" si="164"/>
        <v>1637438</v>
      </c>
      <c r="AM167" s="140">
        <f t="shared" si="164"/>
        <v>0</v>
      </c>
      <c r="AN167" s="141">
        <f t="shared" si="164"/>
        <v>1550000</v>
      </c>
      <c r="AO167" s="141">
        <f t="shared" si="164"/>
        <v>87438</v>
      </c>
    </row>
    <row r="168" spans="1:41" s="138" customFormat="1" x14ac:dyDescent="0.25">
      <c r="A168" s="147" t="s">
        <v>295</v>
      </c>
      <c r="B168" s="134" t="s">
        <v>296</v>
      </c>
      <c r="C168" s="135">
        <f t="shared" ref="C168:C175" si="165">D168+Y168+AE168+AJ168</f>
        <v>5221621</v>
      </c>
      <c r="D168" s="136">
        <f t="shared" ref="D168:D175" si="166">SUM(E168:X168)</f>
        <v>3305721</v>
      </c>
      <c r="E168" s="135">
        <v>0</v>
      </c>
      <c r="F168" s="136">
        <v>0</v>
      </c>
      <c r="G168" s="136">
        <v>0</v>
      </c>
      <c r="H168" s="136">
        <v>0</v>
      </c>
      <c r="I168" s="136">
        <v>30593</v>
      </c>
      <c r="J168" s="136">
        <v>0</v>
      </c>
      <c r="K168" s="136">
        <v>0</v>
      </c>
      <c r="L168" s="136">
        <v>0</v>
      </c>
      <c r="M168" s="136">
        <f>10000-10000</f>
        <v>0</v>
      </c>
      <c r="N168" s="136">
        <v>0</v>
      </c>
      <c r="O168" s="136">
        <v>0</v>
      </c>
      <c r="P168" s="136">
        <f>485004.7-485004.7</f>
        <v>0</v>
      </c>
      <c r="Q168" s="136">
        <v>0</v>
      </c>
      <c r="R168" s="136">
        <v>0</v>
      </c>
      <c r="S168" s="136">
        <v>0</v>
      </c>
      <c r="T168" s="136">
        <f>70000-70000</f>
        <v>0</v>
      </c>
      <c r="U168" s="136">
        <v>0</v>
      </c>
      <c r="V168" s="136">
        <v>3125128</v>
      </c>
      <c r="W168" s="136">
        <f>240000-240000</f>
        <v>0</v>
      </c>
      <c r="X168" s="136">
        <v>150000</v>
      </c>
      <c r="Y168" s="136">
        <f t="shared" ref="Y168:Y175" si="167">SUM(Z168:AD168)</f>
        <v>915900</v>
      </c>
      <c r="Z168" s="136">
        <v>35000</v>
      </c>
      <c r="AA168" s="136">
        <v>0</v>
      </c>
      <c r="AB168" s="136">
        <v>865900</v>
      </c>
      <c r="AC168" s="136">
        <v>0</v>
      </c>
      <c r="AD168" s="136">
        <v>15000</v>
      </c>
      <c r="AE168" s="136">
        <f t="shared" ref="AE168:AE175" si="168">SUM(AF168:AI168)</f>
        <v>0</v>
      </c>
      <c r="AF168" s="136">
        <v>0</v>
      </c>
      <c r="AG168" s="136">
        <v>0</v>
      </c>
      <c r="AH168" s="136">
        <v>0</v>
      </c>
      <c r="AI168" s="136">
        <v>0</v>
      </c>
      <c r="AJ168" s="137">
        <f t="shared" ref="AJ168:AJ175" si="169">SUM(AK168+AL168)</f>
        <v>1000000</v>
      </c>
      <c r="AK168" s="136">
        <v>1000000</v>
      </c>
      <c r="AL168" s="136">
        <f t="shared" ref="AL168:AL175" si="170">SUM(AM168:AO168)</f>
        <v>0</v>
      </c>
      <c r="AM168" s="135">
        <f>150000-150000</f>
        <v>0</v>
      </c>
      <c r="AN168" s="136">
        <f>525000-525000</f>
        <v>0</v>
      </c>
      <c r="AO168" s="136">
        <f>269662.9-269662.9</f>
        <v>0</v>
      </c>
    </row>
    <row r="169" spans="1:41" s="138" customFormat="1" ht="26.4" x14ac:dyDescent="0.25">
      <c r="A169" s="147" t="s">
        <v>297</v>
      </c>
      <c r="B169" s="134" t="s">
        <v>298</v>
      </c>
      <c r="C169" s="135">
        <f t="shared" si="165"/>
        <v>200000</v>
      </c>
      <c r="D169" s="136">
        <f t="shared" si="166"/>
        <v>200000</v>
      </c>
      <c r="E169" s="135">
        <v>0</v>
      </c>
      <c r="F169" s="136">
        <v>0</v>
      </c>
      <c r="G169" s="136">
        <v>0</v>
      </c>
      <c r="H169" s="136">
        <v>0</v>
      </c>
      <c r="I169" s="136">
        <v>0</v>
      </c>
      <c r="J169" s="136">
        <v>0</v>
      </c>
      <c r="K169" s="136">
        <v>0</v>
      </c>
      <c r="L169" s="136">
        <v>0</v>
      </c>
      <c r="M169" s="136">
        <v>0</v>
      </c>
      <c r="N169" s="136">
        <v>0</v>
      </c>
      <c r="O169" s="136">
        <v>0</v>
      </c>
      <c r="P169" s="136">
        <v>0</v>
      </c>
      <c r="Q169" s="136">
        <v>0</v>
      </c>
      <c r="R169" s="136">
        <v>0</v>
      </c>
      <c r="S169" s="136">
        <v>0</v>
      </c>
      <c r="T169" s="136">
        <v>0</v>
      </c>
      <c r="U169" s="136">
        <v>0</v>
      </c>
      <c r="V169" s="136">
        <v>0</v>
      </c>
      <c r="W169" s="136">
        <v>200000</v>
      </c>
      <c r="X169" s="136">
        <v>0</v>
      </c>
      <c r="Y169" s="136">
        <f t="shared" si="167"/>
        <v>0</v>
      </c>
      <c r="Z169" s="136">
        <v>0</v>
      </c>
      <c r="AA169" s="136">
        <v>0</v>
      </c>
      <c r="AB169" s="136">
        <v>0</v>
      </c>
      <c r="AC169" s="136">
        <v>0</v>
      </c>
      <c r="AD169" s="136">
        <v>0</v>
      </c>
      <c r="AE169" s="136">
        <f t="shared" si="168"/>
        <v>0</v>
      </c>
      <c r="AF169" s="136">
        <v>0</v>
      </c>
      <c r="AG169" s="136">
        <v>0</v>
      </c>
      <c r="AH169" s="136">
        <v>0</v>
      </c>
      <c r="AI169" s="136">
        <v>0</v>
      </c>
      <c r="AJ169" s="137">
        <f t="shared" si="169"/>
        <v>0</v>
      </c>
      <c r="AK169" s="136">
        <v>0</v>
      </c>
      <c r="AL169" s="136">
        <f t="shared" si="170"/>
        <v>0</v>
      </c>
      <c r="AM169" s="135">
        <v>0</v>
      </c>
      <c r="AN169" s="136">
        <v>0</v>
      </c>
      <c r="AO169" s="136">
        <v>0</v>
      </c>
    </row>
    <row r="170" spans="1:41" s="138" customFormat="1" x14ac:dyDescent="0.25">
      <c r="A170" s="147" t="s">
        <v>299</v>
      </c>
      <c r="B170" s="134" t="s">
        <v>300</v>
      </c>
      <c r="C170" s="135">
        <f t="shared" si="165"/>
        <v>14616050</v>
      </c>
      <c r="D170" s="136">
        <f t="shared" si="166"/>
        <v>9278612</v>
      </c>
      <c r="E170" s="135">
        <v>0</v>
      </c>
      <c r="F170" s="136">
        <v>0</v>
      </c>
      <c r="G170" s="136">
        <v>0</v>
      </c>
      <c r="H170" s="136">
        <v>0</v>
      </c>
      <c r="I170" s="136">
        <v>4210</v>
      </c>
      <c r="J170" s="136">
        <v>0</v>
      </c>
      <c r="K170" s="136">
        <v>0</v>
      </c>
      <c r="L170" s="136">
        <v>0</v>
      </c>
      <c r="M170" s="136">
        <v>0</v>
      </c>
      <c r="N170" s="136">
        <v>0</v>
      </c>
      <c r="O170" s="136">
        <v>0</v>
      </c>
      <c r="P170" s="136">
        <f>116922.6-116922.6</f>
        <v>0</v>
      </c>
      <c r="Q170" s="136">
        <v>0</v>
      </c>
      <c r="R170" s="136">
        <v>0</v>
      </c>
      <c r="S170" s="136">
        <v>0</v>
      </c>
      <c r="T170" s="136">
        <v>80000</v>
      </c>
      <c r="U170" s="136">
        <v>0</v>
      </c>
      <c r="V170" s="136">
        <v>8494402</v>
      </c>
      <c r="W170" s="136">
        <v>0</v>
      </c>
      <c r="X170" s="136">
        <v>700000</v>
      </c>
      <c r="Y170" s="136">
        <f t="shared" si="167"/>
        <v>700000</v>
      </c>
      <c r="Z170" s="136">
        <v>55000</v>
      </c>
      <c r="AA170" s="136">
        <v>55000</v>
      </c>
      <c r="AB170" s="136">
        <v>500000</v>
      </c>
      <c r="AC170" s="136">
        <v>75000</v>
      </c>
      <c r="AD170" s="136">
        <v>15000</v>
      </c>
      <c r="AE170" s="136">
        <f t="shared" si="168"/>
        <v>0</v>
      </c>
      <c r="AF170" s="136">
        <v>0</v>
      </c>
      <c r="AG170" s="136">
        <v>0</v>
      </c>
      <c r="AH170" s="136">
        <v>0</v>
      </c>
      <c r="AI170" s="136">
        <v>0</v>
      </c>
      <c r="AJ170" s="137">
        <f t="shared" si="169"/>
        <v>4637438</v>
      </c>
      <c r="AK170" s="136">
        <v>3000000</v>
      </c>
      <c r="AL170" s="136">
        <f t="shared" si="170"/>
        <v>1637438</v>
      </c>
      <c r="AM170" s="135">
        <f>200000-200000</f>
        <v>0</v>
      </c>
      <c r="AN170" s="136">
        <v>1550000</v>
      </c>
      <c r="AO170" s="136">
        <v>87438</v>
      </c>
    </row>
    <row r="171" spans="1:41" s="138" customFormat="1" x14ac:dyDescent="0.25">
      <c r="A171" s="147" t="s">
        <v>301</v>
      </c>
      <c r="B171" s="134" t="s">
        <v>302</v>
      </c>
      <c r="C171" s="135">
        <f t="shared" si="165"/>
        <v>4385000</v>
      </c>
      <c r="D171" s="136">
        <f t="shared" si="166"/>
        <v>3350000</v>
      </c>
      <c r="E171" s="135">
        <v>0</v>
      </c>
      <c r="F171" s="136">
        <v>0</v>
      </c>
      <c r="G171" s="136">
        <v>0</v>
      </c>
      <c r="H171" s="136">
        <v>0</v>
      </c>
      <c r="I171" s="136">
        <v>0</v>
      </c>
      <c r="J171" s="136">
        <v>0</v>
      </c>
      <c r="K171" s="136">
        <v>0</v>
      </c>
      <c r="L171" s="136">
        <v>3000000</v>
      </c>
      <c r="M171" s="136">
        <v>0</v>
      </c>
      <c r="N171" s="136">
        <v>0</v>
      </c>
      <c r="O171" s="136">
        <v>250000</v>
      </c>
      <c r="P171" s="136">
        <v>0</v>
      </c>
      <c r="Q171" s="136">
        <v>0</v>
      </c>
      <c r="R171" s="136">
        <v>0</v>
      </c>
      <c r="S171" s="136">
        <v>0</v>
      </c>
      <c r="T171" s="136">
        <v>0</v>
      </c>
      <c r="U171" s="136">
        <v>0</v>
      </c>
      <c r="V171" s="136">
        <v>0</v>
      </c>
      <c r="W171" s="136">
        <v>0</v>
      </c>
      <c r="X171" s="136">
        <v>100000</v>
      </c>
      <c r="Y171" s="136">
        <f t="shared" si="167"/>
        <v>1035000</v>
      </c>
      <c r="Z171" s="136">
        <v>0</v>
      </c>
      <c r="AA171" s="136">
        <v>435000</v>
      </c>
      <c r="AB171" s="136">
        <v>0</v>
      </c>
      <c r="AC171" s="136">
        <v>600000</v>
      </c>
      <c r="AD171" s="136">
        <v>0</v>
      </c>
      <c r="AE171" s="136">
        <f t="shared" si="168"/>
        <v>0</v>
      </c>
      <c r="AF171" s="136">
        <v>0</v>
      </c>
      <c r="AG171" s="136">
        <v>0</v>
      </c>
      <c r="AH171" s="136">
        <v>0</v>
      </c>
      <c r="AI171" s="136">
        <v>0</v>
      </c>
      <c r="AJ171" s="137">
        <f t="shared" si="169"/>
        <v>0</v>
      </c>
      <c r="AK171" s="136">
        <v>0</v>
      </c>
      <c r="AL171" s="136">
        <f t="shared" si="170"/>
        <v>0</v>
      </c>
      <c r="AM171" s="135">
        <v>0</v>
      </c>
      <c r="AN171" s="136">
        <v>0</v>
      </c>
      <c r="AO171" s="136">
        <v>0</v>
      </c>
    </row>
    <row r="172" spans="1:41" s="138" customFormat="1" x14ac:dyDescent="0.25">
      <c r="A172" s="147" t="s">
        <v>303</v>
      </c>
      <c r="B172" s="134" t="s">
        <v>304</v>
      </c>
      <c r="C172" s="135">
        <f t="shared" si="165"/>
        <v>3830000</v>
      </c>
      <c r="D172" s="136">
        <f t="shared" si="166"/>
        <v>3830000</v>
      </c>
      <c r="E172" s="135">
        <v>0</v>
      </c>
      <c r="F172" s="136">
        <v>0</v>
      </c>
      <c r="G172" s="136">
        <v>0</v>
      </c>
      <c r="H172" s="136">
        <v>0</v>
      </c>
      <c r="I172" s="136">
        <v>0</v>
      </c>
      <c r="J172" s="136">
        <v>0</v>
      </c>
      <c r="K172" s="136">
        <v>0</v>
      </c>
      <c r="L172" s="136">
        <v>0</v>
      </c>
      <c r="M172" s="136">
        <v>0</v>
      </c>
      <c r="N172" s="136">
        <v>0</v>
      </c>
      <c r="O172" s="136">
        <v>3830000</v>
      </c>
      <c r="P172" s="136">
        <v>0</v>
      </c>
      <c r="Q172" s="136">
        <v>0</v>
      </c>
      <c r="R172" s="136">
        <v>0</v>
      </c>
      <c r="S172" s="136">
        <v>0</v>
      </c>
      <c r="T172" s="136">
        <v>0</v>
      </c>
      <c r="U172" s="136">
        <v>0</v>
      </c>
      <c r="V172" s="136">
        <v>0</v>
      </c>
      <c r="W172" s="136">
        <v>0</v>
      </c>
      <c r="X172" s="136">
        <v>0</v>
      </c>
      <c r="Y172" s="136">
        <f t="shared" si="167"/>
        <v>0</v>
      </c>
      <c r="Z172" s="136">
        <v>0</v>
      </c>
      <c r="AA172" s="136">
        <v>0</v>
      </c>
      <c r="AB172" s="136">
        <v>0</v>
      </c>
      <c r="AC172" s="136">
        <v>0</v>
      </c>
      <c r="AD172" s="136">
        <v>0</v>
      </c>
      <c r="AE172" s="136">
        <f t="shared" si="168"/>
        <v>0</v>
      </c>
      <c r="AF172" s="136">
        <v>0</v>
      </c>
      <c r="AG172" s="136">
        <v>0</v>
      </c>
      <c r="AH172" s="136">
        <v>0</v>
      </c>
      <c r="AI172" s="136">
        <v>0</v>
      </c>
      <c r="AJ172" s="137">
        <f t="shared" si="169"/>
        <v>0</v>
      </c>
      <c r="AK172" s="136">
        <v>0</v>
      </c>
      <c r="AL172" s="136">
        <f t="shared" si="170"/>
        <v>0</v>
      </c>
      <c r="AM172" s="135">
        <v>0</v>
      </c>
      <c r="AN172" s="136">
        <v>0</v>
      </c>
      <c r="AO172" s="136">
        <v>0</v>
      </c>
    </row>
    <row r="173" spans="1:41" s="138" customFormat="1" x14ac:dyDescent="0.25">
      <c r="A173" s="147" t="s">
        <v>305</v>
      </c>
      <c r="B173" s="134" t="s">
        <v>306</v>
      </c>
      <c r="C173" s="135">
        <f t="shared" si="165"/>
        <v>5450000</v>
      </c>
      <c r="D173" s="136">
        <f t="shared" si="166"/>
        <v>5450000</v>
      </c>
      <c r="E173" s="135">
        <v>0</v>
      </c>
      <c r="F173" s="136">
        <v>0</v>
      </c>
      <c r="G173" s="136">
        <v>0</v>
      </c>
      <c r="H173" s="136">
        <v>0</v>
      </c>
      <c r="I173" s="136">
        <v>0</v>
      </c>
      <c r="J173" s="136">
        <v>0</v>
      </c>
      <c r="K173" s="136">
        <v>0</v>
      </c>
      <c r="L173" s="136">
        <v>0</v>
      </c>
      <c r="M173" s="136">
        <v>0</v>
      </c>
      <c r="N173" s="136">
        <v>0</v>
      </c>
      <c r="O173" s="136">
        <v>750000</v>
      </c>
      <c r="P173" s="136">
        <v>0</v>
      </c>
      <c r="Q173" s="136">
        <v>0</v>
      </c>
      <c r="R173" s="136">
        <v>0</v>
      </c>
      <c r="S173" s="136">
        <v>0</v>
      </c>
      <c r="T173" s="136">
        <v>0</v>
      </c>
      <c r="U173" s="136">
        <v>0</v>
      </c>
      <c r="V173" s="136">
        <v>0</v>
      </c>
      <c r="W173" s="136">
        <v>4700000</v>
      </c>
      <c r="X173" s="136">
        <v>0</v>
      </c>
      <c r="Y173" s="136">
        <f t="shared" si="167"/>
        <v>0</v>
      </c>
      <c r="Z173" s="136">
        <v>0</v>
      </c>
      <c r="AA173" s="136">
        <v>0</v>
      </c>
      <c r="AB173" s="136">
        <v>0</v>
      </c>
      <c r="AC173" s="136">
        <v>0</v>
      </c>
      <c r="AD173" s="136">
        <v>0</v>
      </c>
      <c r="AE173" s="136">
        <f t="shared" si="168"/>
        <v>0</v>
      </c>
      <c r="AF173" s="136">
        <v>0</v>
      </c>
      <c r="AG173" s="136">
        <v>0</v>
      </c>
      <c r="AH173" s="136">
        <v>0</v>
      </c>
      <c r="AI173" s="136">
        <v>0</v>
      </c>
      <c r="AJ173" s="137">
        <f t="shared" si="169"/>
        <v>0</v>
      </c>
      <c r="AK173" s="136">
        <v>0</v>
      </c>
      <c r="AL173" s="136">
        <f t="shared" si="170"/>
        <v>0</v>
      </c>
      <c r="AM173" s="135">
        <v>0</v>
      </c>
      <c r="AN173" s="136">
        <v>0</v>
      </c>
      <c r="AO173" s="136">
        <v>0</v>
      </c>
    </row>
    <row r="174" spans="1:41" s="138" customFormat="1" x14ac:dyDescent="0.25">
      <c r="A174" s="147" t="s">
        <v>307</v>
      </c>
      <c r="B174" s="144" t="s">
        <v>308</v>
      </c>
      <c r="C174" s="135">
        <f t="shared" si="165"/>
        <v>3000</v>
      </c>
      <c r="D174" s="136">
        <f t="shared" si="166"/>
        <v>3000</v>
      </c>
      <c r="E174" s="135">
        <v>3000</v>
      </c>
      <c r="F174" s="136">
        <v>0</v>
      </c>
      <c r="G174" s="136">
        <v>0</v>
      </c>
      <c r="H174" s="136">
        <v>0</v>
      </c>
      <c r="I174" s="136">
        <v>0</v>
      </c>
      <c r="J174" s="136">
        <v>0</v>
      </c>
      <c r="K174" s="136">
        <v>0</v>
      </c>
      <c r="L174" s="136">
        <v>0</v>
      </c>
      <c r="M174" s="136">
        <v>0</v>
      </c>
      <c r="N174" s="136">
        <v>0</v>
      </c>
      <c r="O174" s="136">
        <v>0</v>
      </c>
      <c r="P174" s="136">
        <v>0</v>
      </c>
      <c r="Q174" s="136">
        <v>0</v>
      </c>
      <c r="R174" s="136">
        <v>0</v>
      </c>
      <c r="S174" s="136">
        <v>0</v>
      </c>
      <c r="T174" s="136">
        <v>0</v>
      </c>
      <c r="U174" s="136">
        <v>0</v>
      </c>
      <c r="V174" s="136">
        <v>0</v>
      </c>
      <c r="W174" s="136">
        <v>0</v>
      </c>
      <c r="X174" s="136">
        <v>0</v>
      </c>
      <c r="Y174" s="136">
        <f t="shared" si="167"/>
        <v>0</v>
      </c>
      <c r="Z174" s="136">
        <v>0</v>
      </c>
      <c r="AA174" s="136">
        <v>0</v>
      </c>
      <c r="AB174" s="136">
        <v>0</v>
      </c>
      <c r="AC174" s="136">
        <v>0</v>
      </c>
      <c r="AD174" s="136">
        <v>0</v>
      </c>
      <c r="AE174" s="136">
        <f t="shared" si="168"/>
        <v>0</v>
      </c>
      <c r="AF174" s="136">
        <v>0</v>
      </c>
      <c r="AG174" s="136">
        <v>0</v>
      </c>
      <c r="AH174" s="136">
        <v>0</v>
      </c>
      <c r="AI174" s="136">
        <v>0</v>
      </c>
      <c r="AJ174" s="137">
        <f t="shared" si="169"/>
        <v>0</v>
      </c>
      <c r="AK174" s="136">
        <v>0</v>
      </c>
      <c r="AL174" s="136">
        <f t="shared" si="170"/>
        <v>0</v>
      </c>
      <c r="AM174" s="135">
        <v>0</v>
      </c>
      <c r="AN174" s="136">
        <v>0</v>
      </c>
      <c r="AO174" s="136">
        <v>0</v>
      </c>
    </row>
    <row r="175" spans="1:41" s="138" customFormat="1" ht="13.8" thickBot="1" x14ac:dyDescent="0.3">
      <c r="A175" s="161" t="s">
        <v>309</v>
      </c>
      <c r="B175" s="153" t="s">
        <v>310</v>
      </c>
      <c r="C175" s="154">
        <f t="shared" si="165"/>
        <v>951500</v>
      </c>
      <c r="D175" s="155">
        <f t="shared" si="166"/>
        <v>735000</v>
      </c>
      <c r="E175" s="154">
        <v>0</v>
      </c>
      <c r="F175" s="155">
        <v>0</v>
      </c>
      <c r="G175" s="155">
        <v>0</v>
      </c>
      <c r="H175" s="155">
        <v>0</v>
      </c>
      <c r="I175" s="155">
        <v>0</v>
      </c>
      <c r="J175" s="155">
        <v>0</v>
      </c>
      <c r="K175" s="155">
        <v>0</v>
      </c>
      <c r="L175" s="155">
        <v>0</v>
      </c>
      <c r="M175" s="155">
        <v>0</v>
      </c>
      <c r="N175" s="155">
        <v>0</v>
      </c>
      <c r="O175" s="155">
        <v>500000</v>
      </c>
      <c r="P175" s="155">
        <v>40000</v>
      </c>
      <c r="Q175" s="155">
        <v>0</v>
      </c>
      <c r="R175" s="155">
        <v>50000</v>
      </c>
      <c r="S175" s="155">
        <v>0</v>
      </c>
      <c r="T175" s="155">
        <v>50000</v>
      </c>
      <c r="U175" s="155">
        <v>0</v>
      </c>
      <c r="V175" s="155">
        <v>15000</v>
      </c>
      <c r="W175" s="155">
        <v>30000</v>
      </c>
      <c r="X175" s="155">
        <v>50000</v>
      </c>
      <c r="Y175" s="155">
        <f t="shared" si="167"/>
        <v>116500</v>
      </c>
      <c r="Z175" s="155">
        <v>0</v>
      </c>
      <c r="AA175" s="155">
        <v>26500</v>
      </c>
      <c r="AB175" s="155">
        <v>0</v>
      </c>
      <c r="AC175" s="155">
        <v>75000</v>
      </c>
      <c r="AD175" s="155">
        <v>15000</v>
      </c>
      <c r="AE175" s="155">
        <f t="shared" si="168"/>
        <v>0</v>
      </c>
      <c r="AF175" s="155">
        <v>0</v>
      </c>
      <c r="AG175" s="155">
        <v>0</v>
      </c>
      <c r="AH175" s="155">
        <v>0</v>
      </c>
      <c r="AI175" s="155">
        <v>0</v>
      </c>
      <c r="AJ175" s="156">
        <f t="shared" si="169"/>
        <v>100000</v>
      </c>
      <c r="AK175" s="155">
        <v>100000</v>
      </c>
      <c r="AL175" s="155">
        <f t="shared" si="170"/>
        <v>0</v>
      </c>
      <c r="AM175" s="135">
        <v>0</v>
      </c>
      <c r="AN175" s="136">
        <v>0</v>
      </c>
      <c r="AO175" s="136">
        <v>0</v>
      </c>
    </row>
    <row r="176" spans="1:41" s="138" customFormat="1" x14ac:dyDescent="0.25">
      <c r="A176" s="147"/>
      <c r="B176" s="134"/>
      <c r="C176" s="135"/>
      <c r="D176" s="136"/>
      <c r="E176" s="135"/>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7"/>
      <c r="AK176" s="136"/>
      <c r="AL176" s="136"/>
      <c r="AM176" s="135"/>
      <c r="AN176" s="136"/>
      <c r="AO176" s="136"/>
    </row>
    <row r="177" spans="1:41" s="138" customFormat="1" x14ac:dyDescent="0.25">
      <c r="A177" s="164">
        <v>3</v>
      </c>
      <c r="B177" s="165" t="s">
        <v>311</v>
      </c>
      <c r="C177" s="140">
        <f>SUM(C178)</f>
        <v>175565266</v>
      </c>
      <c r="D177" s="141">
        <f t="shared" ref="D177:S178" si="171">SUM(D178)</f>
        <v>0</v>
      </c>
      <c r="E177" s="140">
        <f t="shared" si="171"/>
        <v>0</v>
      </c>
      <c r="F177" s="141">
        <f t="shared" si="171"/>
        <v>0</v>
      </c>
      <c r="G177" s="141">
        <f t="shared" si="171"/>
        <v>0</v>
      </c>
      <c r="H177" s="141">
        <f t="shared" si="171"/>
        <v>0</v>
      </c>
      <c r="I177" s="141">
        <f t="shared" si="171"/>
        <v>0</v>
      </c>
      <c r="J177" s="141">
        <f t="shared" si="171"/>
        <v>0</v>
      </c>
      <c r="K177" s="141">
        <f t="shared" si="171"/>
        <v>0</v>
      </c>
      <c r="L177" s="141">
        <f t="shared" si="171"/>
        <v>0</v>
      </c>
      <c r="M177" s="141">
        <f t="shared" si="171"/>
        <v>0</v>
      </c>
      <c r="N177" s="141">
        <f t="shared" si="171"/>
        <v>0</v>
      </c>
      <c r="O177" s="141">
        <f t="shared" si="171"/>
        <v>0</v>
      </c>
      <c r="P177" s="141">
        <f t="shared" si="171"/>
        <v>0</v>
      </c>
      <c r="Q177" s="141">
        <f t="shared" si="171"/>
        <v>0</v>
      </c>
      <c r="R177" s="141">
        <f t="shared" si="171"/>
        <v>0</v>
      </c>
      <c r="S177" s="141">
        <f t="shared" si="171"/>
        <v>0</v>
      </c>
      <c r="T177" s="141">
        <f t="shared" ref="T177:AI178" si="172">SUM(T178)</f>
        <v>0</v>
      </c>
      <c r="U177" s="141">
        <f t="shared" si="172"/>
        <v>0</v>
      </c>
      <c r="V177" s="141">
        <f t="shared" si="172"/>
        <v>0</v>
      </c>
      <c r="W177" s="141">
        <f t="shared" si="172"/>
        <v>0</v>
      </c>
      <c r="X177" s="141">
        <f t="shared" si="172"/>
        <v>0</v>
      </c>
      <c r="Y177" s="141">
        <f t="shared" si="172"/>
        <v>0</v>
      </c>
      <c r="Z177" s="141">
        <f t="shared" si="172"/>
        <v>0</v>
      </c>
      <c r="AA177" s="141">
        <f t="shared" si="172"/>
        <v>0</v>
      </c>
      <c r="AB177" s="141">
        <f t="shared" si="172"/>
        <v>0</v>
      </c>
      <c r="AC177" s="141">
        <f t="shared" si="172"/>
        <v>0</v>
      </c>
      <c r="AD177" s="141">
        <f t="shared" si="172"/>
        <v>0</v>
      </c>
      <c r="AE177" s="141">
        <f t="shared" si="172"/>
        <v>0</v>
      </c>
      <c r="AF177" s="141">
        <f t="shared" si="172"/>
        <v>0</v>
      </c>
      <c r="AG177" s="141">
        <f t="shared" si="172"/>
        <v>0</v>
      </c>
      <c r="AH177" s="141">
        <f t="shared" si="172"/>
        <v>0</v>
      </c>
      <c r="AI177" s="141">
        <f t="shared" si="172"/>
        <v>0</v>
      </c>
      <c r="AJ177" s="142">
        <f t="shared" ref="AJ177:AO178" si="173">SUM(AJ178)</f>
        <v>175565266</v>
      </c>
      <c r="AK177" s="141">
        <f t="shared" si="173"/>
        <v>175565266</v>
      </c>
      <c r="AL177" s="141">
        <f t="shared" si="173"/>
        <v>0</v>
      </c>
      <c r="AM177" s="140">
        <f t="shared" si="173"/>
        <v>0</v>
      </c>
      <c r="AN177" s="141">
        <f t="shared" si="173"/>
        <v>0</v>
      </c>
      <c r="AO177" s="141">
        <f t="shared" si="173"/>
        <v>0</v>
      </c>
    </row>
    <row r="178" spans="1:41" s="138" customFormat="1" x14ac:dyDescent="0.25">
      <c r="A178" s="157" t="s">
        <v>312</v>
      </c>
      <c r="B178" s="139" t="s">
        <v>313</v>
      </c>
      <c r="C178" s="140">
        <f>SUM(C179)</f>
        <v>175565266</v>
      </c>
      <c r="D178" s="141">
        <f t="shared" si="171"/>
        <v>0</v>
      </c>
      <c r="E178" s="140">
        <f t="shared" si="171"/>
        <v>0</v>
      </c>
      <c r="F178" s="141">
        <f t="shared" si="171"/>
        <v>0</v>
      </c>
      <c r="G178" s="141">
        <f t="shared" si="171"/>
        <v>0</v>
      </c>
      <c r="H178" s="141">
        <f t="shared" si="171"/>
        <v>0</v>
      </c>
      <c r="I178" s="141">
        <f t="shared" si="171"/>
        <v>0</v>
      </c>
      <c r="J178" s="141">
        <f t="shared" si="171"/>
        <v>0</v>
      </c>
      <c r="K178" s="141">
        <f t="shared" si="171"/>
        <v>0</v>
      </c>
      <c r="L178" s="141">
        <f t="shared" si="171"/>
        <v>0</v>
      </c>
      <c r="M178" s="141">
        <f t="shared" si="171"/>
        <v>0</v>
      </c>
      <c r="N178" s="141">
        <f t="shared" si="171"/>
        <v>0</v>
      </c>
      <c r="O178" s="141">
        <f t="shared" si="171"/>
        <v>0</v>
      </c>
      <c r="P178" s="141">
        <f t="shared" si="171"/>
        <v>0</v>
      </c>
      <c r="Q178" s="141">
        <f t="shared" si="171"/>
        <v>0</v>
      </c>
      <c r="R178" s="141">
        <f t="shared" si="171"/>
        <v>0</v>
      </c>
      <c r="S178" s="141">
        <f t="shared" si="171"/>
        <v>0</v>
      </c>
      <c r="T178" s="141">
        <f t="shared" si="172"/>
        <v>0</v>
      </c>
      <c r="U178" s="141">
        <f t="shared" si="172"/>
        <v>0</v>
      </c>
      <c r="V178" s="141">
        <f t="shared" si="172"/>
        <v>0</v>
      </c>
      <c r="W178" s="141">
        <f t="shared" si="172"/>
        <v>0</v>
      </c>
      <c r="X178" s="141">
        <f t="shared" si="172"/>
        <v>0</v>
      </c>
      <c r="Y178" s="141">
        <f t="shared" si="172"/>
        <v>0</v>
      </c>
      <c r="Z178" s="141">
        <f t="shared" si="172"/>
        <v>0</v>
      </c>
      <c r="AA178" s="141">
        <f t="shared" si="172"/>
        <v>0</v>
      </c>
      <c r="AB178" s="141">
        <f t="shared" si="172"/>
        <v>0</v>
      </c>
      <c r="AC178" s="141">
        <f t="shared" si="172"/>
        <v>0</v>
      </c>
      <c r="AD178" s="141">
        <f t="shared" si="172"/>
        <v>0</v>
      </c>
      <c r="AE178" s="141">
        <f t="shared" si="172"/>
        <v>0</v>
      </c>
      <c r="AF178" s="141">
        <f t="shared" si="172"/>
        <v>0</v>
      </c>
      <c r="AG178" s="141">
        <f t="shared" si="172"/>
        <v>0</v>
      </c>
      <c r="AH178" s="141">
        <f t="shared" si="172"/>
        <v>0</v>
      </c>
      <c r="AI178" s="141">
        <f t="shared" si="172"/>
        <v>0</v>
      </c>
      <c r="AJ178" s="142">
        <f t="shared" si="173"/>
        <v>175565266</v>
      </c>
      <c r="AK178" s="141">
        <f t="shared" si="173"/>
        <v>175565266</v>
      </c>
      <c r="AL178" s="141">
        <f t="shared" si="173"/>
        <v>0</v>
      </c>
      <c r="AM178" s="140">
        <f t="shared" si="173"/>
        <v>0</v>
      </c>
      <c r="AN178" s="141">
        <f t="shared" si="173"/>
        <v>0</v>
      </c>
      <c r="AO178" s="141">
        <f t="shared" si="173"/>
        <v>0</v>
      </c>
    </row>
    <row r="179" spans="1:41" s="138" customFormat="1" x14ac:dyDescent="0.25">
      <c r="A179" s="147" t="s">
        <v>314</v>
      </c>
      <c r="B179" s="134" t="s">
        <v>315</v>
      </c>
      <c r="C179" s="135">
        <f t="shared" ref="C179" si="174">D179+Y179+AE179+AJ179</f>
        <v>175565266</v>
      </c>
      <c r="D179" s="136">
        <f t="shared" ref="D179" si="175">SUM(E179:X179)</f>
        <v>0</v>
      </c>
      <c r="E179" s="135">
        <v>0</v>
      </c>
      <c r="F179" s="136">
        <v>0</v>
      </c>
      <c r="G179" s="136">
        <v>0</v>
      </c>
      <c r="H179" s="136">
        <v>0</v>
      </c>
      <c r="I179" s="136">
        <v>0</v>
      </c>
      <c r="J179" s="136">
        <v>0</v>
      </c>
      <c r="K179" s="136">
        <v>0</v>
      </c>
      <c r="L179" s="136">
        <v>0</v>
      </c>
      <c r="M179" s="136">
        <v>0</v>
      </c>
      <c r="N179" s="136">
        <v>0</v>
      </c>
      <c r="O179" s="136">
        <v>0</v>
      </c>
      <c r="P179" s="136">
        <v>0</v>
      </c>
      <c r="Q179" s="136">
        <v>0</v>
      </c>
      <c r="R179" s="136">
        <v>0</v>
      </c>
      <c r="S179" s="136">
        <v>0</v>
      </c>
      <c r="T179" s="136">
        <v>0</v>
      </c>
      <c r="U179" s="136">
        <v>0</v>
      </c>
      <c r="V179" s="136">
        <v>0</v>
      </c>
      <c r="W179" s="136">
        <v>0</v>
      </c>
      <c r="X179" s="136">
        <v>0</v>
      </c>
      <c r="Y179" s="136">
        <f t="shared" ref="Y179" si="176">SUM(Z179:AD179)</f>
        <v>0</v>
      </c>
      <c r="Z179" s="136">
        <v>0</v>
      </c>
      <c r="AA179" s="136">
        <v>0</v>
      </c>
      <c r="AB179" s="136">
        <v>0</v>
      </c>
      <c r="AC179" s="136">
        <v>0</v>
      </c>
      <c r="AD179" s="136">
        <v>0</v>
      </c>
      <c r="AE179" s="136">
        <f t="shared" ref="AE179" si="177">SUM(AF179:AI179)</f>
        <v>0</v>
      </c>
      <c r="AF179" s="136">
        <v>0</v>
      </c>
      <c r="AG179" s="136">
        <v>0</v>
      </c>
      <c r="AH179" s="136">
        <v>0</v>
      </c>
      <c r="AI179" s="136">
        <v>0</v>
      </c>
      <c r="AJ179" s="137">
        <f t="shared" ref="AJ179" si="178">SUM(AK179+AL179)</f>
        <v>175565266</v>
      </c>
      <c r="AK179" s="136">
        <v>175565266</v>
      </c>
      <c r="AL179" s="136">
        <f t="shared" ref="AL179" si="179">SUM(AM179:AO179)</f>
        <v>0</v>
      </c>
      <c r="AM179" s="135">
        <v>0</v>
      </c>
      <c r="AN179" s="136">
        <v>0</v>
      </c>
      <c r="AO179" s="136">
        <v>0</v>
      </c>
    </row>
    <row r="180" spans="1:41" s="138" customFormat="1" x14ac:dyDescent="0.25">
      <c r="A180" s="147"/>
      <c r="B180" s="134"/>
      <c r="C180" s="135"/>
      <c r="D180" s="136"/>
      <c r="E180" s="135"/>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7"/>
      <c r="AK180" s="136"/>
      <c r="AL180" s="136"/>
      <c r="AM180" s="135"/>
      <c r="AN180" s="136"/>
      <c r="AO180" s="136"/>
    </row>
    <row r="181" spans="1:41" s="138" customFormat="1" x14ac:dyDescent="0.25">
      <c r="A181" s="162">
        <v>4</v>
      </c>
      <c r="B181" s="165" t="s">
        <v>316</v>
      </c>
      <c r="C181" s="140">
        <f>SUM(C182:C183)</f>
        <v>25014319351</v>
      </c>
      <c r="D181" s="141">
        <f t="shared" ref="D181:AO181" si="180">SUM(D182:D183)</f>
        <v>0</v>
      </c>
      <c r="E181" s="140">
        <f t="shared" si="180"/>
        <v>0</v>
      </c>
      <c r="F181" s="141">
        <f t="shared" si="180"/>
        <v>0</v>
      </c>
      <c r="G181" s="141">
        <f t="shared" si="180"/>
        <v>0</v>
      </c>
      <c r="H181" s="141">
        <f t="shared" si="180"/>
        <v>0</v>
      </c>
      <c r="I181" s="141">
        <f t="shared" si="180"/>
        <v>0</v>
      </c>
      <c r="J181" s="141">
        <f t="shared" si="180"/>
        <v>0</v>
      </c>
      <c r="K181" s="141">
        <f t="shared" si="180"/>
        <v>0</v>
      </c>
      <c r="L181" s="141">
        <f t="shared" si="180"/>
        <v>0</v>
      </c>
      <c r="M181" s="141">
        <f t="shared" si="180"/>
        <v>0</v>
      </c>
      <c r="N181" s="141">
        <f t="shared" si="180"/>
        <v>0</v>
      </c>
      <c r="O181" s="141">
        <f t="shared" si="180"/>
        <v>0</v>
      </c>
      <c r="P181" s="141">
        <f t="shared" si="180"/>
        <v>0</v>
      </c>
      <c r="Q181" s="141">
        <f t="shared" si="180"/>
        <v>0</v>
      </c>
      <c r="R181" s="141">
        <f t="shared" si="180"/>
        <v>0</v>
      </c>
      <c r="S181" s="141">
        <f t="shared" si="180"/>
        <v>0</v>
      </c>
      <c r="T181" s="141">
        <f t="shared" si="180"/>
        <v>0</v>
      </c>
      <c r="U181" s="141">
        <f t="shared" si="180"/>
        <v>0</v>
      </c>
      <c r="V181" s="141">
        <f t="shared" si="180"/>
        <v>0</v>
      </c>
      <c r="W181" s="141">
        <f t="shared" si="180"/>
        <v>0</v>
      </c>
      <c r="X181" s="141">
        <f t="shared" si="180"/>
        <v>0</v>
      </c>
      <c r="Y181" s="141">
        <f t="shared" si="180"/>
        <v>0</v>
      </c>
      <c r="Z181" s="141">
        <f t="shared" si="180"/>
        <v>0</v>
      </c>
      <c r="AA181" s="141">
        <f t="shared" si="180"/>
        <v>0</v>
      </c>
      <c r="AB181" s="141">
        <f t="shared" si="180"/>
        <v>0</v>
      </c>
      <c r="AC181" s="141">
        <f t="shared" si="180"/>
        <v>0</v>
      </c>
      <c r="AD181" s="141">
        <f t="shared" si="180"/>
        <v>0</v>
      </c>
      <c r="AE181" s="141">
        <f t="shared" si="180"/>
        <v>0</v>
      </c>
      <c r="AF181" s="141">
        <f t="shared" si="180"/>
        <v>0</v>
      </c>
      <c r="AG181" s="141">
        <f t="shared" si="180"/>
        <v>0</v>
      </c>
      <c r="AH181" s="141">
        <f t="shared" si="180"/>
        <v>0</v>
      </c>
      <c r="AI181" s="141">
        <f t="shared" si="180"/>
        <v>0</v>
      </c>
      <c r="AJ181" s="142">
        <f t="shared" si="180"/>
        <v>25014319351</v>
      </c>
      <c r="AK181" s="141">
        <f t="shared" si="180"/>
        <v>22779319351</v>
      </c>
      <c r="AL181" s="141">
        <f t="shared" si="180"/>
        <v>2235000000</v>
      </c>
      <c r="AM181" s="140">
        <f t="shared" si="180"/>
        <v>0</v>
      </c>
      <c r="AN181" s="141">
        <f t="shared" si="180"/>
        <v>0</v>
      </c>
      <c r="AO181" s="141">
        <f t="shared" si="180"/>
        <v>2235000000</v>
      </c>
    </row>
    <row r="182" spans="1:41" s="138" customFormat="1" x14ac:dyDescent="0.25">
      <c r="A182" s="143" t="s">
        <v>317</v>
      </c>
      <c r="B182" s="144" t="s">
        <v>318</v>
      </c>
      <c r="C182" s="135">
        <f t="shared" ref="C182:C183" si="181">D182+Y182+AE182+AJ182</f>
        <v>22779319351</v>
      </c>
      <c r="D182" s="136">
        <f t="shared" ref="D182:D183" si="182">SUM(E182:X182)</f>
        <v>0</v>
      </c>
      <c r="E182" s="135">
        <v>0</v>
      </c>
      <c r="F182" s="136">
        <v>0</v>
      </c>
      <c r="G182" s="136">
        <v>0</v>
      </c>
      <c r="H182" s="136">
        <v>0</v>
      </c>
      <c r="I182" s="136">
        <v>0</v>
      </c>
      <c r="J182" s="136">
        <v>0</v>
      </c>
      <c r="K182" s="136">
        <v>0</v>
      </c>
      <c r="L182" s="136">
        <v>0</v>
      </c>
      <c r="M182" s="136">
        <v>0</v>
      </c>
      <c r="N182" s="136">
        <v>0</v>
      </c>
      <c r="O182" s="136">
        <v>0</v>
      </c>
      <c r="P182" s="136">
        <v>0</v>
      </c>
      <c r="Q182" s="136">
        <v>0</v>
      </c>
      <c r="R182" s="136">
        <v>0</v>
      </c>
      <c r="S182" s="136">
        <v>0</v>
      </c>
      <c r="T182" s="136">
        <v>0</v>
      </c>
      <c r="U182" s="136">
        <v>0</v>
      </c>
      <c r="V182" s="136">
        <v>0</v>
      </c>
      <c r="W182" s="136">
        <v>0</v>
      </c>
      <c r="X182" s="136">
        <v>0</v>
      </c>
      <c r="Y182" s="136">
        <f t="shared" ref="Y182:Y183" si="183">SUM(Z182:AD182)</f>
        <v>0</v>
      </c>
      <c r="Z182" s="136">
        <v>0</v>
      </c>
      <c r="AA182" s="136">
        <v>0</v>
      </c>
      <c r="AB182" s="136">
        <v>0</v>
      </c>
      <c r="AC182" s="136">
        <v>0</v>
      </c>
      <c r="AD182" s="136">
        <v>0</v>
      </c>
      <c r="AE182" s="136">
        <f t="shared" ref="AE182:AE183" si="184">SUM(AF182:AI182)</f>
        <v>0</v>
      </c>
      <c r="AF182" s="136">
        <v>0</v>
      </c>
      <c r="AG182" s="136">
        <v>0</v>
      </c>
      <c r="AH182" s="136">
        <v>0</v>
      </c>
      <c r="AI182" s="136">
        <v>0</v>
      </c>
      <c r="AJ182" s="137">
        <f t="shared" ref="AJ182:AJ183" si="185">SUM(AK182+AL182)</f>
        <v>22779319351</v>
      </c>
      <c r="AK182" s="136">
        <f>22052250000+727069351</f>
        <v>22779319351</v>
      </c>
      <c r="AL182" s="136">
        <f t="shared" ref="AL182:AL183" si="186">SUM(AM182:AO182)</f>
        <v>0</v>
      </c>
      <c r="AM182" s="135">
        <v>0</v>
      </c>
      <c r="AN182" s="136">
        <v>0</v>
      </c>
      <c r="AO182" s="136">
        <v>0</v>
      </c>
    </row>
    <row r="183" spans="1:41" s="138" customFormat="1" x14ac:dyDescent="0.25">
      <c r="A183" s="143" t="s">
        <v>319</v>
      </c>
      <c r="B183" s="144" t="s">
        <v>320</v>
      </c>
      <c r="C183" s="135">
        <f t="shared" si="181"/>
        <v>2235000000</v>
      </c>
      <c r="D183" s="136">
        <f t="shared" si="182"/>
        <v>0</v>
      </c>
      <c r="E183" s="135">
        <v>0</v>
      </c>
      <c r="F183" s="136">
        <v>0</v>
      </c>
      <c r="G183" s="136">
        <v>0</v>
      </c>
      <c r="H183" s="136">
        <v>0</v>
      </c>
      <c r="I183" s="136">
        <v>0</v>
      </c>
      <c r="J183" s="136">
        <v>0</v>
      </c>
      <c r="K183" s="136">
        <v>0</v>
      </c>
      <c r="L183" s="136">
        <v>0</v>
      </c>
      <c r="M183" s="136">
        <v>0</v>
      </c>
      <c r="N183" s="136">
        <v>0</v>
      </c>
      <c r="O183" s="136">
        <v>0</v>
      </c>
      <c r="P183" s="136">
        <v>0</v>
      </c>
      <c r="Q183" s="136">
        <v>0</v>
      </c>
      <c r="R183" s="136">
        <v>0</v>
      </c>
      <c r="S183" s="136">
        <v>0</v>
      </c>
      <c r="T183" s="136">
        <v>0</v>
      </c>
      <c r="U183" s="136">
        <v>0</v>
      </c>
      <c r="V183" s="136">
        <v>0</v>
      </c>
      <c r="W183" s="136">
        <v>0</v>
      </c>
      <c r="X183" s="136">
        <v>0</v>
      </c>
      <c r="Y183" s="136">
        <f t="shared" si="183"/>
        <v>0</v>
      </c>
      <c r="Z183" s="136">
        <v>0</v>
      </c>
      <c r="AA183" s="136">
        <v>0</v>
      </c>
      <c r="AB183" s="136">
        <v>0</v>
      </c>
      <c r="AC183" s="136">
        <v>0</v>
      </c>
      <c r="AD183" s="136">
        <v>0</v>
      </c>
      <c r="AE183" s="136">
        <f t="shared" si="184"/>
        <v>0</v>
      </c>
      <c r="AF183" s="136">
        <v>0</v>
      </c>
      <c r="AG183" s="136">
        <v>0</v>
      </c>
      <c r="AH183" s="136">
        <v>0</v>
      </c>
      <c r="AI183" s="136">
        <v>0</v>
      </c>
      <c r="AJ183" s="137">
        <f t="shared" si="185"/>
        <v>2235000000</v>
      </c>
      <c r="AK183" s="136">
        <v>0</v>
      </c>
      <c r="AL183" s="136">
        <f t="shared" si="186"/>
        <v>2235000000</v>
      </c>
      <c r="AM183" s="135">
        <v>0</v>
      </c>
      <c r="AN183" s="136">
        <v>0</v>
      </c>
      <c r="AO183" s="136">
        <v>2235000000</v>
      </c>
    </row>
    <row r="184" spans="1:41" s="138" customFormat="1" x14ac:dyDescent="0.25">
      <c r="A184" s="143"/>
      <c r="B184" s="144"/>
      <c r="C184" s="135"/>
      <c r="D184" s="136"/>
      <c r="E184" s="135"/>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7"/>
      <c r="AK184" s="136"/>
      <c r="AL184" s="136"/>
      <c r="AM184" s="135"/>
      <c r="AN184" s="136"/>
      <c r="AO184" s="136"/>
    </row>
    <row r="185" spans="1:41" s="138" customFormat="1" x14ac:dyDescent="0.25">
      <c r="A185" s="162">
        <v>5</v>
      </c>
      <c r="B185" s="165" t="s">
        <v>321</v>
      </c>
      <c r="C185" s="140">
        <f>C187+C194+C197+C205+C207+C210</f>
        <v>4827602524</v>
      </c>
      <c r="D185" s="141">
        <f t="shared" ref="D185:AO185" si="187">D187+D194+D197+D205+D207+D210</f>
        <v>720602314</v>
      </c>
      <c r="E185" s="140">
        <f t="shared" si="187"/>
        <v>0</v>
      </c>
      <c r="F185" s="141">
        <f t="shared" si="187"/>
        <v>5341184</v>
      </c>
      <c r="G185" s="141">
        <f t="shared" si="187"/>
        <v>0</v>
      </c>
      <c r="H185" s="141">
        <f t="shared" si="187"/>
        <v>0</v>
      </c>
      <c r="I185" s="141">
        <f t="shared" si="187"/>
        <v>401053130</v>
      </c>
      <c r="J185" s="141">
        <f t="shared" si="187"/>
        <v>0</v>
      </c>
      <c r="K185" s="141">
        <f t="shared" si="187"/>
        <v>0</v>
      </c>
      <c r="L185" s="141">
        <f t="shared" si="187"/>
        <v>6000000</v>
      </c>
      <c r="M185" s="141">
        <f t="shared" si="187"/>
        <v>4350000</v>
      </c>
      <c r="N185" s="141">
        <f t="shared" si="187"/>
        <v>0</v>
      </c>
      <c r="O185" s="141">
        <f t="shared" si="187"/>
        <v>122205000</v>
      </c>
      <c r="P185" s="141">
        <f t="shared" si="187"/>
        <v>23309000</v>
      </c>
      <c r="Q185" s="141">
        <f t="shared" si="187"/>
        <v>0</v>
      </c>
      <c r="R185" s="141">
        <f t="shared" si="187"/>
        <v>850000</v>
      </c>
      <c r="S185" s="141">
        <f t="shared" si="187"/>
        <v>150400000</v>
      </c>
      <c r="T185" s="141">
        <f t="shared" si="187"/>
        <v>1650000</v>
      </c>
      <c r="U185" s="141">
        <f t="shared" si="187"/>
        <v>0</v>
      </c>
      <c r="V185" s="141">
        <f t="shared" si="187"/>
        <v>0</v>
      </c>
      <c r="W185" s="141">
        <f t="shared" si="187"/>
        <v>2144000</v>
      </c>
      <c r="X185" s="141">
        <f t="shared" si="187"/>
        <v>3300000</v>
      </c>
      <c r="Y185" s="141">
        <f t="shared" si="187"/>
        <v>42850000</v>
      </c>
      <c r="Z185" s="141">
        <f t="shared" si="187"/>
        <v>5000000</v>
      </c>
      <c r="AA185" s="141">
        <f t="shared" si="187"/>
        <v>3500000</v>
      </c>
      <c r="AB185" s="141">
        <f t="shared" si="187"/>
        <v>18050000</v>
      </c>
      <c r="AC185" s="141">
        <f t="shared" si="187"/>
        <v>12000000</v>
      </c>
      <c r="AD185" s="141">
        <f t="shared" si="187"/>
        <v>4300000</v>
      </c>
      <c r="AE185" s="141">
        <f t="shared" si="187"/>
        <v>3504770300</v>
      </c>
      <c r="AF185" s="141">
        <f t="shared" si="187"/>
        <v>0</v>
      </c>
      <c r="AG185" s="141">
        <f t="shared" si="187"/>
        <v>2804270300</v>
      </c>
      <c r="AH185" s="141">
        <f t="shared" si="187"/>
        <v>0</v>
      </c>
      <c r="AI185" s="141">
        <f t="shared" si="187"/>
        <v>700500000</v>
      </c>
      <c r="AJ185" s="142">
        <f t="shared" si="187"/>
        <v>559379910</v>
      </c>
      <c r="AK185" s="141">
        <f t="shared" si="187"/>
        <v>558229910</v>
      </c>
      <c r="AL185" s="141">
        <f t="shared" si="187"/>
        <v>1150000</v>
      </c>
      <c r="AM185" s="140">
        <f t="shared" si="187"/>
        <v>800000</v>
      </c>
      <c r="AN185" s="141">
        <f t="shared" si="187"/>
        <v>350000</v>
      </c>
      <c r="AO185" s="141">
        <f t="shared" si="187"/>
        <v>0</v>
      </c>
    </row>
    <row r="186" spans="1:41" s="138" customFormat="1" x14ac:dyDescent="0.25">
      <c r="A186" s="162"/>
      <c r="B186" s="165"/>
      <c r="C186" s="135"/>
      <c r="D186" s="136"/>
      <c r="E186" s="135"/>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7"/>
      <c r="AK186" s="136"/>
      <c r="AL186" s="136"/>
      <c r="AM186" s="135"/>
      <c r="AN186" s="136"/>
      <c r="AO186" s="136"/>
    </row>
    <row r="187" spans="1:41" s="138" customFormat="1" x14ac:dyDescent="0.25">
      <c r="A187" s="157" t="s">
        <v>322</v>
      </c>
      <c r="B187" s="139" t="s">
        <v>323</v>
      </c>
      <c r="C187" s="140">
        <f>SUM(C188:C192)</f>
        <v>192799000</v>
      </c>
      <c r="D187" s="141">
        <f t="shared" ref="D187:AO187" si="188">SUM(D188:D192)</f>
        <v>119274000</v>
      </c>
      <c r="E187" s="140">
        <f t="shared" si="188"/>
        <v>0</v>
      </c>
      <c r="F187" s="141">
        <f t="shared" si="188"/>
        <v>2000000</v>
      </c>
      <c r="G187" s="141">
        <f t="shared" si="188"/>
        <v>0</v>
      </c>
      <c r="H187" s="141">
        <f t="shared" si="188"/>
        <v>0</v>
      </c>
      <c r="I187" s="141">
        <f t="shared" si="188"/>
        <v>20775000</v>
      </c>
      <c r="J187" s="141">
        <f t="shared" si="188"/>
        <v>0</v>
      </c>
      <c r="K187" s="141">
        <f t="shared" si="188"/>
        <v>0</v>
      </c>
      <c r="L187" s="141">
        <f t="shared" si="188"/>
        <v>6000000</v>
      </c>
      <c r="M187" s="141">
        <f t="shared" si="188"/>
        <v>4350000</v>
      </c>
      <c r="N187" s="141">
        <f t="shared" si="188"/>
        <v>0</v>
      </c>
      <c r="O187" s="141">
        <f t="shared" si="188"/>
        <v>77205000</v>
      </c>
      <c r="P187" s="141">
        <f t="shared" si="188"/>
        <v>600000</v>
      </c>
      <c r="Q187" s="141">
        <f t="shared" si="188"/>
        <v>0</v>
      </c>
      <c r="R187" s="141">
        <f t="shared" si="188"/>
        <v>850000</v>
      </c>
      <c r="S187" s="141">
        <f t="shared" si="188"/>
        <v>400000</v>
      </c>
      <c r="T187" s="141">
        <f t="shared" si="188"/>
        <v>1650000</v>
      </c>
      <c r="U187" s="141">
        <f t="shared" si="188"/>
        <v>0</v>
      </c>
      <c r="V187" s="141">
        <f t="shared" si="188"/>
        <v>0</v>
      </c>
      <c r="W187" s="141">
        <f t="shared" si="188"/>
        <v>2144000</v>
      </c>
      <c r="X187" s="141">
        <f t="shared" si="188"/>
        <v>3300000</v>
      </c>
      <c r="Y187" s="141">
        <f t="shared" si="188"/>
        <v>22950000</v>
      </c>
      <c r="Z187" s="141">
        <f t="shared" si="188"/>
        <v>4000000</v>
      </c>
      <c r="AA187" s="141">
        <f t="shared" si="188"/>
        <v>3000000</v>
      </c>
      <c r="AB187" s="141">
        <f t="shared" si="188"/>
        <v>5250000</v>
      </c>
      <c r="AC187" s="141">
        <f t="shared" si="188"/>
        <v>8000000</v>
      </c>
      <c r="AD187" s="141">
        <f t="shared" si="188"/>
        <v>2700000</v>
      </c>
      <c r="AE187" s="141">
        <f t="shared" si="188"/>
        <v>15500000</v>
      </c>
      <c r="AF187" s="141">
        <f t="shared" si="188"/>
        <v>0</v>
      </c>
      <c r="AG187" s="141">
        <f t="shared" si="188"/>
        <v>0</v>
      </c>
      <c r="AH187" s="141">
        <f t="shared" si="188"/>
        <v>0</v>
      </c>
      <c r="AI187" s="141">
        <f t="shared" si="188"/>
        <v>15500000</v>
      </c>
      <c r="AJ187" s="142">
        <f t="shared" si="188"/>
        <v>35075000</v>
      </c>
      <c r="AK187" s="141">
        <f t="shared" si="188"/>
        <v>33925000</v>
      </c>
      <c r="AL187" s="141">
        <f t="shared" si="188"/>
        <v>1150000</v>
      </c>
      <c r="AM187" s="140">
        <f t="shared" si="188"/>
        <v>800000</v>
      </c>
      <c r="AN187" s="141">
        <f t="shared" si="188"/>
        <v>350000</v>
      </c>
      <c r="AO187" s="141">
        <f t="shared" si="188"/>
        <v>0</v>
      </c>
    </row>
    <row r="188" spans="1:41" s="138" customFormat="1" x14ac:dyDescent="0.25">
      <c r="A188" s="147" t="s">
        <v>324</v>
      </c>
      <c r="B188" s="134" t="s">
        <v>325</v>
      </c>
      <c r="C188" s="135">
        <f t="shared" ref="C188:C192" si="189">D188+Y188+AE188+AJ188</f>
        <v>2000000</v>
      </c>
      <c r="D188" s="136">
        <f t="shared" ref="D188:D192" si="190">SUM(E188:X188)</f>
        <v>2000000</v>
      </c>
      <c r="E188" s="135">
        <v>0</v>
      </c>
      <c r="F188" s="136">
        <v>0</v>
      </c>
      <c r="G188" s="136">
        <v>0</v>
      </c>
      <c r="H188" s="136">
        <v>0</v>
      </c>
      <c r="I188" s="136">
        <v>0</v>
      </c>
      <c r="J188" s="136">
        <v>0</v>
      </c>
      <c r="K188" s="136">
        <v>0</v>
      </c>
      <c r="L188" s="136">
        <v>0</v>
      </c>
      <c r="M188" s="136">
        <v>0</v>
      </c>
      <c r="N188" s="136">
        <v>0</v>
      </c>
      <c r="O188" s="136">
        <v>2000000</v>
      </c>
      <c r="P188" s="136">
        <v>0</v>
      </c>
      <c r="Q188" s="136">
        <v>0</v>
      </c>
      <c r="R188" s="136">
        <v>0</v>
      </c>
      <c r="S188" s="136">
        <v>0</v>
      </c>
      <c r="T188" s="136">
        <v>0</v>
      </c>
      <c r="U188" s="136">
        <v>0</v>
      </c>
      <c r="V188" s="136">
        <v>0</v>
      </c>
      <c r="W188" s="136">
        <v>0</v>
      </c>
      <c r="X188" s="136">
        <v>0</v>
      </c>
      <c r="Y188" s="136">
        <f t="shared" ref="Y188:Y192" si="191">SUM(Z188:AD188)</f>
        <v>0</v>
      </c>
      <c r="Z188" s="136">
        <v>0</v>
      </c>
      <c r="AA188" s="136">
        <v>0</v>
      </c>
      <c r="AB188" s="136">
        <v>0</v>
      </c>
      <c r="AC188" s="136">
        <v>0</v>
      </c>
      <c r="AD188" s="136">
        <v>0</v>
      </c>
      <c r="AE188" s="136">
        <f t="shared" ref="AE188:AE192" si="192">SUM(AF188:AI188)</f>
        <v>0</v>
      </c>
      <c r="AF188" s="136">
        <v>0</v>
      </c>
      <c r="AG188" s="136">
        <v>0</v>
      </c>
      <c r="AH188" s="136">
        <v>0</v>
      </c>
      <c r="AI188" s="136">
        <v>0</v>
      </c>
      <c r="AJ188" s="137">
        <f t="shared" ref="AJ188:AJ192" si="193">SUM(AK188+AL188)</f>
        <v>0</v>
      </c>
      <c r="AK188" s="136">
        <v>0</v>
      </c>
      <c r="AL188" s="136">
        <f t="shared" ref="AL188:AL192" si="194">SUM(AM188:AO188)</f>
        <v>0</v>
      </c>
      <c r="AM188" s="135">
        <v>0</v>
      </c>
      <c r="AN188" s="136">
        <v>0</v>
      </c>
      <c r="AO188" s="136">
        <v>0</v>
      </c>
    </row>
    <row r="189" spans="1:41" s="138" customFormat="1" x14ac:dyDescent="0.25">
      <c r="A189" s="147" t="s">
        <v>326</v>
      </c>
      <c r="B189" s="134" t="s">
        <v>327</v>
      </c>
      <c r="C189" s="135">
        <f t="shared" si="189"/>
        <v>94550000</v>
      </c>
      <c r="D189" s="136">
        <f t="shared" si="190"/>
        <v>71350000</v>
      </c>
      <c r="E189" s="135">
        <v>0</v>
      </c>
      <c r="F189" s="136">
        <v>0</v>
      </c>
      <c r="G189" s="136">
        <v>0</v>
      </c>
      <c r="H189" s="136">
        <v>0</v>
      </c>
      <c r="I189" s="136">
        <v>0</v>
      </c>
      <c r="J189" s="136">
        <v>0</v>
      </c>
      <c r="K189" s="136">
        <v>0</v>
      </c>
      <c r="L189" s="136">
        <v>0</v>
      </c>
      <c r="M189" s="136">
        <v>350000</v>
      </c>
      <c r="N189" s="136">
        <v>0</v>
      </c>
      <c r="O189" s="136">
        <f>90000000-'[1]Costeo SAP 2024'!O39</f>
        <v>67500000</v>
      </c>
      <c r="P189" s="136">
        <v>0</v>
      </c>
      <c r="Q189" s="136">
        <v>0</v>
      </c>
      <c r="R189" s="136">
        <v>350000</v>
      </c>
      <c r="S189" s="136">
        <v>0</v>
      </c>
      <c r="T189" s="136">
        <v>150000</v>
      </c>
      <c r="U189" s="136">
        <v>0</v>
      </c>
      <c r="V189" s="136">
        <v>0</v>
      </c>
      <c r="W189" s="136">
        <v>0</v>
      </c>
      <c r="X189" s="136">
        <v>3000000</v>
      </c>
      <c r="Y189" s="136">
        <f t="shared" si="191"/>
        <v>0</v>
      </c>
      <c r="Z189" s="136">
        <v>0</v>
      </c>
      <c r="AA189" s="136">
        <v>0</v>
      </c>
      <c r="AB189" s="136">
        <v>0</v>
      </c>
      <c r="AC189" s="136">
        <v>0</v>
      </c>
      <c r="AD189" s="136">
        <v>0</v>
      </c>
      <c r="AE189" s="136">
        <f t="shared" si="192"/>
        <v>500000</v>
      </c>
      <c r="AF189" s="136">
        <v>0</v>
      </c>
      <c r="AG189" s="136">
        <v>0</v>
      </c>
      <c r="AH189" s="136">
        <v>0</v>
      </c>
      <c r="AI189" s="136">
        <v>500000</v>
      </c>
      <c r="AJ189" s="137">
        <f t="shared" si="193"/>
        <v>22700000</v>
      </c>
      <c r="AK189" s="136">
        <f>200000+'[1]Costeo SAP 2024'!O39</f>
        <v>22700000</v>
      </c>
      <c r="AL189" s="136">
        <f t="shared" si="194"/>
        <v>0</v>
      </c>
      <c r="AM189" s="135">
        <v>0</v>
      </c>
      <c r="AN189" s="136">
        <v>0</v>
      </c>
      <c r="AO189" s="136">
        <v>0</v>
      </c>
    </row>
    <row r="190" spans="1:41" s="138" customFormat="1" x14ac:dyDescent="0.25">
      <c r="A190" s="147" t="s">
        <v>328</v>
      </c>
      <c r="B190" s="134" t="s">
        <v>329</v>
      </c>
      <c r="C190" s="135">
        <f t="shared" si="189"/>
        <v>37099000</v>
      </c>
      <c r="D190" s="136">
        <f t="shared" si="190"/>
        <v>15449000</v>
      </c>
      <c r="E190" s="135">
        <v>0</v>
      </c>
      <c r="F190" s="136">
        <v>0</v>
      </c>
      <c r="G190" s="136">
        <v>0</v>
      </c>
      <c r="H190" s="136">
        <v>0</v>
      </c>
      <c r="I190" s="136">
        <v>0</v>
      </c>
      <c r="J190" s="136">
        <v>0</v>
      </c>
      <c r="K190" s="136">
        <v>0</v>
      </c>
      <c r="L190" s="136">
        <v>6000000</v>
      </c>
      <c r="M190" s="136">
        <v>4000000</v>
      </c>
      <c r="N190" s="136">
        <v>0</v>
      </c>
      <c r="O190" s="136">
        <v>505000</v>
      </c>
      <c r="P190" s="136">
        <v>600000</v>
      </c>
      <c r="Q190" s="136">
        <v>0</v>
      </c>
      <c r="R190" s="136">
        <v>500000</v>
      </c>
      <c r="S190" s="136">
        <v>400000</v>
      </c>
      <c r="T190" s="136">
        <v>1000000</v>
      </c>
      <c r="U190" s="136">
        <v>0</v>
      </c>
      <c r="V190" s="136">
        <v>0</v>
      </c>
      <c r="W190" s="136">
        <v>2144000</v>
      </c>
      <c r="X190" s="136">
        <v>300000</v>
      </c>
      <c r="Y190" s="136">
        <f t="shared" si="191"/>
        <v>2000000</v>
      </c>
      <c r="Z190" s="136">
        <v>0</v>
      </c>
      <c r="AA190" s="136">
        <v>0</v>
      </c>
      <c r="AB190" s="136">
        <v>0</v>
      </c>
      <c r="AC190" s="136">
        <v>2000000</v>
      </c>
      <c r="AD190" s="136">
        <v>0</v>
      </c>
      <c r="AE190" s="136">
        <f t="shared" si="192"/>
        <v>15000000</v>
      </c>
      <c r="AF190" s="136">
        <v>0</v>
      </c>
      <c r="AG190" s="136">
        <v>0</v>
      </c>
      <c r="AH190" s="136">
        <v>0</v>
      </c>
      <c r="AI190" s="136">
        <v>15000000</v>
      </c>
      <c r="AJ190" s="137">
        <f t="shared" si="193"/>
        <v>4650000</v>
      </c>
      <c r="AK190" s="136">
        <v>4000000</v>
      </c>
      <c r="AL190" s="136">
        <f t="shared" si="194"/>
        <v>650000</v>
      </c>
      <c r="AM190" s="135">
        <v>300000</v>
      </c>
      <c r="AN190" s="136">
        <v>350000</v>
      </c>
      <c r="AO190" s="136">
        <v>0</v>
      </c>
    </row>
    <row r="191" spans="1:41" s="138" customFormat="1" x14ac:dyDescent="0.25">
      <c r="A191" s="147" t="s">
        <v>330</v>
      </c>
      <c r="B191" s="134" t="s">
        <v>331</v>
      </c>
      <c r="C191" s="135">
        <f t="shared" si="189"/>
        <v>50900000</v>
      </c>
      <c r="D191" s="136">
        <f t="shared" si="190"/>
        <v>22775000</v>
      </c>
      <c r="E191" s="135">
        <v>0</v>
      </c>
      <c r="F191" s="136">
        <v>2000000</v>
      </c>
      <c r="G191" s="136">
        <v>0</v>
      </c>
      <c r="H191" s="136">
        <v>0</v>
      </c>
      <c r="I191" s="136">
        <f>27700000-'[1]Costeo SAP 2024'!O40</f>
        <v>20775000</v>
      </c>
      <c r="J191" s="136">
        <v>0</v>
      </c>
      <c r="K191" s="136">
        <v>0</v>
      </c>
      <c r="L191" s="136">
        <v>0</v>
      </c>
      <c r="M191" s="136">
        <v>0</v>
      </c>
      <c r="N191" s="136">
        <v>0</v>
      </c>
      <c r="O191" s="136">
        <v>0</v>
      </c>
      <c r="P191" s="136">
        <v>0</v>
      </c>
      <c r="Q191" s="136">
        <v>0</v>
      </c>
      <c r="R191" s="136">
        <v>0</v>
      </c>
      <c r="S191" s="136">
        <v>0</v>
      </c>
      <c r="T191" s="136">
        <v>0</v>
      </c>
      <c r="U191" s="136">
        <v>0</v>
      </c>
      <c r="V191" s="136">
        <v>0</v>
      </c>
      <c r="W191" s="136">
        <v>0</v>
      </c>
      <c r="X191" s="136">
        <v>0</v>
      </c>
      <c r="Y191" s="136">
        <f t="shared" si="191"/>
        <v>20700000</v>
      </c>
      <c r="Z191" s="136">
        <v>4000000</v>
      </c>
      <c r="AA191" s="136">
        <v>3000000</v>
      </c>
      <c r="AB191" s="136">
        <v>5000000</v>
      </c>
      <c r="AC191" s="136">
        <v>6000000</v>
      </c>
      <c r="AD191" s="136">
        <v>2700000</v>
      </c>
      <c r="AE191" s="136">
        <f t="shared" si="192"/>
        <v>0</v>
      </c>
      <c r="AF191" s="136">
        <v>0</v>
      </c>
      <c r="AG191" s="136">
        <v>0</v>
      </c>
      <c r="AH191" s="136">
        <v>0</v>
      </c>
      <c r="AI191" s="136">
        <v>0</v>
      </c>
      <c r="AJ191" s="137">
        <f t="shared" si="193"/>
        <v>7425000</v>
      </c>
      <c r="AK191" s="136">
        <f>+'[1]Costeo SAP 2024'!O40</f>
        <v>6925000</v>
      </c>
      <c r="AL191" s="136">
        <f t="shared" si="194"/>
        <v>500000</v>
      </c>
      <c r="AM191" s="135">
        <v>500000</v>
      </c>
      <c r="AN191" s="136">
        <v>0</v>
      </c>
      <c r="AO191" s="136">
        <v>0</v>
      </c>
    </row>
    <row r="192" spans="1:41" s="138" customFormat="1" x14ac:dyDescent="0.25">
      <c r="A192" s="163" t="s">
        <v>332</v>
      </c>
      <c r="B192" s="134" t="s">
        <v>333</v>
      </c>
      <c r="C192" s="135">
        <f t="shared" si="189"/>
        <v>8250000</v>
      </c>
      <c r="D192" s="136">
        <f t="shared" si="190"/>
        <v>7700000</v>
      </c>
      <c r="E192" s="135">
        <v>0</v>
      </c>
      <c r="F192" s="136">
        <v>0</v>
      </c>
      <c r="G192" s="136">
        <v>0</v>
      </c>
      <c r="H192" s="136">
        <v>0</v>
      </c>
      <c r="I192" s="136">
        <v>0</v>
      </c>
      <c r="J192" s="136">
        <v>0</v>
      </c>
      <c r="K192" s="136">
        <v>0</v>
      </c>
      <c r="L192" s="136">
        <v>0</v>
      </c>
      <c r="M192" s="136">
        <v>0</v>
      </c>
      <c r="N192" s="136">
        <v>0</v>
      </c>
      <c r="O192" s="136">
        <v>7200000</v>
      </c>
      <c r="P192" s="136">
        <v>0</v>
      </c>
      <c r="Q192" s="136">
        <v>0</v>
      </c>
      <c r="R192" s="136">
        <v>0</v>
      </c>
      <c r="S192" s="136">
        <v>0</v>
      </c>
      <c r="T192" s="136">
        <v>500000</v>
      </c>
      <c r="U192" s="136">
        <v>0</v>
      </c>
      <c r="V192" s="136">
        <v>0</v>
      </c>
      <c r="W192" s="136">
        <v>0</v>
      </c>
      <c r="X192" s="136">
        <v>0</v>
      </c>
      <c r="Y192" s="136">
        <f t="shared" si="191"/>
        <v>250000</v>
      </c>
      <c r="Z192" s="136">
        <v>0</v>
      </c>
      <c r="AA192" s="136">
        <v>0</v>
      </c>
      <c r="AB192" s="136">
        <v>250000</v>
      </c>
      <c r="AC192" s="136">
        <v>0</v>
      </c>
      <c r="AD192" s="136">
        <v>0</v>
      </c>
      <c r="AE192" s="136">
        <f t="shared" si="192"/>
        <v>0</v>
      </c>
      <c r="AF192" s="136">
        <v>0</v>
      </c>
      <c r="AG192" s="136">
        <v>0</v>
      </c>
      <c r="AH192" s="136">
        <v>0</v>
      </c>
      <c r="AI192" s="136">
        <v>0</v>
      </c>
      <c r="AJ192" s="137">
        <f t="shared" si="193"/>
        <v>300000</v>
      </c>
      <c r="AK192" s="136">
        <v>300000</v>
      </c>
      <c r="AL192" s="136">
        <f t="shared" si="194"/>
        <v>0</v>
      </c>
      <c r="AM192" s="135">
        <v>0</v>
      </c>
      <c r="AN192" s="136">
        <v>0</v>
      </c>
      <c r="AO192" s="136">
        <v>0</v>
      </c>
    </row>
    <row r="193" spans="1:41" s="138" customFormat="1" x14ac:dyDescent="0.25">
      <c r="A193" s="143"/>
      <c r="B193" s="144"/>
      <c r="C193" s="136"/>
      <c r="D193" s="136"/>
      <c r="E193" s="135"/>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7"/>
      <c r="AK193" s="136"/>
      <c r="AL193" s="136"/>
      <c r="AM193" s="135"/>
      <c r="AN193" s="136"/>
      <c r="AO193" s="136"/>
    </row>
    <row r="194" spans="1:41" s="138" customFormat="1" x14ac:dyDescent="0.25">
      <c r="A194" s="157" t="s">
        <v>334</v>
      </c>
      <c r="B194" s="139" t="s">
        <v>335</v>
      </c>
      <c r="C194" s="141">
        <f>SUM(C195)</f>
        <v>60000000</v>
      </c>
      <c r="D194" s="141">
        <f t="shared" ref="D194:AO194" si="195">SUM(D195)</f>
        <v>45000000</v>
      </c>
      <c r="E194" s="140">
        <f t="shared" si="195"/>
        <v>0</v>
      </c>
      <c r="F194" s="141">
        <f t="shared" si="195"/>
        <v>0</v>
      </c>
      <c r="G194" s="141">
        <f t="shared" si="195"/>
        <v>0</v>
      </c>
      <c r="H194" s="141">
        <f t="shared" si="195"/>
        <v>0</v>
      </c>
      <c r="I194" s="141">
        <f t="shared" si="195"/>
        <v>0</v>
      </c>
      <c r="J194" s="141">
        <f t="shared" si="195"/>
        <v>0</v>
      </c>
      <c r="K194" s="141">
        <f t="shared" si="195"/>
        <v>0</v>
      </c>
      <c r="L194" s="141">
        <f t="shared" si="195"/>
        <v>0</v>
      </c>
      <c r="M194" s="141">
        <f t="shared" si="195"/>
        <v>0</v>
      </c>
      <c r="N194" s="141">
        <f t="shared" si="195"/>
        <v>0</v>
      </c>
      <c r="O194" s="141">
        <f t="shared" si="195"/>
        <v>45000000</v>
      </c>
      <c r="P194" s="141">
        <f t="shared" si="195"/>
        <v>0</v>
      </c>
      <c r="Q194" s="141">
        <f t="shared" si="195"/>
        <v>0</v>
      </c>
      <c r="R194" s="141">
        <f t="shared" si="195"/>
        <v>0</v>
      </c>
      <c r="S194" s="141">
        <f t="shared" si="195"/>
        <v>0</v>
      </c>
      <c r="T194" s="141">
        <f t="shared" si="195"/>
        <v>0</v>
      </c>
      <c r="U194" s="141">
        <f t="shared" si="195"/>
        <v>0</v>
      </c>
      <c r="V194" s="141">
        <f t="shared" si="195"/>
        <v>0</v>
      </c>
      <c r="W194" s="141">
        <f t="shared" si="195"/>
        <v>0</v>
      </c>
      <c r="X194" s="141">
        <f t="shared" si="195"/>
        <v>0</v>
      </c>
      <c r="Y194" s="141">
        <f t="shared" si="195"/>
        <v>0</v>
      </c>
      <c r="Z194" s="141">
        <f t="shared" si="195"/>
        <v>0</v>
      </c>
      <c r="AA194" s="141">
        <f t="shared" si="195"/>
        <v>0</v>
      </c>
      <c r="AB194" s="141">
        <f t="shared" si="195"/>
        <v>0</v>
      </c>
      <c r="AC194" s="141">
        <f t="shared" si="195"/>
        <v>0</v>
      </c>
      <c r="AD194" s="141">
        <f t="shared" si="195"/>
        <v>0</v>
      </c>
      <c r="AE194" s="141">
        <f t="shared" si="195"/>
        <v>0</v>
      </c>
      <c r="AF194" s="141">
        <f t="shared" si="195"/>
        <v>0</v>
      </c>
      <c r="AG194" s="141">
        <f t="shared" si="195"/>
        <v>0</v>
      </c>
      <c r="AH194" s="141">
        <f t="shared" si="195"/>
        <v>0</v>
      </c>
      <c r="AI194" s="141">
        <f t="shared" si="195"/>
        <v>0</v>
      </c>
      <c r="AJ194" s="142">
        <f t="shared" si="195"/>
        <v>15000000</v>
      </c>
      <c r="AK194" s="141">
        <f t="shared" si="195"/>
        <v>15000000</v>
      </c>
      <c r="AL194" s="141">
        <f t="shared" si="195"/>
        <v>0</v>
      </c>
      <c r="AM194" s="140">
        <f t="shared" si="195"/>
        <v>0</v>
      </c>
      <c r="AN194" s="141">
        <f t="shared" si="195"/>
        <v>0</v>
      </c>
      <c r="AO194" s="141">
        <f t="shared" si="195"/>
        <v>0</v>
      </c>
    </row>
    <row r="195" spans="1:41" s="138" customFormat="1" x14ac:dyDescent="0.25">
      <c r="A195" s="147" t="s">
        <v>336</v>
      </c>
      <c r="B195" s="134" t="s">
        <v>337</v>
      </c>
      <c r="C195" s="136">
        <f t="shared" ref="C195" si="196">D195+Y195+AE195+AJ195</f>
        <v>60000000</v>
      </c>
      <c r="D195" s="136">
        <f t="shared" ref="D195" si="197">SUM(E195:X195)</f>
        <v>45000000</v>
      </c>
      <c r="E195" s="135">
        <v>0</v>
      </c>
      <c r="F195" s="136">
        <v>0</v>
      </c>
      <c r="G195" s="136">
        <v>0</v>
      </c>
      <c r="H195" s="136">
        <v>0</v>
      </c>
      <c r="I195" s="136">
        <v>0</v>
      </c>
      <c r="J195" s="136">
        <v>0</v>
      </c>
      <c r="K195" s="136">
        <v>0</v>
      </c>
      <c r="L195" s="136">
        <v>0</v>
      </c>
      <c r="M195" s="136">
        <v>0</v>
      </c>
      <c r="N195" s="136">
        <v>0</v>
      </c>
      <c r="O195" s="136">
        <f>60000000-'[1]Costeo SAP 2024'!O38</f>
        <v>45000000</v>
      </c>
      <c r="P195" s="136">
        <v>0</v>
      </c>
      <c r="Q195" s="136">
        <v>0</v>
      </c>
      <c r="R195" s="136">
        <v>0</v>
      </c>
      <c r="S195" s="136">
        <v>0</v>
      </c>
      <c r="T195" s="136">
        <v>0</v>
      </c>
      <c r="U195" s="136">
        <v>0</v>
      </c>
      <c r="V195" s="136">
        <v>0</v>
      </c>
      <c r="W195" s="136">
        <v>0</v>
      </c>
      <c r="X195" s="136">
        <v>0</v>
      </c>
      <c r="Y195" s="136">
        <f t="shared" ref="Y195" si="198">SUM(Z195:AD195)</f>
        <v>0</v>
      </c>
      <c r="Z195" s="136">
        <v>0</v>
      </c>
      <c r="AA195" s="136">
        <v>0</v>
      </c>
      <c r="AB195" s="136">
        <v>0</v>
      </c>
      <c r="AC195" s="136">
        <v>0</v>
      </c>
      <c r="AD195" s="136">
        <v>0</v>
      </c>
      <c r="AE195" s="136">
        <f t="shared" ref="AE195" si="199">SUM(AF195:AI195)</f>
        <v>0</v>
      </c>
      <c r="AF195" s="136">
        <v>0</v>
      </c>
      <c r="AG195" s="136">
        <v>0</v>
      </c>
      <c r="AH195" s="136">
        <v>0</v>
      </c>
      <c r="AI195" s="136">
        <v>0</v>
      </c>
      <c r="AJ195" s="137">
        <f t="shared" ref="AJ195" si="200">SUM(AK195+AL195)</f>
        <v>15000000</v>
      </c>
      <c r="AK195" s="136">
        <f>+'[1]Costeo SAP 2024'!O38</f>
        <v>15000000</v>
      </c>
      <c r="AL195" s="136">
        <f t="shared" ref="AL195" si="201">SUM(AM195:AO195)</f>
        <v>0</v>
      </c>
      <c r="AM195" s="135">
        <v>0</v>
      </c>
      <c r="AN195" s="136">
        <v>0</v>
      </c>
      <c r="AO195" s="136">
        <v>0</v>
      </c>
    </row>
    <row r="196" spans="1:41" s="138" customFormat="1" x14ac:dyDescent="0.25">
      <c r="A196" s="147"/>
      <c r="B196" s="134"/>
      <c r="C196" s="136"/>
      <c r="D196" s="136"/>
      <c r="E196" s="135"/>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7"/>
      <c r="AK196" s="136"/>
      <c r="AL196" s="136"/>
      <c r="AM196" s="135"/>
      <c r="AN196" s="136"/>
      <c r="AO196" s="136"/>
    </row>
    <row r="197" spans="1:41" s="138" customFormat="1" x14ac:dyDescent="0.25">
      <c r="A197" s="157" t="s">
        <v>338</v>
      </c>
      <c r="B197" s="139" t="s">
        <v>339</v>
      </c>
      <c r="C197" s="141">
        <f>SUM(C198:C203)</f>
        <v>2804270300</v>
      </c>
      <c r="D197" s="141">
        <f t="shared" ref="D197:AO197" si="202">SUM(D198:D203)</f>
        <v>0</v>
      </c>
      <c r="E197" s="140">
        <f t="shared" si="202"/>
        <v>0</v>
      </c>
      <c r="F197" s="141">
        <f t="shared" si="202"/>
        <v>0</v>
      </c>
      <c r="G197" s="141">
        <f t="shared" si="202"/>
        <v>0</v>
      </c>
      <c r="H197" s="141">
        <f t="shared" si="202"/>
        <v>0</v>
      </c>
      <c r="I197" s="141">
        <f t="shared" si="202"/>
        <v>0</v>
      </c>
      <c r="J197" s="141">
        <f t="shared" si="202"/>
        <v>0</v>
      </c>
      <c r="K197" s="141">
        <f t="shared" si="202"/>
        <v>0</v>
      </c>
      <c r="L197" s="141">
        <f t="shared" si="202"/>
        <v>0</v>
      </c>
      <c r="M197" s="141">
        <f t="shared" si="202"/>
        <v>0</v>
      </c>
      <c r="N197" s="141">
        <f t="shared" si="202"/>
        <v>0</v>
      </c>
      <c r="O197" s="141">
        <f t="shared" si="202"/>
        <v>0</v>
      </c>
      <c r="P197" s="141">
        <f t="shared" si="202"/>
        <v>0</v>
      </c>
      <c r="Q197" s="141">
        <f t="shared" si="202"/>
        <v>0</v>
      </c>
      <c r="R197" s="141">
        <f t="shared" si="202"/>
        <v>0</v>
      </c>
      <c r="S197" s="141">
        <f t="shared" si="202"/>
        <v>0</v>
      </c>
      <c r="T197" s="141">
        <f t="shared" si="202"/>
        <v>0</v>
      </c>
      <c r="U197" s="141">
        <f t="shared" si="202"/>
        <v>0</v>
      </c>
      <c r="V197" s="141">
        <f t="shared" si="202"/>
        <v>0</v>
      </c>
      <c r="W197" s="141">
        <f t="shared" si="202"/>
        <v>0</v>
      </c>
      <c r="X197" s="141">
        <f t="shared" si="202"/>
        <v>0</v>
      </c>
      <c r="Y197" s="141">
        <f t="shared" si="202"/>
        <v>0</v>
      </c>
      <c r="Z197" s="141">
        <f t="shared" si="202"/>
        <v>0</v>
      </c>
      <c r="AA197" s="141">
        <f t="shared" si="202"/>
        <v>0</v>
      </c>
      <c r="AB197" s="141">
        <f t="shared" si="202"/>
        <v>0</v>
      </c>
      <c r="AC197" s="141">
        <f t="shared" si="202"/>
        <v>0</v>
      </c>
      <c r="AD197" s="141">
        <f t="shared" si="202"/>
        <v>0</v>
      </c>
      <c r="AE197" s="141">
        <f t="shared" si="202"/>
        <v>2804270300</v>
      </c>
      <c r="AF197" s="141">
        <f t="shared" si="202"/>
        <v>0</v>
      </c>
      <c r="AG197" s="141">
        <f t="shared" si="202"/>
        <v>2804270300</v>
      </c>
      <c r="AH197" s="141">
        <f t="shared" si="202"/>
        <v>0</v>
      </c>
      <c r="AI197" s="141">
        <f t="shared" si="202"/>
        <v>0</v>
      </c>
      <c r="AJ197" s="142">
        <f t="shared" si="202"/>
        <v>0</v>
      </c>
      <c r="AK197" s="141">
        <f t="shared" si="202"/>
        <v>0</v>
      </c>
      <c r="AL197" s="141">
        <f t="shared" si="202"/>
        <v>0</v>
      </c>
      <c r="AM197" s="140">
        <f t="shared" si="202"/>
        <v>0</v>
      </c>
      <c r="AN197" s="141">
        <f t="shared" si="202"/>
        <v>0</v>
      </c>
      <c r="AO197" s="141">
        <f t="shared" si="202"/>
        <v>0</v>
      </c>
    </row>
    <row r="198" spans="1:41" s="138" customFormat="1" x14ac:dyDescent="0.25">
      <c r="A198" s="143" t="s">
        <v>340</v>
      </c>
      <c r="B198" s="134" t="s">
        <v>341</v>
      </c>
      <c r="C198" s="136">
        <f t="shared" ref="C198:C205" si="203">D198+Y198+AE198+AJ198</f>
        <v>366783700</v>
      </c>
      <c r="D198" s="141"/>
      <c r="E198" s="140"/>
      <c r="F198" s="141"/>
      <c r="G198" s="141"/>
      <c r="H198" s="141"/>
      <c r="I198" s="141"/>
      <c r="J198" s="141"/>
      <c r="K198" s="141"/>
      <c r="L198" s="141"/>
      <c r="M198" s="141"/>
      <c r="N198" s="141"/>
      <c r="O198" s="141"/>
      <c r="P198" s="141"/>
      <c r="Q198" s="141"/>
      <c r="R198" s="141"/>
      <c r="S198" s="141"/>
      <c r="T198" s="141"/>
      <c r="U198" s="141"/>
      <c r="V198" s="141"/>
      <c r="W198" s="141"/>
      <c r="X198" s="141"/>
      <c r="Y198" s="141"/>
      <c r="Z198" s="141"/>
      <c r="AA198" s="141"/>
      <c r="AB198" s="141"/>
      <c r="AC198" s="141"/>
      <c r="AD198" s="141"/>
      <c r="AE198" s="136">
        <f t="shared" ref="AE198:AE205" si="204">SUM(AF198:AI198)</f>
        <v>366783700</v>
      </c>
      <c r="AF198" s="141"/>
      <c r="AG198" s="136">
        <v>366783700</v>
      </c>
      <c r="AH198" s="141"/>
      <c r="AI198" s="141"/>
      <c r="AJ198" s="142"/>
      <c r="AK198" s="141"/>
      <c r="AL198" s="141"/>
      <c r="AM198" s="140"/>
      <c r="AN198" s="141"/>
      <c r="AO198" s="141"/>
    </row>
    <row r="199" spans="1:41" s="138" customFormat="1" x14ac:dyDescent="0.25">
      <c r="A199" s="143" t="s">
        <v>342</v>
      </c>
      <c r="B199" s="134" t="s">
        <v>343</v>
      </c>
      <c r="C199" s="136">
        <f t="shared" si="203"/>
        <v>826369400</v>
      </c>
      <c r="D199" s="141"/>
      <c r="E199" s="140"/>
      <c r="F199" s="141"/>
      <c r="G199" s="141"/>
      <c r="H199" s="141"/>
      <c r="I199" s="141"/>
      <c r="J199" s="141"/>
      <c r="K199" s="141"/>
      <c r="L199" s="141"/>
      <c r="M199" s="141"/>
      <c r="N199" s="141"/>
      <c r="O199" s="141"/>
      <c r="P199" s="141"/>
      <c r="Q199" s="141"/>
      <c r="R199" s="141"/>
      <c r="S199" s="141"/>
      <c r="T199" s="141"/>
      <c r="U199" s="141"/>
      <c r="V199" s="141"/>
      <c r="W199" s="141"/>
      <c r="X199" s="141"/>
      <c r="Y199" s="141"/>
      <c r="Z199" s="141"/>
      <c r="AA199" s="141"/>
      <c r="AB199" s="141"/>
      <c r="AC199" s="141"/>
      <c r="AD199" s="141"/>
      <c r="AE199" s="136">
        <f t="shared" si="204"/>
        <v>826369400</v>
      </c>
      <c r="AF199" s="141"/>
      <c r="AG199" s="136">
        <v>826369400</v>
      </c>
      <c r="AH199" s="141"/>
      <c r="AI199" s="141"/>
      <c r="AJ199" s="142"/>
      <c r="AK199" s="141"/>
      <c r="AL199" s="141"/>
      <c r="AM199" s="140"/>
      <c r="AN199" s="141"/>
      <c r="AO199" s="141"/>
    </row>
    <row r="200" spans="1:41" s="138" customFormat="1" x14ac:dyDescent="0.25">
      <c r="A200" s="143" t="s">
        <v>344</v>
      </c>
      <c r="B200" s="134" t="s">
        <v>345</v>
      </c>
      <c r="C200" s="136">
        <f t="shared" si="203"/>
        <v>786117200</v>
      </c>
      <c r="D200" s="141"/>
      <c r="E200" s="140"/>
      <c r="F200" s="141"/>
      <c r="G200" s="141"/>
      <c r="H200" s="141"/>
      <c r="I200" s="141"/>
      <c r="J200" s="141"/>
      <c r="K200" s="141"/>
      <c r="L200" s="141"/>
      <c r="M200" s="141"/>
      <c r="N200" s="141"/>
      <c r="O200" s="141"/>
      <c r="P200" s="141"/>
      <c r="Q200" s="141"/>
      <c r="R200" s="141"/>
      <c r="S200" s="141"/>
      <c r="T200" s="141"/>
      <c r="U200" s="141"/>
      <c r="V200" s="141"/>
      <c r="W200" s="141"/>
      <c r="X200" s="141"/>
      <c r="Y200" s="141"/>
      <c r="Z200" s="141"/>
      <c r="AA200" s="141"/>
      <c r="AB200" s="141"/>
      <c r="AC200" s="141"/>
      <c r="AD200" s="141"/>
      <c r="AE200" s="136">
        <f t="shared" si="204"/>
        <v>786117200</v>
      </c>
      <c r="AF200" s="141"/>
      <c r="AG200" s="136">
        <v>786117200</v>
      </c>
      <c r="AH200" s="141"/>
      <c r="AI200" s="141"/>
      <c r="AJ200" s="142"/>
      <c r="AK200" s="141"/>
      <c r="AL200" s="141"/>
      <c r="AM200" s="140"/>
      <c r="AN200" s="141"/>
      <c r="AO200" s="141"/>
    </row>
    <row r="201" spans="1:41" s="138" customFormat="1" x14ac:dyDescent="0.25">
      <c r="A201" s="143" t="s">
        <v>346</v>
      </c>
      <c r="B201" s="144" t="s">
        <v>347</v>
      </c>
      <c r="C201" s="136">
        <f t="shared" si="203"/>
        <v>400000000</v>
      </c>
      <c r="D201" s="136">
        <f t="shared" ref="D201:D205" si="205">SUM(E201:X201)</f>
        <v>0</v>
      </c>
      <c r="E201" s="135">
        <v>0</v>
      </c>
      <c r="F201" s="136">
        <v>0</v>
      </c>
      <c r="G201" s="136">
        <v>0</v>
      </c>
      <c r="H201" s="136">
        <v>0</v>
      </c>
      <c r="I201" s="136">
        <v>0</v>
      </c>
      <c r="J201" s="136">
        <v>0</v>
      </c>
      <c r="K201" s="136">
        <v>0</v>
      </c>
      <c r="L201" s="136">
        <v>0</v>
      </c>
      <c r="M201" s="136">
        <v>0</v>
      </c>
      <c r="N201" s="136">
        <v>0</v>
      </c>
      <c r="O201" s="136">
        <v>0</v>
      </c>
      <c r="P201" s="136">
        <v>0</v>
      </c>
      <c r="Q201" s="136">
        <v>0</v>
      </c>
      <c r="R201" s="136">
        <v>0</v>
      </c>
      <c r="S201" s="136">
        <v>0</v>
      </c>
      <c r="T201" s="136">
        <v>0</v>
      </c>
      <c r="U201" s="136">
        <v>0</v>
      </c>
      <c r="V201" s="136">
        <v>0</v>
      </c>
      <c r="W201" s="136">
        <v>0</v>
      </c>
      <c r="X201" s="136">
        <v>0</v>
      </c>
      <c r="Y201" s="136">
        <f t="shared" ref="Y201:Y205" si="206">SUM(Z201:AD201)</f>
        <v>0</v>
      </c>
      <c r="Z201" s="136">
        <v>0</v>
      </c>
      <c r="AA201" s="136">
        <v>0</v>
      </c>
      <c r="AB201" s="136">
        <v>0</v>
      </c>
      <c r="AC201" s="136">
        <v>0</v>
      </c>
      <c r="AD201" s="136">
        <v>0</v>
      </c>
      <c r="AE201" s="136">
        <f t="shared" si="204"/>
        <v>400000000</v>
      </c>
      <c r="AF201" s="136">
        <v>0</v>
      </c>
      <c r="AG201" s="136">
        <v>400000000</v>
      </c>
      <c r="AH201" s="136">
        <v>0</v>
      </c>
      <c r="AI201" s="136">
        <v>0</v>
      </c>
      <c r="AJ201" s="137">
        <f t="shared" ref="AJ201:AJ205" si="207">SUM(AK201+AL201)</f>
        <v>0</v>
      </c>
      <c r="AK201" s="136">
        <v>0</v>
      </c>
      <c r="AL201" s="136">
        <f t="shared" ref="AL201:AL205" si="208">SUM(AM201:AO201)</f>
        <v>0</v>
      </c>
      <c r="AM201" s="135">
        <v>0</v>
      </c>
      <c r="AN201" s="136">
        <v>0</v>
      </c>
      <c r="AO201" s="136">
        <v>0</v>
      </c>
    </row>
    <row r="202" spans="1:41" s="138" customFormat="1" x14ac:dyDescent="0.25">
      <c r="A202" s="143" t="s">
        <v>348</v>
      </c>
      <c r="B202" s="144" t="s">
        <v>349</v>
      </c>
      <c r="C202" s="136">
        <f t="shared" si="203"/>
        <v>225000000</v>
      </c>
      <c r="D202" s="136">
        <f t="shared" si="205"/>
        <v>0</v>
      </c>
      <c r="E202" s="135"/>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6"/>
      <c r="AD202" s="136"/>
      <c r="AE202" s="136">
        <f t="shared" si="204"/>
        <v>225000000</v>
      </c>
      <c r="AF202" s="136"/>
      <c r="AG202" s="136">
        <v>225000000</v>
      </c>
      <c r="AH202" s="136"/>
      <c r="AI202" s="136"/>
      <c r="AJ202" s="137"/>
      <c r="AK202" s="136"/>
      <c r="AL202" s="136"/>
      <c r="AM202" s="135"/>
      <c r="AN202" s="136"/>
      <c r="AO202" s="136"/>
    </row>
    <row r="203" spans="1:41" s="138" customFormat="1" x14ac:dyDescent="0.25">
      <c r="A203" s="143" t="s">
        <v>350</v>
      </c>
      <c r="B203" s="144" t="s">
        <v>351</v>
      </c>
      <c r="C203" s="136">
        <f t="shared" si="203"/>
        <v>200000000</v>
      </c>
      <c r="D203" s="136">
        <f t="shared" si="205"/>
        <v>0</v>
      </c>
      <c r="E203" s="135">
        <v>0</v>
      </c>
      <c r="F203" s="136">
        <v>0</v>
      </c>
      <c r="G203" s="136">
        <v>0</v>
      </c>
      <c r="H203" s="136">
        <v>0</v>
      </c>
      <c r="I203" s="136">
        <v>0</v>
      </c>
      <c r="J203" s="136">
        <v>0</v>
      </c>
      <c r="K203" s="136">
        <v>0</v>
      </c>
      <c r="L203" s="136">
        <v>0</v>
      </c>
      <c r="M203" s="136">
        <v>0</v>
      </c>
      <c r="N203" s="136">
        <v>0</v>
      </c>
      <c r="O203" s="136">
        <v>0</v>
      </c>
      <c r="P203" s="136">
        <v>0</v>
      </c>
      <c r="Q203" s="136">
        <v>0</v>
      </c>
      <c r="R203" s="136">
        <v>0</v>
      </c>
      <c r="S203" s="136">
        <v>0</v>
      </c>
      <c r="T203" s="136">
        <v>0</v>
      </c>
      <c r="U203" s="136">
        <v>0</v>
      </c>
      <c r="V203" s="136">
        <v>0</v>
      </c>
      <c r="W203" s="136">
        <v>0</v>
      </c>
      <c r="X203" s="136">
        <v>0</v>
      </c>
      <c r="Y203" s="136">
        <f t="shared" si="206"/>
        <v>0</v>
      </c>
      <c r="Z203" s="136">
        <v>0</v>
      </c>
      <c r="AA203" s="136">
        <v>0</v>
      </c>
      <c r="AB203" s="136">
        <v>0</v>
      </c>
      <c r="AC203" s="136">
        <v>0</v>
      </c>
      <c r="AD203" s="136">
        <v>0</v>
      </c>
      <c r="AE203" s="136">
        <f t="shared" si="204"/>
        <v>200000000</v>
      </c>
      <c r="AF203" s="136">
        <v>0</v>
      </c>
      <c r="AG203" s="136">
        <v>200000000</v>
      </c>
      <c r="AH203" s="136">
        <v>0</v>
      </c>
      <c r="AI203" s="136">
        <v>0</v>
      </c>
      <c r="AJ203" s="137">
        <f t="shared" si="207"/>
        <v>0</v>
      </c>
      <c r="AK203" s="136">
        <v>0</v>
      </c>
      <c r="AL203" s="136">
        <f t="shared" si="208"/>
        <v>0</v>
      </c>
      <c r="AM203" s="135">
        <v>0</v>
      </c>
      <c r="AN203" s="136">
        <v>0</v>
      </c>
      <c r="AO203" s="136">
        <v>0</v>
      </c>
    </row>
    <row r="204" spans="1:41" s="138" customFormat="1" x14ac:dyDescent="0.25">
      <c r="A204" s="143"/>
      <c r="B204" s="144"/>
      <c r="C204" s="136"/>
      <c r="D204" s="136">
        <f t="shared" si="205"/>
        <v>0</v>
      </c>
      <c r="E204" s="135"/>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7"/>
      <c r="AK204" s="136"/>
      <c r="AL204" s="136"/>
      <c r="AM204" s="135"/>
      <c r="AN204" s="136"/>
      <c r="AO204" s="136"/>
    </row>
    <row r="205" spans="1:41" s="138" customFormat="1" x14ac:dyDescent="0.25">
      <c r="A205" s="147" t="s">
        <v>352</v>
      </c>
      <c r="B205" s="134" t="s">
        <v>353</v>
      </c>
      <c r="C205" s="136">
        <f t="shared" si="203"/>
        <v>5000000</v>
      </c>
      <c r="D205" s="136">
        <f t="shared" si="205"/>
        <v>0</v>
      </c>
      <c r="E205" s="135">
        <v>0</v>
      </c>
      <c r="F205" s="136">
        <v>0</v>
      </c>
      <c r="G205" s="136">
        <v>0</v>
      </c>
      <c r="H205" s="136">
        <v>0</v>
      </c>
      <c r="I205" s="136">
        <v>0</v>
      </c>
      <c r="J205" s="136">
        <v>0</v>
      </c>
      <c r="K205" s="136">
        <v>0</v>
      </c>
      <c r="L205" s="136">
        <v>0</v>
      </c>
      <c r="M205" s="136">
        <v>0</v>
      </c>
      <c r="N205" s="136">
        <v>0</v>
      </c>
      <c r="O205" s="136">
        <v>0</v>
      </c>
      <c r="P205" s="136">
        <v>0</v>
      </c>
      <c r="Q205" s="136">
        <v>0</v>
      </c>
      <c r="R205" s="136">
        <v>0</v>
      </c>
      <c r="S205" s="136">
        <v>0</v>
      </c>
      <c r="T205" s="136">
        <v>0</v>
      </c>
      <c r="U205" s="136">
        <v>0</v>
      </c>
      <c r="V205" s="136">
        <v>0</v>
      </c>
      <c r="W205" s="136">
        <v>0</v>
      </c>
      <c r="X205" s="136">
        <v>0</v>
      </c>
      <c r="Y205" s="136">
        <f t="shared" si="206"/>
        <v>0</v>
      </c>
      <c r="Z205" s="136">
        <v>0</v>
      </c>
      <c r="AA205" s="136">
        <v>0</v>
      </c>
      <c r="AB205" s="136">
        <v>0</v>
      </c>
      <c r="AC205" s="136">
        <v>0</v>
      </c>
      <c r="AD205" s="136">
        <v>0</v>
      </c>
      <c r="AE205" s="136">
        <f t="shared" si="204"/>
        <v>5000000</v>
      </c>
      <c r="AF205" s="136">
        <v>0</v>
      </c>
      <c r="AG205" s="136">
        <v>0</v>
      </c>
      <c r="AH205" s="136">
        <v>0</v>
      </c>
      <c r="AI205" s="136">
        <v>5000000</v>
      </c>
      <c r="AJ205" s="137">
        <f t="shared" si="207"/>
        <v>0</v>
      </c>
      <c r="AK205" s="136">
        <v>0</v>
      </c>
      <c r="AL205" s="136">
        <f t="shared" si="208"/>
        <v>0</v>
      </c>
      <c r="AM205" s="135">
        <v>0</v>
      </c>
      <c r="AN205" s="136">
        <v>0</v>
      </c>
      <c r="AO205" s="136">
        <v>0</v>
      </c>
    </row>
    <row r="206" spans="1:41" s="138" customFormat="1" x14ac:dyDescent="0.25">
      <c r="A206" s="147"/>
      <c r="B206" s="134"/>
      <c r="C206" s="136"/>
      <c r="D206" s="136"/>
      <c r="E206" s="135"/>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7"/>
      <c r="AK206" s="136"/>
      <c r="AL206" s="136"/>
      <c r="AM206" s="135"/>
      <c r="AN206" s="136"/>
      <c r="AO206" s="136"/>
    </row>
    <row r="207" spans="1:41" s="138" customFormat="1" x14ac:dyDescent="0.25">
      <c r="A207" s="157" t="s">
        <v>354</v>
      </c>
      <c r="B207" s="139" t="s">
        <v>355</v>
      </c>
      <c r="C207" s="141">
        <f>SUM(C208)</f>
        <v>680000000</v>
      </c>
      <c r="D207" s="141">
        <f t="shared" ref="D207:AO207" si="209">SUM(D208)</f>
        <v>0</v>
      </c>
      <c r="E207" s="140">
        <f t="shared" si="209"/>
        <v>0</v>
      </c>
      <c r="F207" s="141">
        <f t="shared" si="209"/>
        <v>0</v>
      </c>
      <c r="G207" s="141">
        <f t="shared" si="209"/>
        <v>0</v>
      </c>
      <c r="H207" s="141">
        <f t="shared" si="209"/>
        <v>0</v>
      </c>
      <c r="I207" s="141">
        <f t="shared" si="209"/>
        <v>0</v>
      </c>
      <c r="J207" s="141">
        <f t="shared" si="209"/>
        <v>0</v>
      </c>
      <c r="K207" s="141">
        <f t="shared" si="209"/>
        <v>0</v>
      </c>
      <c r="L207" s="141">
        <f t="shared" si="209"/>
        <v>0</v>
      </c>
      <c r="M207" s="141">
        <f t="shared" si="209"/>
        <v>0</v>
      </c>
      <c r="N207" s="141">
        <f t="shared" si="209"/>
        <v>0</v>
      </c>
      <c r="O207" s="141">
        <f t="shared" si="209"/>
        <v>0</v>
      </c>
      <c r="P207" s="141">
        <f t="shared" si="209"/>
        <v>0</v>
      </c>
      <c r="Q207" s="141">
        <f t="shared" si="209"/>
        <v>0</v>
      </c>
      <c r="R207" s="141">
        <f t="shared" si="209"/>
        <v>0</v>
      </c>
      <c r="S207" s="141">
        <f t="shared" si="209"/>
        <v>0</v>
      </c>
      <c r="T207" s="141">
        <f t="shared" si="209"/>
        <v>0</v>
      </c>
      <c r="U207" s="141">
        <f t="shared" si="209"/>
        <v>0</v>
      </c>
      <c r="V207" s="141">
        <f t="shared" si="209"/>
        <v>0</v>
      </c>
      <c r="W207" s="141">
        <f t="shared" si="209"/>
        <v>0</v>
      </c>
      <c r="X207" s="141">
        <f t="shared" si="209"/>
        <v>0</v>
      </c>
      <c r="Y207" s="141">
        <f t="shared" si="209"/>
        <v>0</v>
      </c>
      <c r="Z207" s="141">
        <f t="shared" si="209"/>
        <v>0</v>
      </c>
      <c r="AA207" s="141">
        <f t="shared" si="209"/>
        <v>0</v>
      </c>
      <c r="AB207" s="141">
        <f t="shared" si="209"/>
        <v>0</v>
      </c>
      <c r="AC207" s="141">
        <f t="shared" si="209"/>
        <v>0</v>
      </c>
      <c r="AD207" s="141">
        <f t="shared" si="209"/>
        <v>0</v>
      </c>
      <c r="AE207" s="141">
        <f t="shared" si="209"/>
        <v>680000000</v>
      </c>
      <c r="AF207" s="141">
        <f t="shared" si="209"/>
        <v>0</v>
      </c>
      <c r="AG207" s="141">
        <f t="shared" si="209"/>
        <v>0</v>
      </c>
      <c r="AH207" s="141">
        <f t="shared" si="209"/>
        <v>0</v>
      </c>
      <c r="AI207" s="141">
        <f t="shared" si="209"/>
        <v>680000000</v>
      </c>
      <c r="AJ207" s="142">
        <f t="shared" si="209"/>
        <v>0</v>
      </c>
      <c r="AK207" s="141">
        <f t="shared" si="209"/>
        <v>0</v>
      </c>
      <c r="AL207" s="141">
        <f t="shared" si="209"/>
        <v>0</v>
      </c>
      <c r="AM207" s="140">
        <f t="shared" si="209"/>
        <v>0</v>
      </c>
      <c r="AN207" s="141">
        <f t="shared" si="209"/>
        <v>0</v>
      </c>
      <c r="AO207" s="141">
        <f t="shared" si="209"/>
        <v>0</v>
      </c>
    </row>
    <row r="208" spans="1:41" s="138" customFormat="1" x14ac:dyDescent="0.25">
      <c r="A208" s="147" t="s">
        <v>356</v>
      </c>
      <c r="B208" s="134" t="s">
        <v>357</v>
      </c>
      <c r="C208" s="136">
        <f t="shared" ref="C208" si="210">D208+Y208+AE208+AJ208</f>
        <v>680000000</v>
      </c>
      <c r="D208" s="136">
        <f t="shared" ref="D208" si="211">SUM(E208:X208)</f>
        <v>0</v>
      </c>
      <c r="E208" s="135">
        <v>0</v>
      </c>
      <c r="F208" s="136">
        <v>0</v>
      </c>
      <c r="G208" s="136">
        <v>0</v>
      </c>
      <c r="H208" s="136">
        <v>0</v>
      </c>
      <c r="I208" s="136">
        <v>0</v>
      </c>
      <c r="J208" s="136">
        <v>0</v>
      </c>
      <c r="K208" s="136">
        <v>0</v>
      </c>
      <c r="L208" s="136">
        <v>0</v>
      </c>
      <c r="M208" s="136">
        <v>0</v>
      </c>
      <c r="N208" s="136">
        <v>0</v>
      </c>
      <c r="O208" s="136">
        <v>0</v>
      </c>
      <c r="P208" s="136">
        <v>0</v>
      </c>
      <c r="Q208" s="136">
        <v>0</v>
      </c>
      <c r="R208" s="136">
        <v>0</v>
      </c>
      <c r="S208" s="136">
        <v>0</v>
      </c>
      <c r="T208" s="136">
        <v>0</v>
      </c>
      <c r="U208" s="136">
        <v>0</v>
      </c>
      <c r="V208" s="136">
        <v>0</v>
      </c>
      <c r="W208" s="136">
        <v>0</v>
      </c>
      <c r="X208" s="136">
        <v>0</v>
      </c>
      <c r="Y208" s="136">
        <f t="shared" ref="Y208" si="212">SUM(Z208:AD208)</f>
        <v>0</v>
      </c>
      <c r="Z208" s="136">
        <v>0</v>
      </c>
      <c r="AA208" s="136">
        <v>0</v>
      </c>
      <c r="AB208" s="136">
        <v>0</v>
      </c>
      <c r="AC208" s="136">
        <v>0</v>
      </c>
      <c r="AD208" s="136">
        <v>0</v>
      </c>
      <c r="AE208" s="136">
        <f t="shared" ref="AE208" si="213">SUM(AF208:AI208)</f>
        <v>680000000</v>
      </c>
      <c r="AF208" s="136">
        <v>0</v>
      </c>
      <c r="AG208" s="136">
        <v>0</v>
      </c>
      <c r="AH208" s="136">
        <v>0</v>
      </c>
      <c r="AI208" s="136">
        <v>680000000</v>
      </c>
      <c r="AJ208" s="137">
        <f t="shared" ref="AJ208" si="214">SUM(AK208+AL208)</f>
        <v>0</v>
      </c>
      <c r="AK208" s="136">
        <v>0</v>
      </c>
      <c r="AL208" s="136">
        <f t="shared" ref="AL208" si="215">SUM(AM208:AO208)</f>
        <v>0</v>
      </c>
      <c r="AM208" s="135">
        <v>0</v>
      </c>
      <c r="AN208" s="136">
        <v>0</v>
      </c>
      <c r="AO208" s="136">
        <v>0</v>
      </c>
    </row>
    <row r="209" spans="1:41" s="138" customFormat="1" x14ac:dyDescent="0.25">
      <c r="A209" s="143"/>
      <c r="B209" s="144"/>
      <c r="C209" s="135"/>
      <c r="D209" s="136"/>
      <c r="E209" s="135"/>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7"/>
      <c r="AK209" s="136"/>
      <c r="AL209" s="136"/>
      <c r="AM209" s="135"/>
      <c r="AN209" s="136"/>
      <c r="AO209" s="136"/>
    </row>
    <row r="210" spans="1:41" s="138" customFormat="1" x14ac:dyDescent="0.25">
      <c r="A210" s="157" t="s">
        <v>358</v>
      </c>
      <c r="B210" s="139" t="s">
        <v>359</v>
      </c>
      <c r="C210" s="140">
        <f>SUM(C211)</f>
        <v>1085533224</v>
      </c>
      <c r="D210" s="141">
        <f t="shared" ref="D210:AO210" si="216">SUM(D211)</f>
        <v>556328314</v>
      </c>
      <c r="E210" s="140">
        <f t="shared" si="216"/>
        <v>0</v>
      </c>
      <c r="F210" s="141">
        <f t="shared" si="216"/>
        <v>3341184</v>
      </c>
      <c r="G210" s="141">
        <f t="shared" si="216"/>
        <v>0</v>
      </c>
      <c r="H210" s="141">
        <f t="shared" si="216"/>
        <v>0</v>
      </c>
      <c r="I210" s="141">
        <f t="shared" si="216"/>
        <v>380278130</v>
      </c>
      <c r="J210" s="141">
        <f t="shared" si="216"/>
        <v>0</v>
      </c>
      <c r="K210" s="141">
        <f t="shared" si="216"/>
        <v>0</v>
      </c>
      <c r="L210" s="141">
        <f t="shared" si="216"/>
        <v>0</v>
      </c>
      <c r="M210" s="141">
        <f t="shared" si="216"/>
        <v>0</v>
      </c>
      <c r="N210" s="141">
        <f t="shared" si="216"/>
        <v>0</v>
      </c>
      <c r="O210" s="141">
        <f t="shared" si="216"/>
        <v>0</v>
      </c>
      <c r="P210" s="141">
        <f t="shared" si="216"/>
        <v>22709000</v>
      </c>
      <c r="Q210" s="141">
        <f t="shared" si="216"/>
        <v>0</v>
      </c>
      <c r="R210" s="141">
        <f t="shared" si="216"/>
        <v>0</v>
      </c>
      <c r="S210" s="141">
        <f t="shared" si="216"/>
        <v>150000000</v>
      </c>
      <c r="T210" s="141">
        <f t="shared" si="216"/>
        <v>0</v>
      </c>
      <c r="U210" s="141">
        <f t="shared" si="216"/>
        <v>0</v>
      </c>
      <c r="V210" s="141">
        <f t="shared" si="216"/>
        <v>0</v>
      </c>
      <c r="W210" s="141">
        <f t="shared" si="216"/>
        <v>0</v>
      </c>
      <c r="X210" s="141">
        <f t="shared" si="216"/>
        <v>0</v>
      </c>
      <c r="Y210" s="141">
        <f t="shared" si="216"/>
        <v>19900000</v>
      </c>
      <c r="Z210" s="141">
        <f t="shared" si="216"/>
        <v>1000000</v>
      </c>
      <c r="AA210" s="141">
        <f t="shared" si="216"/>
        <v>500000</v>
      </c>
      <c r="AB210" s="141">
        <f t="shared" si="216"/>
        <v>12800000</v>
      </c>
      <c r="AC210" s="141">
        <f t="shared" si="216"/>
        <v>4000000</v>
      </c>
      <c r="AD210" s="141">
        <f t="shared" si="216"/>
        <v>1600000</v>
      </c>
      <c r="AE210" s="141">
        <f t="shared" si="216"/>
        <v>0</v>
      </c>
      <c r="AF210" s="141">
        <f t="shared" si="216"/>
        <v>0</v>
      </c>
      <c r="AG210" s="141">
        <f t="shared" si="216"/>
        <v>0</v>
      </c>
      <c r="AH210" s="141">
        <f t="shared" si="216"/>
        <v>0</v>
      </c>
      <c r="AI210" s="141">
        <f t="shared" si="216"/>
        <v>0</v>
      </c>
      <c r="AJ210" s="142">
        <f t="shared" si="216"/>
        <v>509304910</v>
      </c>
      <c r="AK210" s="141">
        <f t="shared" si="216"/>
        <v>509304910</v>
      </c>
      <c r="AL210" s="141">
        <f t="shared" si="216"/>
        <v>0</v>
      </c>
      <c r="AM210" s="140">
        <f t="shared" si="216"/>
        <v>0</v>
      </c>
      <c r="AN210" s="141">
        <f t="shared" si="216"/>
        <v>0</v>
      </c>
      <c r="AO210" s="141">
        <f t="shared" si="216"/>
        <v>0</v>
      </c>
    </row>
    <row r="211" spans="1:41" s="138" customFormat="1" x14ac:dyDescent="0.25">
      <c r="A211" s="147" t="s">
        <v>360</v>
      </c>
      <c r="B211" s="166" t="s">
        <v>361</v>
      </c>
      <c r="C211" s="135">
        <f t="shared" ref="C211" si="217">D211+Y211+AE211+AJ211</f>
        <v>1085533224</v>
      </c>
      <c r="D211" s="136">
        <f t="shared" ref="D211" si="218">SUM(E211:X211)</f>
        <v>556328314</v>
      </c>
      <c r="E211" s="135">
        <v>0</v>
      </c>
      <c r="F211" s="136">
        <v>3341184</v>
      </c>
      <c r="G211" s="136">
        <v>0</v>
      </c>
      <c r="H211" s="136">
        <v>0</v>
      </c>
      <c r="I211" s="136">
        <f>(706172540.92-16589500.92)-'[1]Costeo SAP 2024'!O41-'[1]Costeo SAP 2024'!O43-'[1]Costeo SAP 2024'!O42</f>
        <v>380278130</v>
      </c>
      <c r="J211" s="136">
        <v>0</v>
      </c>
      <c r="K211" s="136">
        <v>0</v>
      </c>
      <c r="L211" s="136">
        <v>0</v>
      </c>
      <c r="M211" s="136">
        <v>0</v>
      </c>
      <c r="N211" s="136">
        <v>0</v>
      </c>
      <c r="O211" s="136">
        <v>0</v>
      </c>
      <c r="P211" s="136">
        <v>22709000</v>
      </c>
      <c r="Q211" s="136">
        <v>0</v>
      </c>
      <c r="R211" s="136">
        <v>0</v>
      </c>
      <c r="S211" s="136">
        <v>150000000</v>
      </c>
      <c r="T211" s="136">
        <v>0</v>
      </c>
      <c r="U211" s="136">
        <v>0</v>
      </c>
      <c r="V211" s="136">
        <v>0</v>
      </c>
      <c r="W211" s="136">
        <v>0</v>
      </c>
      <c r="X211" s="136">
        <v>0</v>
      </c>
      <c r="Y211" s="136">
        <f t="shared" ref="Y211" si="219">SUM(Z211:AD211)</f>
        <v>19900000</v>
      </c>
      <c r="Z211" s="136">
        <v>1000000</v>
      </c>
      <c r="AA211" s="136">
        <v>500000</v>
      </c>
      <c r="AB211" s="136">
        <v>12800000</v>
      </c>
      <c r="AC211" s="136">
        <v>4000000</v>
      </c>
      <c r="AD211" s="136">
        <v>1600000</v>
      </c>
      <c r="AE211" s="136">
        <f t="shared" ref="AE211" si="220">SUM(AF211:AI211)</f>
        <v>0</v>
      </c>
      <c r="AF211" s="136">
        <v>0</v>
      </c>
      <c r="AG211" s="136">
        <v>0</v>
      </c>
      <c r="AH211" s="136">
        <v>0</v>
      </c>
      <c r="AI211" s="136">
        <v>0</v>
      </c>
      <c r="AJ211" s="137">
        <f t="shared" ref="AJ211" si="221">SUM(AK211+AL211)</f>
        <v>509304910</v>
      </c>
      <c r="AK211" s="136">
        <f>200000000+'[1]Costeo SAP 2024'!O41+'[1]Costeo SAP 2024'!O43+'[1]Costeo SAP 2024'!O42</f>
        <v>509304910</v>
      </c>
      <c r="AL211" s="136">
        <f t="shared" ref="AL211" si="222">SUM(AM211:AO211)</f>
        <v>0</v>
      </c>
      <c r="AM211" s="135">
        <v>0</v>
      </c>
      <c r="AN211" s="136">
        <v>0</v>
      </c>
      <c r="AO211" s="136">
        <v>0</v>
      </c>
    </row>
    <row r="212" spans="1:41" s="138" customFormat="1" x14ac:dyDescent="0.25">
      <c r="A212" s="147"/>
      <c r="B212" s="166"/>
      <c r="C212" s="135"/>
      <c r="D212" s="136"/>
      <c r="E212" s="135"/>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7"/>
      <c r="AK212" s="136"/>
      <c r="AL212" s="136"/>
      <c r="AM212" s="135"/>
      <c r="AN212" s="136"/>
      <c r="AO212" s="136"/>
    </row>
    <row r="213" spans="1:41" s="138" customFormat="1" x14ac:dyDescent="0.25">
      <c r="A213" s="129">
        <v>6</v>
      </c>
      <c r="B213" s="130" t="s">
        <v>362</v>
      </c>
      <c r="C213" s="140">
        <f>C215+C218+C223+C227+C231</f>
        <v>871136538</v>
      </c>
      <c r="D213" s="141">
        <f t="shared" ref="D213:AO213" si="223">D215+D218+D223+D227+D231</f>
        <v>564789038</v>
      </c>
      <c r="E213" s="140">
        <f t="shared" si="223"/>
        <v>0</v>
      </c>
      <c r="F213" s="141">
        <f t="shared" si="223"/>
        <v>2000000</v>
      </c>
      <c r="G213" s="141">
        <f t="shared" si="223"/>
        <v>1500000</v>
      </c>
      <c r="H213" s="141">
        <f t="shared" si="223"/>
        <v>5125000</v>
      </c>
      <c r="I213" s="141">
        <f t="shared" si="223"/>
        <v>3000000</v>
      </c>
      <c r="J213" s="141">
        <f t="shared" si="223"/>
        <v>500000</v>
      </c>
      <c r="K213" s="141">
        <f t="shared" si="223"/>
        <v>600000</v>
      </c>
      <c r="L213" s="141">
        <f t="shared" si="223"/>
        <v>1500000</v>
      </c>
      <c r="M213" s="141">
        <f t="shared" si="223"/>
        <v>152500000</v>
      </c>
      <c r="N213" s="141">
        <f t="shared" si="223"/>
        <v>40700000</v>
      </c>
      <c r="O213" s="141">
        <f t="shared" si="223"/>
        <v>2000000</v>
      </c>
      <c r="P213" s="141">
        <f t="shared" si="223"/>
        <v>312364038</v>
      </c>
      <c r="Q213" s="141">
        <f t="shared" si="223"/>
        <v>500000</v>
      </c>
      <c r="R213" s="141">
        <f t="shared" si="223"/>
        <v>1000000</v>
      </c>
      <c r="S213" s="141">
        <f t="shared" si="223"/>
        <v>1000000</v>
      </c>
      <c r="T213" s="141">
        <f t="shared" si="223"/>
        <v>36000000</v>
      </c>
      <c r="U213" s="141">
        <f t="shared" si="223"/>
        <v>1500000</v>
      </c>
      <c r="V213" s="141">
        <f t="shared" si="223"/>
        <v>1000000</v>
      </c>
      <c r="W213" s="141">
        <f t="shared" si="223"/>
        <v>1000000</v>
      </c>
      <c r="X213" s="141">
        <f t="shared" si="223"/>
        <v>1000000</v>
      </c>
      <c r="Y213" s="141">
        <f t="shared" si="223"/>
        <v>8500000</v>
      </c>
      <c r="Z213" s="141">
        <f t="shared" si="223"/>
        <v>1000000</v>
      </c>
      <c r="AA213" s="141">
        <f t="shared" si="223"/>
        <v>1500000</v>
      </c>
      <c r="AB213" s="141">
        <f t="shared" si="223"/>
        <v>2500000</v>
      </c>
      <c r="AC213" s="141">
        <f t="shared" si="223"/>
        <v>2500000</v>
      </c>
      <c r="AD213" s="141">
        <f t="shared" si="223"/>
        <v>1000000</v>
      </c>
      <c r="AE213" s="141">
        <f t="shared" si="223"/>
        <v>6500000</v>
      </c>
      <c r="AF213" s="141">
        <f t="shared" si="223"/>
        <v>1000000</v>
      </c>
      <c r="AG213" s="141">
        <f t="shared" si="223"/>
        <v>2000000</v>
      </c>
      <c r="AH213" s="141">
        <f t="shared" si="223"/>
        <v>1000000</v>
      </c>
      <c r="AI213" s="141">
        <f t="shared" si="223"/>
        <v>2500000</v>
      </c>
      <c r="AJ213" s="142">
        <f t="shared" si="223"/>
        <v>291347500</v>
      </c>
      <c r="AK213" s="141">
        <f t="shared" si="223"/>
        <v>285747500</v>
      </c>
      <c r="AL213" s="141">
        <f t="shared" si="223"/>
        <v>5600000</v>
      </c>
      <c r="AM213" s="140">
        <f t="shared" si="223"/>
        <v>600000</v>
      </c>
      <c r="AN213" s="141">
        <f t="shared" si="223"/>
        <v>1500000</v>
      </c>
      <c r="AO213" s="141">
        <f t="shared" si="223"/>
        <v>3500000</v>
      </c>
    </row>
    <row r="214" spans="1:41" s="138" customFormat="1" x14ac:dyDescent="0.25">
      <c r="A214" s="129"/>
      <c r="B214" s="130"/>
      <c r="C214" s="135"/>
      <c r="D214" s="136"/>
      <c r="E214" s="135"/>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7"/>
      <c r="AK214" s="136"/>
      <c r="AL214" s="136"/>
      <c r="AM214" s="135"/>
      <c r="AN214" s="136"/>
      <c r="AO214" s="136"/>
    </row>
    <row r="215" spans="1:41" s="138" customFormat="1" ht="26.4" x14ac:dyDescent="0.25">
      <c r="A215" s="157" t="s">
        <v>363</v>
      </c>
      <c r="B215" s="139" t="s">
        <v>364</v>
      </c>
      <c r="C215" s="140">
        <f>SUM(C216)</f>
        <v>40000000</v>
      </c>
      <c r="D215" s="141">
        <f t="shared" ref="D215:AO215" si="224">SUM(D216)</f>
        <v>40000000</v>
      </c>
      <c r="E215" s="140">
        <f t="shared" si="224"/>
        <v>0</v>
      </c>
      <c r="F215" s="141">
        <f t="shared" si="224"/>
        <v>0</v>
      </c>
      <c r="G215" s="141">
        <f t="shared" si="224"/>
        <v>0</v>
      </c>
      <c r="H215" s="141">
        <f t="shared" si="224"/>
        <v>0</v>
      </c>
      <c r="I215" s="141">
        <f t="shared" si="224"/>
        <v>0</v>
      </c>
      <c r="J215" s="141">
        <f t="shared" si="224"/>
        <v>0</v>
      </c>
      <c r="K215" s="141">
        <f t="shared" si="224"/>
        <v>0</v>
      </c>
      <c r="L215" s="141">
        <f t="shared" si="224"/>
        <v>0</v>
      </c>
      <c r="M215" s="141">
        <f t="shared" si="224"/>
        <v>0</v>
      </c>
      <c r="N215" s="141">
        <f t="shared" si="224"/>
        <v>40000000</v>
      </c>
      <c r="O215" s="141">
        <f t="shared" si="224"/>
        <v>0</v>
      </c>
      <c r="P215" s="141">
        <f t="shared" si="224"/>
        <v>0</v>
      </c>
      <c r="Q215" s="141">
        <f t="shared" si="224"/>
        <v>0</v>
      </c>
      <c r="R215" s="141">
        <f t="shared" si="224"/>
        <v>0</v>
      </c>
      <c r="S215" s="141">
        <f t="shared" si="224"/>
        <v>0</v>
      </c>
      <c r="T215" s="141">
        <f t="shared" si="224"/>
        <v>0</v>
      </c>
      <c r="U215" s="141">
        <f t="shared" si="224"/>
        <v>0</v>
      </c>
      <c r="V215" s="141">
        <f t="shared" si="224"/>
        <v>0</v>
      </c>
      <c r="W215" s="141">
        <f t="shared" si="224"/>
        <v>0</v>
      </c>
      <c r="X215" s="141">
        <f t="shared" si="224"/>
        <v>0</v>
      </c>
      <c r="Y215" s="141">
        <f t="shared" si="224"/>
        <v>0</v>
      </c>
      <c r="Z215" s="141">
        <f t="shared" si="224"/>
        <v>0</v>
      </c>
      <c r="AA215" s="141">
        <f t="shared" si="224"/>
        <v>0</v>
      </c>
      <c r="AB215" s="141">
        <f t="shared" si="224"/>
        <v>0</v>
      </c>
      <c r="AC215" s="141">
        <f t="shared" si="224"/>
        <v>0</v>
      </c>
      <c r="AD215" s="141">
        <f t="shared" si="224"/>
        <v>0</v>
      </c>
      <c r="AE215" s="141">
        <f t="shared" si="224"/>
        <v>0</v>
      </c>
      <c r="AF215" s="141">
        <f t="shared" si="224"/>
        <v>0</v>
      </c>
      <c r="AG215" s="141">
        <f t="shared" si="224"/>
        <v>0</v>
      </c>
      <c r="AH215" s="141">
        <f t="shared" si="224"/>
        <v>0</v>
      </c>
      <c r="AI215" s="141">
        <f t="shared" si="224"/>
        <v>0</v>
      </c>
      <c r="AJ215" s="142">
        <f t="shared" si="224"/>
        <v>0</v>
      </c>
      <c r="AK215" s="141">
        <f t="shared" si="224"/>
        <v>0</v>
      </c>
      <c r="AL215" s="141">
        <f t="shared" si="224"/>
        <v>0</v>
      </c>
      <c r="AM215" s="140">
        <f t="shared" si="224"/>
        <v>0</v>
      </c>
      <c r="AN215" s="141">
        <f t="shared" si="224"/>
        <v>0</v>
      </c>
      <c r="AO215" s="141">
        <f t="shared" si="224"/>
        <v>0</v>
      </c>
    </row>
    <row r="216" spans="1:41" s="138" customFormat="1" ht="26.4" x14ac:dyDescent="0.25">
      <c r="A216" s="147" t="s">
        <v>365</v>
      </c>
      <c r="B216" s="134" t="s">
        <v>366</v>
      </c>
      <c r="C216" s="135">
        <f t="shared" ref="C216" si="225">D216+Y216+AE216+AJ216</f>
        <v>40000000</v>
      </c>
      <c r="D216" s="136">
        <f t="shared" ref="D216" si="226">SUM(E216:X216)</f>
        <v>40000000</v>
      </c>
      <c r="E216" s="135">
        <v>0</v>
      </c>
      <c r="F216" s="136">
        <v>0</v>
      </c>
      <c r="G216" s="136">
        <v>0</v>
      </c>
      <c r="H216" s="136">
        <v>0</v>
      </c>
      <c r="I216" s="136">
        <v>0</v>
      </c>
      <c r="J216" s="136">
        <v>0</v>
      </c>
      <c r="K216" s="136">
        <v>0</v>
      </c>
      <c r="L216" s="136">
        <v>0</v>
      </c>
      <c r="M216" s="136">
        <v>0</v>
      </c>
      <c r="N216" s="136">
        <v>40000000</v>
      </c>
      <c r="O216" s="136">
        <v>0</v>
      </c>
      <c r="P216" s="136">
        <v>0</v>
      </c>
      <c r="Q216" s="136">
        <v>0</v>
      </c>
      <c r="R216" s="136">
        <v>0</v>
      </c>
      <c r="S216" s="136">
        <v>0</v>
      </c>
      <c r="T216" s="136">
        <v>0</v>
      </c>
      <c r="U216" s="136">
        <v>0</v>
      </c>
      <c r="V216" s="136">
        <v>0</v>
      </c>
      <c r="W216" s="136">
        <v>0</v>
      </c>
      <c r="X216" s="136">
        <v>0</v>
      </c>
      <c r="Y216" s="136">
        <f t="shared" ref="Y216" si="227">SUM(Z216:AD216)</f>
        <v>0</v>
      </c>
      <c r="Z216" s="136">
        <v>0</v>
      </c>
      <c r="AA216" s="136">
        <v>0</v>
      </c>
      <c r="AB216" s="136">
        <v>0</v>
      </c>
      <c r="AC216" s="136">
        <v>0</v>
      </c>
      <c r="AD216" s="136">
        <v>0</v>
      </c>
      <c r="AE216" s="136">
        <f t="shared" ref="AE216" si="228">SUM(AF216:AI216)</f>
        <v>0</v>
      </c>
      <c r="AF216" s="136">
        <v>0</v>
      </c>
      <c r="AG216" s="136">
        <v>0</v>
      </c>
      <c r="AH216" s="136">
        <v>0</v>
      </c>
      <c r="AI216" s="136">
        <v>0</v>
      </c>
      <c r="AJ216" s="137">
        <f t="shared" ref="AJ216" si="229">SUM(AK216+AL216)</f>
        <v>0</v>
      </c>
      <c r="AK216" s="136">
        <v>0</v>
      </c>
      <c r="AL216" s="136">
        <f t="shared" ref="AL216" si="230">SUM(AM216:AO216)</f>
        <v>0</v>
      </c>
      <c r="AM216" s="135">
        <v>0</v>
      </c>
      <c r="AN216" s="136">
        <v>0</v>
      </c>
      <c r="AO216" s="136">
        <v>0</v>
      </c>
    </row>
    <row r="217" spans="1:41" s="138" customFormat="1" x14ac:dyDescent="0.25">
      <c r="A217" s="147"/>
      <c r="B217" s="134"/>
      <c r="C217" s="135"/>
      <c r="D217" s="136"/>
      <c r="E217" s="135"/>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7"/>
      <c r="AK217" s="136"/>
      <c r="AL217" s="136"/>
      <c r="AM217" s="135"/>
      <c r="AN217" s="136"/>
      <c r="AO217" s="136"/>
    </row>
    <row r="218" spans="1:41" s="138" customFormat="1" x14ac:dyDescent="0.25">
      <c r="A218" s="157" t="s">
        <v>367</v>
      </c>
      <c r="B218" s="139" t="s">
        <v>368</v>
      </c>
      <c r="C218" s="140">
        <f>SUM(C219:C221)</f>
        <v>15700000</v>
      </c>
      <c r="D218" s="141">
        <f t="shared" ref="D218:AO218" si="231">SUM(D219:D221)</f>
        <v>14325000</v>
      </c>
      <c r="E218" s="140">
        <f t="shared" si="231"/>
        <v>0</v>
      </c>
      <c r="F218" s="141">
        <f t="shared" si="231"/>
        <v>0</v>
      </c>
      <c r="G218" s="141">
        <f t="shared" si="231"/>
        <v>0</v>
      </c>
      <c r="H218" s="141">
        <f t="shared" si="231"/>
        <v>4125000</v>
      </c>
      <c r="I218" s="141">
        <f t="shared" si="231"/>
        <v>0</v>
      </c>
      <c r="J218" s="141">
        <f t="shared" si="231"/>
        <v>0</v>
      </c>
      <c r="K218" s="141">
        <f t="shared" si="231"/>
        <v>0</v>
      </c>
      <c r="L218" s="141">
        <f t="shared" si="231"/>
        <v>0</v>
      </c>
      <c r="M218" s="141">
        <f t="shared" si="231"/>
        <v>0</v>
      </c>
      <c r="N218" s="141">
        <f t="shared" si="231"/>
        <v>0</v>
      </c>
      <c r="O218" s="141">
        <f t="shared" si="231"/>
        <v>0</v>
      </c>
      <c r="P218" s="141">
        <f t="shared" si="231"/>
        <v>10200000</v>
      </c>
      <c r="Q218" s="141">
        <f t="shared" si="231"/>
        <v>0</v>
      </c>
      <c r="R218" s="141">
        <f t="shared" si="231"/>
        <v>0</v>
      </c>
      <c r="S218" s="141">
        <f t="shared" si="231"/>
        <v>0</v>
      </c>
      <c r="T218" s="141">
        <f t="shared" si="231"/>
        <v>0</v>
      </c>
      <c r="U218" s="141">
        <f t="shared" si="231"/>
        <v>0</v>
      </c>
      <c r="V218" s="141">
        <f t="shared" si="231"/>
        <v>0</v>
      </c>
      <c r="W218" s="141">
        <f t="shared" si="231"/>
        <v>0</v>
      </c>
      <c r="X218" s="141">
        <f t="shared" si="231"/>
        <v>0</v>
      </c>
      <c r="Y218" s="141">
        <f t="shared" si="231"/>
        <v>0</v>
      </c>
      <c r="Z218" s="141">
        <f t="shared" si="231"/>
        <v>0</v>
      </c>
      <c r="AA218" s="141">
        <f t="shared" si="231"/>
        <v>0</v>
      </c>
      <c r="AB218" s="141">
        <f t="shared" si="231"/>
        <v>0</v>
      </c>
      <c r="AC218" s="141">
        <f t="shared" si="231"/>
        <v>0</v>
      </c>
      <c r="AD218" s="141">
        <f t="shared" si="231"/>
        <v>0</v>
      </c>
      <c r="AE218" s="141">
        <f t="shared" si="231"/>
        <v>0</v>
      </c>
      <c r="AF218" s="141">
        <f t="shared" si="231"/>
        <v>0</v>
      </c>
      <c r="AG218" s="141">
        <f t="shared" si="231"/>
        <v>0</v>
      </c>
      <c r="AH218" s="141">
        <f t="shared" si="231"/>
        <v>0</v>
      </c>
      <c r="AI218" s="141">
        <f t="shared" si="231"/>
        <v>0</v>
      </c>
      <c r="AJ218" s="142">
        <f t="shared" si="231"/>
        <v>1375000</v>
      </c>
      <c r="AK218" s="141">
        <f t="shared" si="231"/>
        <v>1375000</v>
      </c>
      <c r="AL218" s="141">
        <f t="shared" si="231"/>
        <v>0</v>
      </c>
      <c r="AM218" s="140">
        <f t="shared" si="231"/>
        <v>0</v>
      </c>
      <c r="AN218" s="141">
        <f t="shared" si="231"/>
        <v>0</v>
      </c>
      <c r="AO218" s="141">
        <f t="shared" si="231"/>
        <v>0</v>
      </c>
    </row>
    <row r="219" spans="1:41" s="138" customFormat="1" x14ac:dyDescent="0.25">
      <c r="A219" s="147" t="s">
        <v>369</v>
      </c>
      <c r="B219" s="134" t="s">
        <v>370</v>
      </c>
      <c r="C219" s="135">
        <f t="shared" ref="C219:C221" si="232">D219+Y219+AE219+AJ219</f>
        <v>10000000</v>
      </c>
      <c r="D219" s="136">
        <f t="shared" ref="D219:D221" si="233">SUM(E219:X219)</f>
        <v>10000000</v>
      </c>
      <c r="E219" s="135">
        <v>0</v>
      </c>
      <c r="F219" s="136">
        <v>0</v>
      </c>
      <c r="G219" s="136">
        <v>0</v>
      </c>
      <c r="H219" s="136">
        <v>0</v>
      </c>
      <c r="I219" s="136">
        <v>0</v>
      </c>
      <c r="J219" s="136">
        <v>0</v>
      </c>
      <c r="K219" s="136">
        <v>0</v>
      </c>
      <c r="L219" s="136">
        <v>0</v>
      </c>
      <c r="M219" s="136">
        <v>0</v>
      </c>
      <c r="N219" s="136">
        <v>0</v>
      </c>
      <c r="O219" s="136">
        <v>0</v>
      </c>
      <c r="P219" s="136">
        <v>10000000</v>
      </c>
      <c r="Q219" s="136">
        <v>0</v>
      </c>
      <c r="R219" s="136">
        <v>0</v>
      </c>
      <c r="S219" s="136">
        <v>0</v>
      </c>
      <c r="T219" s="136">
        <v>0</v>
      </c>
      <c r="U219" s="136">
        <v>0</v>
      </c>
      <c r="V219" s="136">
        <v>0</v>
      </c>
      <c r="W219" s="136">
        <v>0</v>
      </c>
      <c r="X219" s="136">
        <v>0</v>
      </c>
      <c r="Y219" s="136">
        <f t="shared" ref="Y219:Y221" si="234">SUM(Z219:AD219)</f>
        <v>0</v>
      </c>
      <c r="Z219" s="136">
        <v>0</v>
      </c>
      <c r="AA219" s="136">
        <v>0</v>
      </c>
      <c r="AB219" s="136">
        <v>0</v>
      </c>
      <c r="AC219" s="136">
        <v>0</v>
      </c>
      <c r="AD219" s="136">
        <v>0</v>
      </c>
      <c r="AE219" s="136">
        <f t="shared" ref="AE219:AE221" si="235">SUM(AF219:AI219)</f>
        <v>0</v>
      </c>
      <c r="AF219" s="136">
        <v>0</v>
      </c>
      <c r="AG219" s="136">
        <v>0</v>
      </c>
      <c r="AH219" s="136">
        <v>0</v>
      </c>
      <c r="AI219" s="136">
        <v>0</v>
      </c>
      <c r="AJ219" s="137">
        <f t="shared" ref="AJ219:AJ221" si="236">SUM(AK219+AL219)</f>
        <v>0</v>
      </c>
      <c r="AK219" s="136">
        <v>0</v>
      </c>
      <c r="AL219" s="136">
        <f t="shared" ref="AL219:AL221" si="237">SUM(AM219:AO219)</f>
        <v>0</v>
      </c>
      <c r="AM219" s="135">
        <v>0</v>
      </c>
      <c r="AN219" s="136">
        <v>0</v>
      </c>
      <c r="AO219" s="136">
        <v>0</v>
      </c>
    </row>
    <row r="220" spans="1:41" s="138" customFormat="1" x14ac:dyDescent="0.25">
      <c r="A220" s="147" t="s">
        <v>371</v>
      </c>
      <c r="B220" s="134" t="s">
        <v>372</v>
      </c>
      <c r="C220" s="135">
        <f t="shared" si="232"/>
        <v>5500000</v>
      </c>
      <c r="D220" s="136">
        <f t="shared" si="233"/>
        <v>4125000</v>
      </c>
      <c r="E220" s="135">
        <v>0</v>
      </c>
      <c r="F220" s="136">
        <v>0</v>
      </c>
      <c r="G220" s="136">
        <v>0</v>
      </c>
      <c r="H220" s="136">
        <f>5500000-'[1]Costeo SAP 2024'!O44</f>
        <v>4125000</v>
      </c>
      <c r="I220" s="136">
        <v>0</v>
      </c>
      <c r="J220" s="136">
        <v>0</v>
      </c>
      <c r="K220" s="136">
        <v>0</v>
      </c>
      <c r="L220" s="136">
        <v>0</v>
      </c>
      <c r="M220" s="136">
        <v>0</v>
      </c>
      <c r="N220" s="136">
        <v>0</v>
      </c>
      <c r="O220" s="136">
        <v>0</v>
      </c>
      <c r="P220" s="136">
        <v>0</v>
      </c>
      <c r="Q220" s="136">
        <v>0</v>
      </c>
      <c r="R220" s="136">
        <v>0</v>
      </c>
      <c r="S220" s="136">
        <v>0</v>
      </c>
      <c r="T220" s="136">
        <v>0</v>
      </c>
      <c r="U220" s="136">
        <v>0</v>
      </c>
      <c r="V220" s="136">
        <v>0</v>
      </c>
      <c r="W220" s="136">
        <v>0</v>
      </c>
      <c r="X220" s="136">
        <v>0</v>
      </c>
      <c r="Y220" s="136">
        <f t="shared" si="234"/>
        <v>0</v>
      </c>
      <c r="Z220" s="136">
        <v>0</v>
      </c>
      <c r="AA220" s="136">
        <v>0</v>
      </c>
      <c r="AB220" s="136">
        <v>0</v>
      </c>
      <c r="AC220" s="136">
        <v>0</v>
      </c>
      <c r="AD220" s="136">
        <v>0</v>
      </c>
      <c r="AE220" s="136">
        <f t="shared" si="235"/>
        <v>0</v>
      </c>
      <c r="AF220" s="136">
        <v>0</v>
      </c>
      <c r="AG220" s="136">
        <v>0</v>
      </c>
      <c r="AH220" s="136">
        <v>0</v>
      </c>
      <c r="AI220" s="136">
        <v>0</v>
      </c>
      <c r="AJ220" s="137">
        <f t="shared" si="236"/>
        <v>1375000</v>
      </c>
      <c r="AK220" s="136">
        <f>+'[1]Costeo SAP 2024'!O44</f>
        <v>1375000</v>
      </c>
      <c r="AL220" s="136">
        <f t="shared" si="237"/>
        <v>0</v>
      </c>
      <c r="AM220" s="135">
        <v>0</v>
      </c>
      <c r="AN220" s="136">
        <v>0</v>
      </c>
      <c r="AO220" s="136">
        <v>0</v>
      </c>
    </row>
    <row r="221" spans="1:41" s="138" customFormat="1" x14ac:dyDescent="0.25">
      <c r="A221" s="147" t="s">
        <v>373</v>
      </c>
      <c r="B221" s="134" t="s">
        <v>374</v>
      </c>
      <c r="C221" s="135">
        <f t="shared" si="232"/>
        <v>200000</v>
      </c>
      <c r="D221" s="136">
        <f t="shared" si="233"/>
        <v>200000</v>
      </c>
      <c r="E221" s="135">
        <v>0</v>
      </c>
      <c r="F221" s="136">
        <v>0</v>
      </c>
      <c r="G221" s="136">
        <v>0</v>
      </c>
      <c r="H221" s="136">
        <v>0</v>
      </c>
      <c r="I221" s="136">
        <v>0</v>
      </c>
      <c r="J221" s="136">
        <v>0</v>
      </c>
      <c r="K221" s="136">
        <v>0</v>
      </c>
      <c r="L221" s="136">
        <v>0</v>
      </c>
      <c r="M221" s="136">
        <v>0</v>
      </c>
      <c r="N221" s="136">
        <v>0</v>
      </c>
      <c r="O221" s="136">
        <v>0</v>
      </c>
      <c r="P221" s="136">
        <v>200000</v>
      </c>
      <c r="Q221" s="136">
        <v>0</v>
      </c>
      <c r="R221" s="136">
        <v>0</v>
      </c>
      <c r="S221" s="136">
        <v>0</v>
      </c>
      <c r="T221" s="136">
        <v>0</v>
      </c>
      <c r="U221" s="136">
        <v>0</v>
      </c>
      <c r="V221" s="136">
        <v>0</v>
      </c>
      <c r="W221" s="136">
        <v>0</v>
      </c>
      <c r="X221" s="136">
        <v>0</v>
      </c>
      <c r="Y221" s="136">
        <f t="shared" si="234"/>
        <v>0</v>
      </c>
      <c r="Z221" s="136">
        <v>0</v>
      </c>
      <c r="AA221" s="136">
        <v>0</v>
      </c>
      <c r="AB221" s="136">
        <v>0</v>
      </c>
      <c r="AC221" s="136">
        <v>0</v>
      </c>
      <c r="AD221" s="136">
        <v>0</v>
      </c>
      <c r="AE221" s="136">
        <f t="shared" si="235"/>
        <v>0</v>
      </c>
      <c r="AF221" s="136">
        <v>0</v>
      </c>
      <c r="AG221" s="136">
        <v>0</v>
      </c>
      <c r="AH221" s="136">
        <v>0</v>
      </c>
      <c r="AI221" s="136">
        <v>0</v>
      </c>
      <c r="AJ221" s="137">
        <f t="shared" si="236"/>
        <v>0</v>
      </c>
      <c r="AK221" s="136">
        <v>0</v>
      </c>
      <c r="AL221" s="136">
        <f t="shared" si="237"/>
        <v>0</v>
      </c>
      <c r="AM221" s="135">
        <v>0</v>
      </c>
      <c r="AN221" s="136">
        <v>0</v>
      </c>
      <c r="AO221" s="136">
        <v>0</v>
      </c>
    </row>
    <row r="222" spans="1:41" s="138" customFormat="1" x14ac:dyDescent="0.25">
      <c r="A222" s="143"/>
      <c r="B222" s="144"/>
      <c r="C222" s="135"/>
      <c r="D222" s="136"/>
      <c r="E222" s="135"/>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6"/>
      <c r="AD222" s="136"/>
      <c r="AE222" s="136"/>
      <c r="AF222" s="136"/>
      <c r="AG222" s="136"/>
      <c r="AH222" s="136"/>
      <c r="AI222" s="136"/>
      <c r="AJ222" s="137"/>
      <c r="AK222" s="136"/>
      <c r="AL222" s="136"/>
      <c r="AM222" s="135"/>
      <c r="AN222" s="136"/>
      <c r="AO222" s="136"/>
    </row>
    <row r="223" spans="1:41" s="138" customFormat="1" x14ac:dyDescent="0.25">
      <c r="A223" s="157" t="s">
        <v>375</v>
      </c>
      <c r="B223" s="139" t="s">
        <v>376</v>
      </c>
      <c r="C223" s="140">
        <f>SUM(C224:C225)</f>
        <v>151504655</v>
      </c>
      <c r="D223" s="141">
        <f t="shared" ref="D223:AO223" si="238">SUM(D224:D225)</f>
        <v>101532155</v>
      </c>
      <c r="E223" s="140">
        <f t="shared" si="238"/>
        <v>0</v>
      </c>
      <c r="F223" s="141">
        <f t="shared" si="238"/>
        <v>2000000</v>
      </c>
      <c r="G223" s="141">
        <f t="shared" si="238"/>
        <v>1500000</v>
      </c>
      <c r="H223" s="141">
        <f t="shared" si="238"/>
        <v>1000000</v>
      </c>
      <c r="I223" s="141">
        <f t="shared" si="238"/>
        <v>3000000</v>
      </c>
      <c r="J223" s="141">
        <f t="shared" si="238"/>
        <v>500000</v>
      </c>
      <c r="K223" s="141">
        <f t="shared" si="238"/>
        <v>600000</v>
      </c>
      <c r="L223" s="141">
        <f t="shared" si="238"/>
        <v>1500000</v>
      </c>
      <c r="M223" s="141">
        <f t="shared" si="238"/>
        <v>2500000</v>
      </c>
      <c r="N223" s="141">
        <f t="shared" si="238"/>
        <v>700000</v>
      </c>
      <c r="O223" s="141">
        <f t="shared" si="238"/>
        <v>2000000</v>
      </c>
      <c r="P223" s="141">
        <f t="shared" si="238"/>
        <v>78232155</v>
      </c>
      <c r="Q223" s="141">
        <f t="shared" si="238"/>
        <v>500000</v>
      </c>
      <c r="R223" s="141">
        <f t="shared" si="238"/>
        <v>1000000</v>
      </c>
      <c r="S223" s="141">
        <f t="shared" si="238"/>
        <v>1000000</v>
      </c>
      <c r="T223" s="141">
        <f t="shared" si="238"/>
        <v>1000000</v>
      </c>
      <c r="U223" s="141">
        <f t="shared" si="238"/>
        <v>1500000</v>
      </c>
      <c r="V223" s="141">
        <f t="shared" si="238"/>
        <v>1000000</v>
      </c>
      <c r="W223" s="141">
        <f t="shared" si="238"/>
        <v>1000000</v>
      </c>
      <c r="X223" s="141">
        <f t="shared" si="238"/>
        <v>1000000</v>
      </c>
      <c r="Y223" s="141">
        <f t="shared" si="238"/>
        <v>8500000</v>
      </c>
      <c r="Z223" s="141">
        <f t="shared" si="238"/>
        <v>1000000</v>
      </c>
      <c r="AA223" s="141">
        <f t="shared" si="238"/>
        <v>1500000</v>
      </c>
      <c r="AB223" s="141">
        <f t="shared" si="238"/>
        <v>2500000</v>
      </c>
      <c r="AC223" s="141">
        <f t="shared" si="238"/>
        <v>2500000</v>
      </c>
      <c r="AD223" s="141">
        <f t="shared" si="238"/>
        <v>1000000</v>
      </c>
      <c r="AE223" s="141">
        <f t="shared" si="238"/>
        <v>5500000</v>
      </c>
      <c r="AF223" s="141">
        <f t="shared" si="238"/>
        <v>1000000</v>
      </c>
      <c r="AG223" s="141">
        <f t="shared" si="238"/>
        <v>2000000</v>
      </c>
      <c r="AH223" s="141">
        <f t="shared" si="238"/>
        <v>1000000</v>
      </c>
      <c r="AI223" s="141">
        <f t="shared" si="238"/>
        <v>1500000</v>
      </c>
      <c r="AJ223" s="142">
        <f t="shared" si="238"/>
        <v>35972500</v>
      </c>
      <c r="AK223" s="141">
        <f t="shared" si="238"/>
        <v>32372500</v>
      </c>
      <c r="AL223" s="141">
        <f t="shared" si="238"/>
        <v>3600000</v>
      </c>
      <c r="AM223" s="140">
        <f t="shared" si="238"/>
        <v>600000</v>
      </c>
      <c r="AN223" s="141">
        <f t="shared" si="238"/>
        <v>1500000</v>
      </c>
      <c r="AO223" s="141">
        <f t="shared" si="238"/>
        <v>1500000</v>
      </c>
    </row>
    <row r="224" spans="1:41" s="138" customFormat="1" x14ac:dyDescent="0.25">
      <c r="A224" s="147" t="s">
        <v>377</v>
      </c>
      <c r="B224" s="134" t="s">
        <v>378</v>
      </c>
      <c r="C224" s="135">
        <f t="shared" ref="C224:C225" si="239">D224+Y224+AE224+AJ224</f>
        <v>103604655</v>
      </c>
      <c r="D224" s="136">
        <f t="shared" ref="D224:D225" si="240">SUM(E224:X224)</f>
        <v>77232155</v>
      </c>
      <c r="E224" s="135"/>
      <c r="F224" s="136"/>
      <c r="G224" s="136"/>
      <c r="H224" s="136"/>
      <c r="I224" s="136"/>
      <c r="J224" s="136"/>
      <c r="K224" s="136"/>
      <c r="L224" s="136"/>
      <c r="M224" s="136"/>
      <c r="N224" s="136"/>
      <c r="O224" s="136"/>
      <c r="P224" s="136">
        <v>77232155</v>
      </c>
      <c r="Q224" s="136"/>
      <c r="R224" s="136"/>
      <c r="S224" s="136"/>
      <c r="T224" s="136"/>
      <c r="U224" s="136"/>
      <c r="V224" s="136"/>
      <c r="W224" s="136"/>
      <c r="X224" s="136"/>
      <c r="Y224" s="136">
        <f t="shared" ref="Y224:Y225" si="241">SUM(Z224:AD224)</f>
        <v>0</v>
      </c>
      <c r="Z224" s="136"/>
      <c r="AA224" s="136"/>
      <c r="AB224" s="136"/>
      <c r="AC224" s="136"/>
      <c r="AD224" s="136"/>
      <c r="AE224" s="136">
        <f t="shared" ref="AE224:AE225" si="242">SUM(AF224:AI224)</f>
        <v>0</v>
      </c>
      <c r="AF224" s="136"/>
      <c r="AG224" s="136"/>
      <c r="AH224" s="136"/>
      <c r="AI224" s="136"/>
      <c r="AJ224" s="137">
        <f t="shared" ref="AJ224:AJ225" si="243">SUM(AK224+AL224)</f>
        <v>26372500</v>
      </c>
      <c r="AK224" s="136">
        <v>26372500</v>
      </c>
      <c r="AL224" s="136">
        <f t="shared" ref="AL224:AL225" si="244">SUM(AM224:AO224)</f>
        <v>0</v>
      </c>
      <c r="AM224" s="135"/>
      <c r="AN224" s="136"/>
      <c r="AO224" s="136"/>
    </row>
    <row r="225" spans="1:41" s="138" customFormat="1" x14ac:dyDescent="0.25">
      <c r="A225" s="147" t="s">
        <v>379</v>
      </c>
      <c r="B225" s="134" t="s">
        <v>380</v>
      </c>
      <c r="C225" s="135">
        <f t="shared" si="239"/>
        <v>47900000</v>
      </c>
      <c r="D225" s="136">
        <f t="shared" si="240"/>
        <v>24300000</v>
      </c>
      <c r="E225" s="135">
        <v>0</v>
      </c>
      <c r="F225" s="136">
        <v>2000000</v>
      </c>
      <c r="G225" s="136">
        <v>1500000</v>
      </c>
      <c r="H225" s="136">
        <v>1000000</v>
      </c>
      <c r="I225" s="136">
        <v>3000000</v>
      </c>
      <c r="J225" s="136">
        <v>500000</v>
      </c>
      <c r="K225" s="136">
        <v>600000</v>
      </c>
      <c r="L225" s="136">
        <v>1500000</v>
      </c>
      <c r="M225" s="136">
        <v>2500000</v>
      </c>
      <c r="N225" s="136">
        <v>700000</v>
      </c>
      <c r="O225" s="136">
        <v>2000000</v>
      </c>
      <c r="P225" s="136">
        <v>1000000</v>
      </c>
      <c r="Q225" s="136">
        <v>500000</v>
      </c>
      <c r="R225" s="136">
        <v>1000000</v>
      </c>
      <c r="S225" s="136">
        <v>1000000</v>
      </c>
      <c r="T225" s="136">
        <v>1000000</v>
      </c>
      <c r="U225" s="136">
        <v>1500000</v>
      </c>
      <c r="V225" s="136">
        <v>1000000</v>
      </c>
      <c r="W225" s="136">
        <v>1000000</v>
      </c>
      <c r="X225" s="136">
        <v>1000000</v>
      </c>
      <c r="Y225" s="136">
        <f t="shared" si="241"/>
        <v>8500000</v>
      </c>
      <c r="Z225" s="136">
        <v>1000000</v>
      </c>
      <c r="AA225" s="136">
        <v>1500000</v>
      </c>
      <c r="AB225" s="136">
        <v>2500000</v>
      </c>
      <c r="AC225" s="136">
        <v>2500000</v>
      </c>
      <c r="AD225" s="136">
        <v>1000000</v>
      </c>
      <c r="AE225" s="136">
        <f t="shared" si="242"/>
        <v>5500000</v>
      </c>
      <c r="AF225" s="136">
        <v>1000000</v>
      </c>
      <c r="AG225" s="136">
        <v>2000000</v>
      </c>
      <c r="AH225" s="136">
        <v>1000000</v>
      </c>
      <c r="AI225" s="136">
        <v>1500000</v>
      </c>
      <c r="AJ225" s="137">
        <f t="shared" si="243"/>
        <v>9600000</v>
      </c>
      <c r="AK225" s="136">
        <v>6000000</v>
      </c>
      <c r="AL225" s="136">
        <f t="shared" si="244"/>
        <v>3600000</v>
      </c>
      <c r="AM225" s="135">
        <v>600000</v>
      </c>
      <c r="AN225" s="136">
        <v>1500000</v>
      </c>
      <c r="AO225" s="136">
        <v>1500000</v>
      </c>
    </row>
    <row r="226" spans="1:41" s="138" customFormat="1" x14ac:dyDescent="0.25">
      <c r="A226" s="147"/>
      <c r="B226" s="134"/>
      <c r="C226" s="135"/>
      <c r="D226" s="136"/>
      <c r="E226" s="135"/>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c r="AI226" s="136"/>
      <c r="AJ226" s="137"/>
      <c r="AK226" s="136"/>
      <c r="AL226" s="136"/>
      <c r="AM226" s="135"/>
      <c r="AN226" s="136"/>
      <c r="AO226" s="136"/>
    </row>
    <row r="227" spans="1:41" s="138" customFormat="1" ht="26.4" x14ac:dyDescent="0.25">
      <c r="A227" s="157" t="s">
        <v>381</v>
      </c>
      <c r="B227" s="139" t="s">
        <v>382</v>
      </c>
      <c r="C227" s="140">
        <f>SUM(C228:C229)</f>
        <v>628931883</v>
      </c>
      <c r="D227" s="141">
        <f t="shared" ref="D227:AO227" si="245">SUM(D228:D229)</f>
        <v>373931883</v>
      </c>
      <c r="E227" s="140">
        <f t="shared" si="245"/>
        <v>0</v>
      </c>
      <c r="F227" s="141">
        <f t="shared" si="245"/>
        <v>0</v>
      </c>
      <c r="G227" s="141">
        <f t="shared" si="245"/>
        <v>0</v>
      </c>
      <c r="H227" s="141">
        <f t="shared" si="245"/>
        <v>0</v>
      </c>
      <c r="I227" s="141">
        <f t="shared" si="245"/>
        <v>0</v>
      </c>
      <c r="J227" s="141">
        <f t="shared" si="245"/>
        <v>0</v>
      </c>
      <c r="K227" s="141">
        <f t="shared" si="245"/>
        <v>0</v>
      </c>
      <c r="L227" s="141">
        <f t="shared" si="245"/>
        <v>0</v>
      </c>
      <c r="M227" s="141">
        <f t="shared" si="245"/>
        <v>150000000</v>
      </c>
      <c r="N227" s="141">
        <f t="shared" si="245"/>
        <v>0</v>
      </c>
      <c r="O227" s="141">
        <f t="shared" si="245"/>
        <v>0</v>
      </c>
      <c r="P227" s="141">
        <f t="shared" si="245"/>
        <v>223931883</v>
      </c>
      <c r="Q227" s="141">
        <f t="shared" si="245"/>
        <v>0</v>
      </c>
      <c r="R227" s="141">
        <f t="shared" si="245"/>
        <v>0</v>
      </c>
      <c r="S227" s="141">
        <f t="shared" si="245"/>
        <v>0</v>
      </c>
      <c r="T227" s="141">
        <f t="shared" si="245"/>
        <v>0</v>
      </c>
      <c r="U227" s="141">
        <f t="shared" si="245"/>
        <v>0</v>
      </c>
      <c r="V227" s="141">
        <f t="shared" si="245"/>
        <v>0</v>
      </c>
      <c r="W227" s="141">
        <f t="shared" si="245"/>
        <v>0</v>
      </c>
      <c r="X227" s="141">
        <f t="shared" si="245"/>
        <v>0</v>
      </c>
      <c r="Y227" s="141">
        <f t="shared" si="245"/>
        <v>0</v>
      </c>
      <c r="Z227" s="141">
        <f t="shared" si="245"/>
        <v>0</v>
      </c>
      <c r="AA227" s="141">
        <f t="shared" si="245"/>
        <v>0</v>
      </c>
      <c r="AB227" s="141">
        <f t="shared" si="245"/>
        <v>0</v>
      </c>
      <c r="AC227" s="141">
        <f t="shared" si="245"/>
        <v>0</v>
      </c>
      <c r="AD227" s="141">
        <f t="shared" si="245"/>
        <v>0</v>
      </c>
      <c r="AE227" s="141">
        <f t="shared" si="245"/>
        <v>1000000</v>
      </c>
      <c r="AF227" s="141">
        <f t="shared" si="245"/>
        <v>0</v>
      </c>
      <c r="AG227" s="141">
        <f t="shared" si="245"/>
        <v>0</v>
      </c>
      <c r="AH227" s="141">
        <f t="shared" si="245"/>
        <v>0</v>
      </c>
      <c r="AI227" s="141">
        <f t="shared" si="245"/>
        <v>1000000</v>
      </c>
      <c r="AJ227" s="142">
        <f t="shared" si="245"/>
        <v>254000000</v>
      </c>
      <c r="AK227" s="141">
        <f t="shared" si="245"/>
        <v>252000000</v>
      </c>
      <c r="AL227" s="141">
        <f t="shared" si="245"/>
        <v>2000000</v>
      </c>
      <c r="AM227" s="140">
        <f t="shared" si="245"/>
        <v>0</v>
      </c>
      <c r="AN227" s="141">
        <f t="shared" si="245"/>
        <v>0</v>
      </c>
      <c r="AO227" s="141">
        <f t="shared" si="245"/>
        <v>2000000</v>
      </c>
    </row>
    <row r="228" spans="1:41" s="138" customFormat="1" x14ac:dyDescent="0.25">
      <c r="A228" s="147" t="s">
        <v>383</v>
      </c>
      <c r="B228" s="134" t="s">
        <v>384</v>
      </c>
      <c r="C228" s="135">
        <f t="shared" ref="C228:C229" si="246">D228+Y228+AE228+AJ228</f>
        <v>623931883</v>
      </c>
      <c r="D228" s="136">
        <f t="shared" ref="D228:D229" si="247">SUM(E228:X228)</f>
        <v>373931883</v>
      </c>
      <c r="E228" s="135">
        <v>0</v>
      </c>
      <c r="F228" s="136">
        <v>0</v>
      </c>
      <c r="G228" s="136">
        <v>0</v>
      </c>
      <c r="H228" s="136">
        <v>0</v>
      </c>
      <c r="I228" s="136">
        <v>0</v>
      </c>
      <c r="J228" s="136">
        <v>0</v>
      </c>
      <c r="K228" s="136">
        <v>0</v>
      </c>
      <c r="L228" s="136">
        <v>0</v>
      </c>
      <c r="M228" s="136">
        <v>150000000</v>
      </c>
      <c r="N228" s="136">
        <v>0</v>
      </c>
      <c r="O228" s="136">
        <v>0</v>
      </c>
      <c r="P228" s="136">
        <f>224140282-224140282+223931883</f>
        <v>223931883</v>
      </c>
      <c r="Q228" s="136">
        <v>0</v>
      </c>
      <c r="R228" s="136">
        <v>0</v>
      </c>
      <c r="S228" s="136">
        <v>0</v>
      </c>
      <c r="T228" s="136">
        <v>0</v>
      </c>
      <c r="U228" s="136">
        <v>0</v>
      </c>
      <c r="V228" s="136">
        <v>0</v>
      </c>
      <c r="W228" s="136">
        <v>0</v>
      </c>
      <c r="X228" s="136">
        <v>0</v>
      </c>
      <c r="Y228" s="136">
        <f t="shared" ref="Y228:Y229" si="248">SUM(Z228:AD228)</f>
        <v>0</v>
      </c>
      <c r="Z228" s="136">
        <v>0</v>
      </c>
      <c r="AA228" s="136">
        <v>0</v>
      </c>
      <c r="AB228" s="136">
        <v>0</v>
      </c>
      <c r="AC228" s="136">
        <v>0</v>
      </c>
      <c r="AD228" s="136">
        <v>0</v>
      </c>
      <c r="AE228" s="136">
        <f t="shared" ref="AE228:AE229" si="249">SUM(AF228:AI228)</f>
        <v>0</v>
      </c>
      <c r="AF228" s="136">
        <v>0</v>
      </c>
      <c r="AG228" s="136">
        <v>0</v>
      </c>
      <c r="AH228" s="136">
        <v>0</v>
      </c>
      <c r="AI228" s="136">
        <v>0</v>
      </c>
      <c r="AJ228" s="137">
        <f t="shared" ref="AJ228:AJ229" si="250">SUM(AK228+AL228)</f>
        <v>250000000</v>
      </c>
      <c r="AK228" s="136">
        <v>250000000</v>
      </c>
      <c r="AL228" s="136">
        <f t="shared" ref="AL228:AL229" si="251">SUM(AM228:AO228)</f>
        <v>0</v>
      </c>
      <c r="AM228" s="135">
        <v>0</v>
      </c>
      <c r="AN228" s="136">
        <v>0</v>
      </c>
      <c r="AO228" s="136">
        <v>0</v>
      </c>
    </row>
    <row r="229" spans="1:41" s="138" customFormat="1" x14ac:dyDescent="0.25">
      <c r="A229" s="147" t="s">
        <v>385</v>
      </c>
      <c r="B229" s="134" t="s">
        <v>386</v>
      </c>
      <c r="C229" s="135">
        <f t="shared" si="246"/>
        <v>5000000</v>
      </c>
      <c r="D229" s="136">
        <f t="shared" si="247"/>
        <v>0</v>
      </c>
      <c r="E229" s="135">
        <v>0</v>
      </c>
      <c r="F229" s="136">
        <v>0</v>
      </c>
      <c r="G229" s="136">
        <v>0</v>
      </c>
      <c r="H229" s="136">
        <v>0</v>
      </c>
      <c r="I229" s="136">
        <v>0</v>
      </c>
      <c r="J229" s="136">
        <v>0</v>
      </c>
      <c r="K229" s="136">
        <v>0</v>
      </c>
      <c r="L229" s="136">
        <v>0</v>
      </c>
      <c r="M229" s="136">
        <v>0</v>
      </c>
      <c r="N229" s="136">
        <v>0</v>
      </c>
      <c r="O229" s="136">
        <v>0</v>
      </c>
      <c r="P229" s="136">
        <v>0</v>
      </c>
      <c r="Q229" s="136">
        <v>0</v>
      </c>
      <c r="R229" s="136">
        <v>0</v>
      </c>
      <c r="S229" s="136">
        <v>0</v>
      </c>
      <c r="T229" s="136">
        <v>0</v>
      </c>
      <c r="U229" s="136">
        <v>0</v>
      </c>
      <c r="V229" s="136">
        <v>0</v>
      </c>
      <c r="W229" s="136">
        <v>0</v>
      </c>
      <c r="X229" s="136">
        <v>0</v>
      </c>
      <c r="Y229" s="136">
        <f t="shared" si="248"/>
        <v>0</v>
      </c>
      <c r="Z229" s="136">
        <v>0</v>
      </c>
      <c r="AA229" s="136">
        <v>0</v>
      </c>
      <c r="AB229" s="136">
        <v>0</v>
      </c>
      <c r="AC229" s="136">
        <v>0</v>
      </c>
      <c r="AD229" s="136">
        <v>0</v>
      </c>
      <c r="AE229" s="136">
        <f t="shared" si="249"/>
        <v>1000000</v>
      </c>
      <c r="AF229" s="136">
        <v>0</v>
      </c>
      <c r="AG229" s="136">
        <v>0</v>
      </c>
      <c r="AH229" s="136">
        <v>0</v>
      </c>
      <c r="AI229" s="136">
        <v>1000000</v>
      </c>
      <c r="AJ229" s="137">
        <f t="shared" si="250"/>
        <v>4000000</v>
      </c>
      <c r="AK229" s="136">
        <v>2000000</v>
      </c>
      <c r="AL229" s="136">
        <f t="shared" si="251"/>
        <v>2000000</v>
      </c>
      <c r="AM229" s="135">
        <v>0</v>
      </c>
      <c r="AN229" s="136">
        <v>0</v>
      </c>
      <c r="AO229" s="136">
        <v>2000000</v>
      </c>
    </row>
    <row r="230" spans="1:41" s="138" customFormat="1" x14ac:dyDescent="0.25">
      <c r="A230" s="147"/>
      <c r="B230" s="134"/>
      <c r="C230" s="135"/>
      <c r="D230" s="136"/>
      <c r="E230" s="135"/>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c r="AD230" s="136"/>
      <c r="AE230" s="136"/>
      <c r="AF230" s="136"/>
      <c r="AG230" s="136"/>
      <c r="AH230" s="136"/>
      <c r="AI230" s="136"/>
      <c r="AJ230" s="137"/>
      <c r="AK230" s="136"/>
      <c r="AL230" s="136"/>
      <c r="AM230" s="135"/>
      <c r="AN230" s="136"/>
      <c r="AO230" s="136"/>
    </row>
    <row r="231" spans="1:41" s="138" customFormat="1" ht="26.4" x14ac:dyDescent="0.25">
      <c r="A231" s="162" t="s">
        <v>387</v>
      </c>
      <c r="B231" s="139" t="s">
        <v>388</v>
      </c>
      <c r="C231" s="140">
        <f>SUM(C232)</f>
        <v>35000000</v>
      </c>
      <c r="D231" s="141">
        <f t="shared" ref="D231:AO231" si="252">SUM(D232)</f>
        <v>35000000</v>
      </c>
      <c r="E231" s="140">
        <f t="shared" si="252"/>
        <v>0</v>
      </c>
      <c r="F231" s="141">
        <f t="shared" si="252"/>
        <v>0</v>
      </c>
      <c r="G231" s="141">
        <f t="shared" si="252"/>
        <v>0</v>
      </c>
      <c r="H231" s="141">
        <f t="shared" si="252"/>
        <v>0</v>
      </c>
      <c r="I231" s="141">
        <f t="shared" si="252"/>
        <v>0</v>
      </c>
      <c r="J231" s="141">
        <f t="shared" si="252"/>
        <v>0</v>
      </c>
      <c r="K231" s="141">
        <f t="shared" si="252"/>
        <v>0</v>
      </c>
      <c r="L231" s="141">
        <f t="shared" si="252"/>
        <v>0</v>
      </c>
      <c r="M231" s="141">
        <f t="shared" si="252"/>
        <v>0</v>
      </c>
      <c r="N231" s="141">
        <f t="shared" si="252"/>
        <v>0</v>
      </c>
      <c r="O231" s="141">
        <f t="shared" si="252"/>
        <v>0</v>
      </c>
      <c r="P231" s="141">
        <f t="shared" si="252"/>
        <v>0</v>
      </c>
      <c r="Q231" s="141">
        <f t="shared" si="252"/>
        <v>0</v>
      </c>
      <c r="R231" s="141">
        <f t="shared" si="252"/>
        <v>0</v>
      </c>
      <c r="S231" s="141">
        <f t="shared" si="252"/>
        <v>0</v>
      </c>
      <c r="T231" s="141">
        <f t="shared" si="252"/>
        <v>35000000</v>
      </c>
      <c r="U231" s="141">
        <f t="shared" si="252"/>
        <v>0</v>
      </c>
      <c r="V231" s="141">
        <f t="shared" si="252"/>
        <v>0</v>
      </c>
      <c r="W231" s="141">
        <f t="shared" si="252"/>
        <v>0</v>
      </c>
      <c r="X231" s="141">
        <f t="shared" si="252"/>
        <v>0</v>
      </c>
      <c r="Y231" s="141">
        <f t="shared" si="252"/>
        <v>0</v>
      </c>
      <c r="Z231" s="141">
        <f t="shared" si="252"/>
        <v>0</v>
      </c>
      <c r="AA231" s="141">
        <f t="shared" si="252"/>
        <v>0</v>
      </c>
      <c r="AB231" s="141">
        <f t="shared" si="252"/>
        <v>0</v>
      </c>
      <c r="AC231" s="141">
        <f t="shared" si="252"/>
        <v>0</v>
      </c>
      <c r="AD231" s="141">
        <f t="shared" si="252"/>
        <v>0</v>
      </c>
      <c r="AE231" s="141">
        <f t="shared" si="252"/>
        <v>0</v>
      </c>
      <c r="AF231" s="141">
        <f t="shared" si="252"/>
        <v>0</v>
      </c>
      <c r="AG231" s="141">
        <f t="shared" si="252"/>
        <v>0</v>
      </c>
      <c r="AH231" s="141">
        <f t="shared" si="252"/>
        <v>0</v>
      </c>
      <c r="AI231" s="141">
        <f t="shared" si="252"/>
        <v>0</v>
      </c>
      <c r="AJ231" s="142">
        <f t="shared" si="252"/>
        <v>0</v>
      </c>
      <c r="AK231" s="141">
        <f t="shared" si="252"/>
        <v>0</v>
      </c>
      <c r="AL231" s="141">
        <f t="shared" si="252"/>
        <v>0</v>
      </c>
      <c r="AM231" s="140">
        <f t="shared" si="252"/>
        <v>0</v>
      </c>
      <c r="AN231" s="141">
        <f t="shared" si="252"/>
        <v>0</v>
      </c>
      <c r="AO231" s="141">
        <f t="shared" si="252"/>
        <v>0</v>
      </c>
    </row>
    <row r="232" spans="1:41" s="138" customFormat="1" ht="26.4" x14ac:dyDescent="0.25">
      <c r="A232" s="147" t="s">
        <v>389</v>
      </c>
      <c r="B232" s="134" t="s">
        <v>390</v>
      </c>
      <c r="C232" s="135">
        <f t="shared" ref="C232" si="253">D232+Y232+AE232+AJ232</f>
        <v>35000000</v>
      </c>
      <c r="D232" s="136">
        <f t="shared" ref="D232" si="254">SUM(E232:X232)</f>
        <v>35000000</v>
      </c>
      <c r="E232" s="135">
        <v>0</v>
      </c>
      <c r="F232" s="136">
        <v>0</v>
      </c>
      <c r="G232" s="136">
        <v>0</v>
      </c>
      <c r="H232" s="136">
        <v>0</v>
      </c>
      <c r="I232" s="136">
        <v>0</v>
      </c>
      <c r="J232" s="136">
        <v>0</v>
      </c>
      <c r="K232" s="136">
        <v>0</v>
      </c>
      <c r="L232" s="136">
        <v>0</v>
      </c>
      <c r="M232" s="136">
        <v>0</v>
      </c>
      <c r="N232" s="136">
        <v>0</v>
      </c>
      <c r="O232" s="136">
        <v>0</v>
      </c>
      <c r="P232" s="136">
        <v>0</v>
      </c>
      <c r="Q232" s="136">
        <v>0</v>
      </c>
      <c r="R232" s="136">
        <v>0</v>
      </c>
      <c r="S232" s="136">
        <v>0</v>
      </c>
      <c r="T232" s="136">
        <v>35000000</v>
      </c>
      <c r="U232" s="136">
        <v>0</v>
      </c>
      <c r="V232" s="136">
        <v>0</v>
      </c>
      <c r="W232" s="136">
        <v>0</v>
      </c>
      <c r="X232" s="136">
        <v>0</v>
      </c>
      <c r="Y232" s="136">
        <f t="shared" ref="Y232" si="255">SUM(Z232:AD232)</f>
        <v>0</v>
      </c>
      <c r="Z232" s="136">
        <v>0</v>
      </c>
      <c r="AA232" s="136">
        <v>0</v>
      </c>
      <c r="AB232" s="136">
        <v>0</v>
      </c>
      <c r="AC232" s="136">
        <v>0</v>
      </c>
      <c r="AD232" s="136">
        <v>0</v>
      </c>
      <c r="AE232" s="136">
        <f t="shared" ref="AE232" si="256">SUM(AF232:AI232)</f>
        <v>0</v>
      </c>
      <c r="AF232" s="136">
        <v>0</v>
      </c>
      <c r="AG232" s="136">
        <v>0</v>
      </c>
      <c r="AH232" s="136">
        <v>0</v>
      </c>
      <c r="AI232" s="136">
        <v>0</v>
      </c>
      <c r="AJ232" s="137">
        <f t="shared" ref="AJ232" si="257">SUM(AK232+AL232)</f>
        <v>0</v>
      </c>
      <c r="AK232" s="136">
        <v>0</v>
      </c>
      <c r="AL232" s="136">
        <f t="shared" ref="AL232" si="258">SUM(AM232:AO232)</f>
        <v>0</v>
      </c>
      <c r="AM232" s="135">
        <v>0</v>
      </c>
      <c r="AN232" s="136">
        <v>0</v>
      </c>
      <c r="AO232" s="136">
        <v>0</v>
      </c>
    </row>
    <row r="233" spans="1:41" s="138" customFormat="1" x14ac:dyDescent="0.25">
      <c r="A233" s="147"/>
      <c r="B233" s="134"/>
      <c r="C233" s="135"/>
      <c r="D233" s="136"/>
      <c r="E233" s="135"/>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c r="AE233" s="136"/>
      <c r="AF233" s="136"/>
      <c r="AG233" s="136"/>
      <c r="AH233" s="136"/>
      <c r="AI233" s="136"/>
      <c r="AJ233" s="137"/>
      <c r="AK233" s="136"/>
      <c r="AL233" s="136"/>
      <c r="AM233" s="135"/>
      <c r="AN233" s="136"/>
      <c r="AO233" s="136"/>
    </row>
    <row r="234" spans="1:41" s="138" customFormat="1" x14ac:dyDescent="0.25">
      <c r="A234" s="129">
        <v>7</v>
      </c>
      <c r="B234" s="130" t="s">
        <v>391</v>
      </c>
      <c r="C234" s="140">
        <f>C236+C239</f>
        <v>2397308250</v>
      </c>
      <c r="D234" s="141">
        <f t="shared" ref="D234:AO234" si="259">D236+D239</f>
        <v>0</v>
      </c>
      <c r="E234" s="140">
        <f t="shared" si="259"/>
        <v>0</v>
      </c>
      <c r="F234" s="141">
        <f t="shared" si="259"/>
        <v>0</v>
      </c>
      <c r="G234" s="141">
        <f t="shared" si="259"/>
        <v>0</v>
      </c>
      <c r="H234" s="141">
        <f t="shared" si="259"/>
        <v>0</v>
      </c>
      <c r="I234" s="141">
        <f t="shared" si="259"/>
        <v>0</v>
      </c>
      <c r="J234" s="141">
        <f t="shared" si="259"/>
        <v>0</v>
      </c>
      <c r="K234" s="141">
        <f t="shared" si="259"/>
        <v>0</v>
      </c>
      <c r="L234" s="141">
        <f t="shared" si="259"/>
        <v>0</v>
      </c>
      <c r="M234" s="141">
        <f t="shared" si="259"/>
        <v>0</v>
      </c>
      <c r="N234" s="141">
        <f t="shared" si="259"/>
        <v>0</v>
      </c>
      <c r="O234" s="141">
        <f t="shared" si="259"/>
        <v>0</v>
      </c>
      <c r="P234" s="141">
        <f t="shared" si="259"/>
        <v>0</v>
      </c>
      <c r="Q234" s="141">
        <f t="shared" si="259"/>
        <v>0</v>
      </c>
      <c r="R234" s="141">
        <f t="shared" si="259"/>
        <v>0</v>
      </c>
      <c r="S234" s="141">
        <f t="shared" si="259"/>
        <v>0</v>
      </c>
      <c r="T234" s="141">
        <f t="shared" si="259"/>
        <v>0</v>
      </c>
      <c r="U234" s="141">
        <f t="shared" si="259"/>
        <v>0</v>
      </c>
      <c r="V234" s="141">
        <f t="shared" si="259"/>
        <v>0</v>
      </c>
      <c r="W234" s="141">
        <f t="shared" si="259"/>
        <v>0</v>
      </c>
      <c r="X234" s="141">
        <f t="shared" si="259"/>
        <v>0</v>
      </c>
      <c r="Y234" s="141">
        <f t="shared" si="259"/>
        <v>0</v>
      </c>
      <c r="Z234" s="141">
        <f t="shared" si="259"/>
        <v>0</v>
      </c>
      <c r="AA234" s="141">
        <f t="shared" si="259"/>
        <v>0</v>
      </c>
      <c r="AB234" s="141">
        <f t="shared" si="259"/>
        <v>0</v>
      </c>
      <c r="AC234" s="141">
        <f t="shared" si="259"/>
        <v>0</v>
      </c>
      <c r="AD234" s="141">
        <f t="shared" si="259"/>
        <v>0</v>
      </c>
      <c r="AE234" s="141">
        <f t="shared" si="259"/>
        <v>2397308250</v>
      </c>
      <c r="AF234" s="141">
        <f t="shared" si="259"/>
        <v>0</v>
      </c>
      <c r="AG234" s="141">
        <f t="shared" si="259"/>
        <v>764808250</v>
      </c>
      <c r="AH234" s="141">
        <f t="shared" si="259"/>
        <v>1630000000</v>
      </c>
      <c r="AI234" s="141">
        <f t="shared" si="259"/>
        <v>2500000</v>
      </c>
      <c r="AJ234" s="142">
        <f t="shared" si="259"/>
        <v>0</v>
      </c>
      <c r="AK234" s="141">
        <f t="shared" si="259"/>
        <v>0</v>
      </c>
      <c r="AL234" s="141">
        <f t="shared" si="259"/>
        <v>0</v>
      </c>
      <c r="AM234" s="140">
        <f t="shared" si="259"/>
        <v>0</v>
      </c>
      <c r="AN234" s="141">
        <f t="shared" si="259"/>
        <v>0</v>
      </c>
      <c r="AO234" s="141">
        <f t="shared" si="259"/>
        <v>0</v>
      </c>
    </row>
    <row r="235" spans="1:41" s="138" customFormat="1" x14ac:dyDescent="0.25">
      <c r="A235" s="129"/>
      <c r="B235" s="130"/>
      <c r="C235" s="135"/>
      <c r="D235" s="136"/>
      <c r="E235" s="135"/>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6"/>
      <c r="AD235" s="136"/>
      <c r="AE235" s="136"/>
      <c r="AF235" s="136"/>
      <c r="AG235" s="136"/>
      <c r="AH235" s="136"/>
      <c r="AI235" s="136"/>
      <c r="AJ235" s="137"/>
      <c r="AK235" s="136"/>
      <c r="AL235" s="136"/>
      <c r="AM235" s="135"/>
      <c r="AN235" s="136"/>
      <c r="AO235" s="136"/>
    </row>
    <row r="236" spans="1:41" s="138" customFormat="1" ht="26.4" x14ac:dyDescent="0.25">
      <c r="A236" s="157" t="s">
        <v>392</v>
      </c>
      <c r="B236" s="139" t="s">
        <v>393</v>
      </c>
      <c r="C236" s="140">
        <f>SUM(C237)</f>
        <v>22500000</v>
      </c>
      <c r="D236" s="141">
        <f t="shared" ref="D236:AO236" si="260">SUM(D237)</f>
        <v>0</v>
      </c>
      <c r="E236" s="140">
        <f t="shared" si="260"/>
        <v>0</v>
      </c>
      <c r="F236" s="141">
        <f t="shared" si="260"/>
        <v>0</v>
      </c>
      <c r="G236" s="141">
        <f t="shared" si="260"/>
        <v>0</v>
      </c>
      <c r="H236" s="141">
        <f t="shared" si="260"/>
        <v>0</v>
      </c>
      <c r="I236" s="141">
        <f t="shared" si="260"/>
        <v>0</v>
      </c>
      <c r="J236" s="141">
        <f t="shared" si="260"/>
        <v>0</v>
      </c>
      <c r="K236" s="141">
        <f t="shared" si="260"/>
        <v>0</v>
      </c>
      <c r="L236" s="141">
        <f t="shared" si="260"/>
        <v>0</v>
      </c>
      <c r="M236" s="141">
        <f t="shared" si="260"/>
        <v>0</v>
      </c>
      <c r="N236" s="141">
        <f t="shared" si="260"/>
        <v>0</v>
      </c>
      <c r="O236" s="141">
        <f t="shared" si="260"/>
        <v>0</v>
      </c>
      <c r="P236" s="141">
        <f t="shared" si="260"/>
        <v>0</v>
      </c>
      <c r="Q236" s="141">
        <f t="shared" si="260"/>
        <v>0</v>
      </c>
      <c r="R236" s="141">
        <f t="shared" si="260"/>
        <v>0</v>
      </c>
      <c r="S236" s="141">
        <f t="shared" si="260"/>
        <v>0</v>
      </c>
      <c r="T236" s="141">
        <f t="shared" si="260"/>
        <v>0</v>
      </c>
      <c r="U236" s="141">
        <f t="shared" si="260"/>
        <v>0</v>
      </c>
      <c r="V236" s="141">
        <f t="shared" si="260"/>
        <v>0</v>
      </c>
      <c r="W236" s="141">
        <f t="shared" si="260"/>
        <v>0</v>
      </c>
      <c r="X236" s="141">
        <f t="shared" si="260"/>
        <v>0</v>
      </c>
      <c r="Y236" s="141">
        <f t="shared" si="260"/>
        <v>0</v>
      </c>
      <c r="Z236" s="141">
        <f t="shared" si="260"/>
        <v>0</v>
      </c>
      <c r="AA236" s="141">
        <f t="shared" si="260"/>
        <v>0</v>
      </c>
      <c r="AB236" s="141">
        <f t="shared" si="260"/>
        <v>0</v>
      </c>
      <c r="AC236" s="141">
        <f t="shared" si="260"/>
        <v>0</v>
      </c>
      <c r="AD236" s="141">
        <f t="shared" si="260"/>
        <v>0</v>
      </c>
      <c r="AE236" s="141">
        <f t="shared" si="260"/>
        <v>22500000</v>
      </c>
      <c r="AF236" s="141">
        <f t="shared" si="260"/>
        <v>0</v>
      </c>
      <c r="AG236" s="141">
        <f t="shared" si="260"/>
        <v>5000000</v>
      </c>
      <c r="AH236" s="141">
        <f t="shared" si="260"/>
        <v>15000000</v>
      </c>
      <c r="AI236" s="141">
        <f t="shared" si="260"/>
        <v>2500000</v>
      </c>
      <c r="AJ236" s="142">
        <f t="shared" si="260"/>
        <v>0</v>
      </c>
      <c r="AK236" s="141">
        <f t="shared" si="260"/>
        <v>0</v>
      </c>
      <c r="AL236" s="141">
        <f t="shared" si="260"/>
        <v>0</v>
      </c>
      <c r="AM236" s="140">
        <f t="shared" si="260"/>
        <v>0</v>
      </c>
      <c r="AN236" s="141">
        <f t="shared" si="260"/>
        <v>0</v>
      </c>
      <c r="AO236" s="141">
        <f t="shared" si="260"/>
        <v>0</v>
      </c>
    </row>
    <row r="237" spans="1:41" s="138" customFormat="1" ht="26.4" x14ac:dyDescent="0.25">
      <c r="A237" s="147" t="s">
        <v>394</v>
      </c>
      <c r="B237" s="167" t="s">
        <v>395</v>
      </c>
      <c r="C237" s="135">
        <f t="shared" ref="C237" si="261">D237+Y237+AE237+AJ237</f>
        <v>22500000</v>
      </c>
      <c r="D237" s="136">
        <f t="shared" ref="D237" si="262">SUM(E237:X237)</f>
        <v>0</v>
      </c>
      <c r="E237" s="135">
        <v>0</v>
      </c>
      <c r="F237" s="136">
        <v>0</v>
      </c>
      <c r="G237" s="136">
        <v>0</v>
      </c>
      <c r="H237" s="136">
        <v>0</v>
      </c>
      <c r="I237" s="136">
        <v>0</v>
      </c>
      <c r="J237" s="136">
        <v>0</v>
      </c>
      <c r="K237" s="136">
        <v>0</v>
      </c>
      <c r="L237" s="136">
        <v>0</v>
      </c>
      <c r="M237" s="136">
        <v>0</v>
      </c>
      <c r="N237" s="136">
        <v>0</v>
      </c>
      <c r="O237" s="136">
        <v>0</v>
      </c>
      <c r="P237" s="136">
        <v>0</v>
      </c>
      <c r="Q237" s="136">
        <v>0</v>
      </c>
      <c r="R237" s="136">
        <v>0</v>
      </c>
      <c r="S237" s="136">
        <v>0</v>
      </c>
      <c r="T237" s="136">
        <v>0</v>
      </c>
      <c r="U237" s="136">
        <v>0</v>
      </c>
      <c r="V237" s="136">
        <v>0</v>
      </c>
      <c r="W237" s="136">
        <v>0</v>
      </c>
      <c r="X237" s="136">
        <v>0</v>
      </c>
      <c r="Y237" s="136">
        <f t="shared" ref="Y237" si="263">SUM(Z237:AD237)</f>
        <v>0</v>
      </c>
      <c r="Z237" s="136">
        <v>0</v>
      </c>
      <c r="AA237" s="136">
        <v>0</v>
      </c>
      <c r="AB237" s="136">
        <v>0</v>
      </c>
      <c r="AC237" s="136">
        <v>0</v>
      </c>
      <c r="AD237" s="136">
        <v>0</v>
      </c>
      <c r="AE237" s="136">
        <f t="shared" ref="AE237" si="264">SUM(AF237:AI237)</f>
        <v>22500000</v>
      </c>
      <c r="AF237" s="136">
        <v>0</v>
      </c>
      <c r="AG237" s="136">
        <v>5000000</v>
      </c>
      <c r="AH237" s="136">
        <f>5000000+10000000</f>
        <v>15000000</v>
      </c>
      <c r="AI237" s="136">
        <v>2500000</v>
      </c>
      <c r="AJ237" s="137">
        <f t="shared" ref="AJ237" si="265">SUM(AK237+AL237)</f>
        <v>0</v>
      </c>
      <c r="AK237" s="136">
        <v>0</v>
      </c>
      <c r="AL237" s="136">
        <f t="shared" ref="AL237" si="266">SUM(AM237:AO237)</f>
        <v>0</v>
      </c>
      <c r="AM237" s="135">
        <v>0</v>
      </c>
      <c r="AN237" s="136">
        <v>0</v>
      </c>
      <c r="AO237" s="136">
        <v>0</v>
      </c>
    </row>
    <row r="238" spans="1:41" s="138" customFormat="1" x14ac:dyDescent="0.25">
      <c r="A238" s="147"/>
      <c r="B238" s="167"/>
      <c r="C238" s="135"/>
      <c r="D238" s="136"/>
      <c r="E238" s="135"/>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7"/>
      <c r="AK238" s="136"/>
      <c r="AL238" s="136"/>
      <c r="AM238" s="135"/>
      <c r="AN238" s="136"/>
      <c r="AO238" s="136"/>
    </row>
    <row r="239" spans="1:41" s="138" customFormat="1" x14ac:dyDescent="0.25">
      <c r="A239" s="157" t="s">
        <v>396</v>
      </c>
      <c r="B239" s="139" t="s">
        <v>397</v>
      </c>
      <c r="C239" s="140">
        <f>SUM(C240:C245)</f>
        <v>2374808250</v>
      </c>
      <c r="D239" s="141">
        <f t="shared" ref="D239:AO239" si="267">SUM(D240:D245)</f>
        <v>0</v>
      </c>
      <c r="E239" s="140">
        <f t="shared" si="267"/>
        <v>0</v>
      </c>
      <c r="F239" s="140">
        <f t="shared" si="267"/>
        <v>0</v>
      </c>
      <c r="G239" s="140">
        <f t="shared" si="267"/>
        <v>0</v>
      </c>
      <c r="H239" s="140">
        <f t="shared" si="267"/>
        <v>0</v>
      </c>
      <c r="I239" s="140">
        <f t="shared" si="267"/>
        <v>0</v>
      </c>
      <c r="J239" s="140">
        <f t="shared" si="267"/>
        <v>0</v>
      </c>
      <c r="K239" s="140">
        <f t="shared" si="267"/>
        <v>0</v>
      </c>
      <c r="L239" s="140">
        <f t="shared" si="267"/>
        <v>0</v>
      </c>
      <c r="M239" s="140">
        <f t="shared" si="267"/>
        <v>0</v>
      </c>
      <c r="N239" s="140">
        <f t="shared" si="267"/>
        <v>0</v>
      </c>
      <c r="O239" s="140">
        <f t="shared" si="267"/>
        <v>0</v>
      </c>
      <c r="P239" s="140">
        <f t="shared" si="267"/>
        <v>0</v>
      </c>
      <c r="Q239" s="140">
        <f t="shared" si="267"/>
        <v>0</v>
      </c>
      <c r="R239" s="140">
        <f t="shared" si="267"/>
        <v>0</v>
      </c>
      <c r="S239" s="140">
        <f t="shared" si="267"/>
        <v>0</v>
      </c>
      <c r="T239" s="140">
        <f t="shared" si="267"/>
        <v>0</v>
      </c>
      <c r="U239" s="140">
        <f t="shared" si="267"/>
        <v>0</v>
      </c>
      <c r="V239" s="140">
        <f t="shared" si="267"/>
        <v>0</v>
      </c>
      <c r="W239" s="140">
        <f t="shared" si="267"/>
        <v>0</v>
      </c>
      <c r="X239" s="140">
        <f t="shared" si="267"/>
        <v>0</v>
      </c>
      <c r="Y239" s="140">
        <f t="shared" si="267"/>
        <v>0</v>
      </c>
      <c r="Z239" s="140">
        <f t="shared" si="267"/>
        <v>0</v>
      </c>
      <c r="AA239" s="140">
        <f t="shared" si="267"/>
        <v>0</v>
      </c>
      <c r="AB239" s="140">
        <f t="shared" si="267"/>
        <v>0</v>
      </c>
      <c r="AC239" s="140">
        <f t="shared" si="267"/>
        <v>0</v>
      </c>
      <c r="AD239" s="140">
        <f t="shared" si="267"/>
        <v>0</v>
      </c>
      <c r="AE239" s="140">
        <f t="shared" si="267"/>
        <v>2374808250</v>
      </c>
      <c r="AF239" s="140">
        <f t="shared" si="267"/>
        <v>0</v>
      </c>
      <c r="AG239" s="140">
        <f t="shared" si="267"/>
        <v>759808250</v>
      </c>
      <c r="AH239" s="140">
        <f t="shared" si="267"/>
        <v>1615000000</v>
      </c>
      <c r="AI239" s="140">
        <f t="shared" si="267"/>
        <v>0</v>
      </c>
      <c r="AJ239" s="168">
        <f t="shared" si="267"/>
        <v>0</v>
      </c>
      <c r="AK239" s="141">
        <f t="shared" si="267"/>
        <v>0</v>
      </c>
      <c r="AL239" s="141">
        <f t="shared" si="267"/>
        <v>0</v>
      </c>
      <c r="AM239" s="140">
        <f t="shared" si="267"/>
        <v>0</v>
      </c>
      <c r="AN239" s="140">
        <f t="shared" si="267"/>
        <v>0</v>
      </c>
      <c r="AO239" s="140">
        <f t="shared" si="267"/>
        <v>0</v>
      </c>
    </row>
    <row r="240" spans="1:41" s="138" customFormat="1" ht="26.4" x14ac:dyDescent="0.25">
      <c r="A240" s="147" t="s">
        <v>398</v>
      </c>
      <c r="B240" s="134" t="s">
        <v>399</v>
      </c>
      <c r="C240" s="135">
        <f t="shared" ref="C240:C242" si="268">D240+Y240+AE240+AJ240</f>
        <v>459000000</v>
      </c>
      <c r="D240" s="136">
        <f t="shared" ref="D240:D242" si="269">SUM(E240:X240)</f>
        <v>0</v>
      </c>
      <c r="E240" s="135">
        <v>0</v>
      </c>
      <c r="F240" s="136">
        <v>0</v>
      </c>
      <c r="G240" s="136">
        <v>0</v>
      </c>
      <c r="H240" s="136">
        <v>0</v>
      </c>
      <c r="I240" s="136">
        <v>0</v>
      </c>
      <c r="J240" s="136">
        <v>0</v>
      </c>
      <c r="K240" s="136">
        <v>0</v>
      </c>
      <c r="L240" s="136">
        <v>0</v>
      </c>
      <c r="M240" s="136">
        <v>0</v>
      </c>
      <c r="N240" s="136">
        <v>0</v>
      </c>
      <c r="O240" s="136">
        <v>0</v>
      </c>
      <c r="P240" s="136">
        <v>0</v>
      </c>
      <c r="Q240" s="136">
        <v>0</v>
      </c>
      <c r="R240" s="136">
        <v>0</v>
      </c>
      <c r="S240" s="136">
        <v>0</v>
      </c>
      <c r="T240" s="136">
        <v>0</v>
      </c>
      <c r="U240" s="136">
        <v>0</v>
      </c>
      <c r="V240" s="136">
        <v>0</v>
      </c>
      <c r="W240" s="136">
        <v>0</v>
      </c>
      <c r="X240" s="136">
        <v>0</v>
      </c>
      <c r="Y240" s="136">
        <f t="shared" ref="Y240:Y242" si="270">SUM(Z240:AD240)</f>
        <v>0</v>
      </c>
      <c r="Z240" s="136">
        <v>0</v>
      </c>
      <c r="AA240" s="136">
        <v>0</v>
      </c>
      <c r="AB240" s="136">
        <v>0</v>
      </c>
      <c r="AC240" s="136">
        <v>0</v>
      </c>
      <c r="AD240" s="136">
        <v>0</v>
      </c>
      <c r="AE240" s="136">
        <f t="shared" ref="AE240:AE242" si="271">SUM(AF240:AI240)</f>
        <v>459000000</v>
      </c>
      <c r="AF240" s="136">
        <v>0</v>
      </c>
      <c r="AG240" s="136">
        <v>0</v>
      </c>
      <c r="AH240" s="136">
        <f>35000000+424000000</f>
        <v>459000000</v>
      </c>
      <c r="AI240" s="136">
        <v>0</v>
      </c>
      <c r="AJ240" s="137">
        <f t="shared" ref="AJ240:AJ242" si="272">SUM(AK240+AL240)</f>
        <v>0</v>
      </c>
      <c r="AK240" s="136">
        <v>0</v>
      </c>
      <c r="AL240" s="136">
        <f t="shared" ref="AL240:AL242" si="273">SUM(AM240:AO240)</f>
        <v>0</v>
      </c>
      <c r="AM240" s="135">
        <v>0</v>
      </c>
      <c r="AN240" s="136">
        <v>0</v>
      </c>
      <c r="AO240" s="136">
        <v>0</v>
      </c>
    </row>
    <row r="241" spans="1:41" s="138" customFormat="1" x14ac:dyDescent="0.25">
      <c r="A241" s="147" t="s">
        <v>400</v>
      </c>
      <c r="B241" s="134" t="s">
        <v>401</v>
      </c>
      <c r="C241" s="135">
        <f t="shared" si="268"/>
        <v>1150000000</v>
      </c>
      <c r="D241" s="136">
        <f t="shared" si="269"/>
        <v>0</v>
      </c>
      <c r="E241" s="135">
        <v>0</v>
      </c>
      <c r="F241" s="136">
        <v>0</v>
      </c>
      <c r="G241" s="136">
        <v>0</v>
      </c>
      <c r="H241" s="136">
        <v>0</v>
      </c>
      <c r="I241" s="136">
        <v>0</v>
      </c>
      <c r="J241" s="136">
        <v>0</v>
      </c>
      <c r="K241" s="136">
        <v>0</v>
      </c>
      <c r="L241" s="136">
        <v>0</v>
      </c>
      <c r="M241" s="136">
        <v>0</v>
      </c>
      <c r="N241" s="136">
        <v>0</v>
      </c>
      <c r="O241" s="136">
        <v>0</v>
      </c>
      <c r="P241" s="136">
        <v>0</v>
      </c>
      <c r="Q241" s="136">
        <v>0</v>
      </c>
      <c r="R241" s="136">
        <v>0</v>
      </c>
      <c r="S241" s="136">
        <v>0</v>
      </c>
      <c r="T241" s="136">
        <v>0</v>
      </c>
      <c r="U241" s="136">
        <v>0</v>
      </c>
      <c r="V241" s="136">
        <v>0</v>
      </c>
      <c r="W241" s="136">
        <v>0</v>
      </c>
      <c r="X241" s="136">
        <v>0</v>
      </c>
      <c r="Y241" s="136">
        <f t="shared" si="270"/>
        <v>0</v>
      </c>
      <c r="Z241" s="136">
        <v>0</v>
      </c>
      <c r="AA241" s="136">
        <v>0</v>
      </c>
      <c r="AB241" s="136">
        <v>0</v>
      </c>
      <c r="AC241" s="136">
        <v>0</v>
      </c>
      <c r="AD241" s="136">
        <v>0</v>
      </c>
      <c r="AE241" s="136">
        <f t="shared" si="271"/>
        <v>1150000000</v>
      </c>
      <c r="AF241" s="136">
        <v>0</v>
      </c>
      <c r="AG241" s="136">
        <v>0</v>
      </c>
      <c r="AH241" s="136">
        <f>50000000+1100000000</f>
        <v>1150000000</v>
      </c>
      <c r="AI241" s="136">
        <v>0</v>
      </c>
      <c r="AJ241" s="137">
        <f t="shared" si="272"/>
        <v>0</v>
      </c>
      <c r="AK241" s="136">
        <v>0</v>
      </c>
      <c r="AL241" s="136">
        <f t="shared" si="273"/>
        <v>0</v>
      </c>
      <c r="AM241" s="135">
        <v>0</v>
      </c>
      <c r="AN241" s="136">
        <v>0</v>
      </c>
      <c r="AO241" s="136">
        <v>0</v>
      </c>
    </row>
    <row r="242" spans="1:41" s="138" customFormat="1" x14ac:dyDescent="0.25">
      <c r="A242" s="147" t="s">
        <v>402</v>
      </c>
      <c r="B242" s="144" t="s">
        <v>403</v>
      </c>
      <c r="C242" s="135">
        <f t="shared" si="268"/>
        <v>6000000</v>
      </c>
      <c r="D242" s="136">
        <f t="shared" si="269"/>
        <v>0</v>
      </c>
      <c r="E242" s="135">
        <v>0</v>
      </c>
      <c r="F242" s="136">
        <v>0</v>
      </c>
      <c r="G242" s="136">
        <v>0</v>
      </c>
      <c r="H242" s="136">
        <v>0</v>
      </c>
      <c r="I242" s="136">
        <v>0</v>
      </c>
      <c r="J242" s="136">
        <v>0</v>
      </c>
      <c r="K242" s="136">
        <v>0</v>
      </c>
      <c r="L242" s="136">
        <v>0</v>
      </c>
      <c r="M242" s="136">
        <v>0</v>
      </c>
      <c r="N242" s="136">
        <v>0</v>
      </c>
      <c r="O242" s="136">
        <v>0</v>
      </c>
      <c r="P242" s="136">
        <v>0</v>
      </c>
      <c r="Q242" s="136">
        <v>0</v>
      </c>
      <c r="R242" s="136">
        <v>0</v>
      </c>
      <c r="S242" s="136">
        <v>0</v>
      </c>
      <c r="T242" s="136">
        <v>0</v>
      </c>
      <c r="U242" s="136">
        <v>0</v>
      </c>
      <c r="V242" s="136">
        <v>0</v>
      </c>
      <c r="W242" s="136">
        <v>0</v>
      </c>
      <c r="X242" s="136">
        <v>0</v>
      </c>
      <c r="Y242" s="136">
        <f t="shared" si="270"/>
        <v>0</v>
      </c>
      <c r="Z242" s="136">
        <v>0</v>
      </c>
      <c r="AA242" s="136">
        <v>0</v>
      </c>
      <c r="AB242" s="136">
        <v>0</v>
      </c>
      <c r="AC242" s="136">
        <v>0</v>
      </c>
      <c r="AD242" s="136">
        <v>0</v>
      </c>
      <c r="AE242" s="136">
        <f t="shared" si="271"/>
        <v>6000000</v>
      </c>
      <c r="AF242" s="136">
        <v>0</v>
      </c>
      <c r="AG242" s="136">
        <v>0</v>
      </c>
      <c r="AH242" s="136">
        <v>6000000</v>
      </c>
      <c r="AI242" s="136">
        <v>0</v>
      </c>
      <c r="AJ242" s="137">
        <f t="shared" si="272"/>
        <v>0</v>
      </c>
      <c r="AK242" s="136">
        <v>0</v>
      </c>
      <c r="AL242" s="136">
        <f t="shared" si="273"/>
        <v>0</v>
      </c>
      <c r="AM242" s="135">
        <v>0</v>
      </c>
      <c r="AN242" s="136">
        <v>0</v>
      </c>
      <c r="AO242" s="136">
        <v>0</v>
      </c>
    </row>
    <row r="243" spans="1:41" s="138" customFormat="1" x14ac:dyDescent="0.25">
      <c r="A243" s="147" t="s">
        <v>404</v>
      </c>
      <c r="B243" s="144" t="s">
        <v>405</v>
      </c>
      <c r="C243" s="135">
        <f>D243+Y243+AE243+AJ243</f>
        <v>250000000</v>
      </c>
      <c r="D243" s="136">
        <f>SUM(E243:X243)</f>
        <v>0</v>
      </c>
      <c r="E243" s="135">
        <v>0</v>
      </c>
      <c r="F243" s="136">
        <v>0</v>
      </c>
      <c r="G243" s="136">
        <v>0</v>
      </c>
      <c r="H243" s="136">
        <v>0</v>
      </c>
      <c r="I243" s="136">
        <v>0</v>
      </c>
      <c r="J243" s="136">
        <v>0</v>
      </c>
      <c r="K243" s="136">
        <v>0</v>
      </c>
      <c r="L243" s="136">
        <v>0</v>
      </c>
      <c r="M243" s="136">
        <v>0</v>
      </c>
      <c r="N243" s="136">
        <v>0</v>
      </c>
      <c r="O243" s="136">
        <v>0</v>
      </c>
      <c r="P243" s="136">
        <v>0</v>
      </c>
      <c r="Q243" s="136">
        <v>0</v>
      </c>
      <c r="R243" s="136">
        <v>0</v>
      </c>
      <c r="S243" s="136">
        <v>0</v>
      </c>
      <c r="T243" s="136">
        <v>0</v>
      </c>
      <c r="U243" s="136">
        <v>0</v>
      </c>
      <c r="V243" s="136">
        <v>0</v>
      </c>
      <c r="W243" s="136">
        <v>0</v>
      </c>
      <c r="X243" s="136">
        <v>0</v>
      </c>
      <c r="Y243" s="136">
        <f>SUM(Z243:AD243)</f>
        <v>0</v>
      </c>
      <c r="Z243" s="136">
        <v>0</v>
      </c>
      <c r="AA243" s="136">
        <v>0</v>
      </c>
      <c r="AB243" s="136">
        <v>0</v>
      </c>
      <c r="AC243" s="136">
        <v>0</v>
      </c>
      <c r="AD243" s="136">
        <v>0</v>
      </c>
      <c r="AE243" s="136">
        <f>SUM(AF243:AI243)</f>
        <v>250000000</v>
      </c>
      <c r="AF243" s="136">
        <v>0</v>
      </c>
      <c r="AG243" s="136">
        <f>523822014-273822014</f>
        <v>250000000</v>
      </c>
      <c r="AH243" s="136">
        <v>0</v>
      </c>
      <c r="AI243" s="136">
        <v>0</v>
      </c>
      <c r="AJ243" s="137">
        <f>SUM(AK243+AL243)</f>
        <v>0</v>
      </c>
      <c r="AK243" s="136">
        <v>0</v>
      </c>
      <c r="AL243" s="136">
        <f>SUM(AM243:AO243)</f>
        <v>0</v>
      </c>
      <c r="AM243" s="135">
        <v>0</v>
      </c>
      <c r="AN243" s="136">
        <v>0</v>
      </c>
      <c r="AO243" s="136">
        <v>0</v>
      </c>
    </row>
    <row r="244" spans="1:41" s="138" customFormat="1" x14ac:dyDescent="0.25">
      <c r="A244" s="147" t="s">
        <v>406</v>
      </c>
      <c r="B244" s="144" t="s">
        <v>407</v>
      </c>
      <c r="C244" s="135">
        <f t="shared" ref="C244:C245" si="274">D244+Y244+AE244+AJ244</f>
        <v>72308250</v>
      </c>
      <c r="D244" s="136"/>
      <c r="E244" s="135"/>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f t="shared" ref="AE244:AE245" si="275">SUM(AF244:AI244)</f>
        <v>72308250</v>
      </c>
      <c r="AF244" s="136">
        <v>0</v>
      </c>
      <c r="AG244" s="136">
        <v>72308250</v>
      </c>
      <c r="AH244" s="136">
        <v>0</v>
      </c>
      <c r="AI244" s="136"/>
      <c r="AJ244" s="137"/>
      <c r="AK244" s="136"/>
      <c r="AL244" s="136"/>
      <c r="AM244" s="135"/>
      <c r="AN244" s="136"/>
      <c r="AO244" s="136"/>
    </row>
    <row r="245" spans="1:41" x14ac:dyDescent="0.25">
      <c r="A245" s="147" t="s">
        <v>408</v>
      </c>
      <c r="B245" s="169" t="s">
        <v>409</v>
      </c>
      <c r="C245" s="135">
        <f t="shared" si="274"/>
        <v>437500000</v>
      </c>
      <c r="D245" s="170"/>
      <c r="AE245" s="136">
        <f t="shared" si="275"/>
        <v>437500000</v>
      </c>
      <c r="AF245" s="136">
        <v>0</v>
      </c>
      <c r="AG245" s="171">
        <v>437500000</v>
      </c>
      <c r="AH245" s="136">
        <v>0</v>
      </c>
      <c r="AK245" s="170"/>
      <c r="AL245" s="170"/>
    </row>
    <row r="246" spans="1:41" s="138" customFormat="1" x14ac:dyDescent="0.25">
      <c r="A246" s="147"/>
      <c r="B246" s="144"/>
      <c r="C246" s="135"/>
      <c r="D246" s="136"/>
      <c r="E246" s="135"/>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c r="AI246" s="136"/>
      <c r="AJ246" s="137"/>
      <c r="AK246" s="136"/>
      <c r="AL246" s="136"/>
      <c r="AM246" s="135"/>
      <c r="AN246" s="136"/>
      <c r="AO246" s="136"/>
    </row>
    <row r="247" spans="1:41" s="138" customFormat="1" x14ac:dyDescent="0.25">
      <c r="A247" s="162">
        <v>8</v>
      </c>
      <c r="B247" s="172" t="s">
        <v>410</v>
      </c>
      <c r="C247" s="140">
        <f>C248</f>
        <v>11315166767</v>
      </c>
      <c r="D247" s="141">
        <f t="shared" ref="D247:AO247" si="276">D248</f>
        <v>0</v>
      </c>
      <c r="E247" s="140">
        <f t="shared" si="276"/>
        <v>0</v>
      </c>
      <c r="F247" s="141">
        <f t="shared" si="276"/>
        <v>0</v>
      </c>
      <c r="G247" s="141">
        <f t="shared" si="276"/>
        <v>0</v>
      </c>
      <c r="H247" s="141">
        <f t="shared" si="276"/>
        <v>0</v>
      </c>
      <c r="I247" s="141">
        <f t="shared" si="276"/>
        <v>0</v>
      </c>
      <c r="J247" s="141">
        <f t="shared" si="276"/>
        <v>0</v>
      </c>
      <c r="K247" s="141">
        <f t="shared" si="276"/>
        <v>0</v>
      </c>
      <c r="L247" s="141">
        <f t="shared" si="276"/>
        <v>0</v>
      </c>
      <c r="M247" s="141">
        <f t="shared" si="276"/>
        <v>0</v>
      </c>
      <c r="N247" s="141">
        <f t="shared" si="276"/>
        <v>0</v>
      </c>
      <c r="O247" s="141">
        <f t="shared" si="276"/>
        <v>0</v>
      </c>
      <c r="P247" s="141">
        <f t="shared" si="276"/>
        <v>0</v>
      </c>
      <c r="Q247" s="141">
        <f t="shared" si="276"/>
        <v>0</v>
      </c>
      <c r="R247" s="141">
        <f t="shared" si="276"/>
        <v>0</v>
      </c>
      <c r="S247" s="141">
        <f t="shared" si="276"/>
        <v>0</v>
      </c>
      <c r="T247" s="141">
        <f t="shared" si="276"/>
        <v>0</v>
      </c>
      <c r="U247" s="141">
        <f t="shared" si="276"/>
        <v>0</v>
      </c>
      <c r="V247" s="141">
        <f t="shared" si="276"/>
        <v>0</v>
      </c>
      <c r="W247" s="141">
        <f t="shared" si="276"/>
        <v>0</v>
      </c>
      <c r="X247" s="141">
        <f t="shared" si="276"/>
        <v>0</v>
      </c>
      <c r="Y247" s="141">
        <f t="shared" si="276"/>
        <v>0</v>
      </c>
      <c r="Z247" s="141">
        <f t="shared" si="276"/>
        <v>0</v>
      </c>
      <c r="AA247" s="141">
        <f t="shared" si="276"/>
        <v>0</v>
      </c>
      <c r="AB247" s="141">
        <f t="shared" si="276"/>
        <v>0</v>
      </c>
      <c r="AC247" s="141">
        <f t="shared" si="276"/>
        <v>0</v>
      </c>
      <c r="AD247" s="141">
        <f t="shared" si="276"/>
        <v>0</v>
      </c>
      <c r="AE247" s="141">
        <f t="shared" si="276"/>
        <v>0</v>
      </c>
      <c r="AF247" s="141">
        <f t="shared" si="276"/>
        <v>0</v>
      </c>
      <c r="AG247" s="141">
        <f t="shared" si="276"/>
        <v>0</v>
      </c>
      <c r="AH247" s="141">
        <f t="shared" si="276"/>
        <v>0</v>
      </c>
      <c r="AI247" s="141">
        <f t="shared" si="276"/>
        <v>0</v>
      </c>
      <c r="AJ247" s="142">
        <f t="shared" si="276"/>
        <v>11315166767</v>
      </c>
      <c r="AK247" s="141">
        <f t="shared" si="276"/>
        <v>11315166767</v>
      </c>
      <c r="AL247" s="141">
        <f t="shared" si="276"/>
        <v>0</v>
      </c>
      <c r="AM247" s="140">
        <f t="shared" si="276"/>
        <v>0</v>
      </c>
      <c r="AN247" s="141">
        <f t="shared" si="276"/>
        <v>0</v>
      </c>
      <c r="AO247" s="141">
        <f t="shared" si="276"/>
        <v>0</v>
      </c>
    </row>
    <row r="248" spans="1:41" s="138" customFormat="1" ht="26.4" x14ac:dyDescent="0.25">
      <c r="A248" s="157" t="s">
        <v>411</v>
      </c>
      <c r="B248" s="172" t="s">
        <v>412</v>
      </c>
      <c r="C248" s="140">
        <f>SUM(C249:C250)</f>
        <v>11315166767</v>
      </c>
      <c r="D248" s="141">
        <f t="shared" ref="D248:AO248" si="277">SUM(D249:D250)</f>
        <v>0</v>
      </c>
      <c r="E248" s="140">
        <f t="shared" si="277"/>
        <v>0</v>
      </c>
      <c r="F248" s="141">
        <f t="shared" si="277"/>
        <v>0</v>
      </c>
      <c r="G248" s="141">
        <f t="shared" si="277"/>
        <v>0</v>
      </c>
      <c r="H248" s="141">
        <f t="shared" si="277"/>
        <v>0</v>
      </c>
      <c r="I248" s="141">
        <f t="shared" si="277"/>
        <v>0</v>
      </c>
      <c r="J248" s="141">
        <f t="shared" si="277"/>
        <v>0</v>
      </c>
      <c r="K248" s="141">
        <f t="shared" si="277"/>
        <v>0</v>
      </c>
      <c r="L248" s="141">
        <f t="shared" si="277"/>
        <v>0</v>
      </c>
      <c r="M248" s="141">
        <f t="shared" si="277"/>
        <v>0</v>
      </c>
      <c r="N248" s="141">
        <f t="shared" si="277"/>
        <v>0</v>
      </c>
      <c r="O248" s="141">
        <f t="shared" si="277"/>
        <v>0</v>
      </c>
      <c r="P248" s="141">
        <f t="shared" si="277"/>
        <v>0</v>
      </c>
      <c r="Q248" s="141">
        <f t="shared" si="277"/>
        <v>0</v>
      </c>
      <c r="R248" s="141">
        <f t="shared" si="277"/>
        <v>0</v>
      </c>
      <c r="S248" s="141">
        <f t="shared" si="277"/>
        <v>0</v>
      </c>
      <c r="T248" s="141">
        <f t="shared" si="277"/>
        <v>0</v>
      </c>
      <c r="U248" s="141">
        <f t="shared" si="277"/>
        <v>0</v>
      </c>
      <c r="V248" s="141">
        <f t="shared" si="277"/>
        <v>0</v>
      </c>
      <c r="W248" s="141">
        <f t="shared" si="277"/>
        <v>0</v>
      </c>
      <c r="X248" s="141">
        <f t="shared" si="277"/>
        <v>0</v>
      </c>
      <c r="Y248" s="141">
        <f t="shared" si="277"/>
        <v>0</v>
      </c>
      <c r="Z248" s="141">
        <f t="shared" si="277"/>
        <v>0</v>
      </c>
      <c r="AA248" s="141">
        <f t="shared" si="277"/>
        <v>0</v>
      </c>
      <c r="AB248" s="141">
        <f t="shared" si="277"/>
        <v>0</v>
      </c>
      <c r="AC248" s="141">
        <f t="shared" si="277"/>
        <v>0</v>
      </c>
      <c r="AD248" s="141">
        <f t="shared" si="277"/>
        <v>0</v>
      </c>
      <c r="AE248" s="141">
        <f t="shared" si="277"/>
        <v>0</v>
      </c>
      <c r="AF248" s="141">
        <f t="shared" si="277"/>
        <v>0</v>
      </c>
      <c r="AG248" s="141">
        <f t="shared" si="277"/>
        <v>0</v>
      </c>
      <c r="AH248" s="141">
        <f t="shared" si="277"/>
        <v>0</v>
      </c>
      <c r="AI248" s="141">
        <f t="shared" si="277"/>
        <v>0</v>
      </c>
      <c r="AJ248" s="142">
        <f t="shared" si="277"/>
        <v>11315166767</v>
      </c>
      <c r="AK248" s="141">
        <f t="shared" si="277"/>
        <v>11315166767</v>
      </c>
      <c r="AL248" s="141">
        <f t="shared" si="277"/>
        <v>0</v>
      </c>
      <c r="AM248" s="140">
        <f t="shared" si="277"/>
        <v>0</v>
      </c>
      <c r="AN248" s="141">
        <f t="shared" si="277"/>
        <v>0</v>
      </c>
      <c r="AO248" s="141">
        <f t="shared" si="277"/>
        <v>0</v>
      </c>
    </row>
    <row r="249" spans="1:41" s="138" customFormat="1" x14ac:dyDescent="0.25">
      <c r="A249" s="143" t="s">
        <v>413</v>
      </c>
      <c r="B249" s="144" t="s">
        <v>414</v>
      </c>
      <c r="C249" s="135">
        <f t="shared" ref="C249:C250" si="278">D249+Y249+AE249+AJ249</f>
        <v>2461919170</v>
      </c>
      <c r="D249" s="136">
        <f t="shared" ref="D249:D250" si="279">SUM(E249:X249)</f>
        <v>0</v>
      </c>
      <c r="E249" s="135">
        <v>0</v>
      </c>
      <c r="F249" s="136">
        <v>0</v>
      </c>
      <c r="G249" s="136">
        <v>0</v>
      </c>
      <c r="H249" s="136">
        <v>0</v>
      </c>
      <c r="I249" s="136">
        <v>0</v>
      </c>
      <c r="J249" s="136">
        <v>0</v>
      </c>
      <c r="K249" s="136">
        <v>0</v>
      </c>
      <c r="L249" s="136">
        <v>0</v>
      </c>
      <c r="M249" s="136">
        <v>0</v>
      </c>
      <c r="N249" s="136">
        <v>0</v>
      </c>
      <c r="O249" s="136">
        <v>0</v>
      </c>
      <c r="P249" s="136">
        <v>0</v>
      </c>
      <c r="Q249" s="136">
        <v>0</v>
      </c>
      <c r="R249" s="136">
        <v>0</v>
      </c>
      <c r="S249" s="136">
        <v>0</v>
      </c>
      <c r="T249" s="136">
        <v>0</v>
      </c>
      <c r="U249" s="136">
        <v>0</v>
      </c>
      <c r="V249" s="136">
        <v>0</v>
      </c>
      <c r="W249" s="136">
        <v>0</v>
      </c>
      <c r="X249" s="136">
        <v>0</v>
      </c>
      <c r="Y249" s="136">
        <f t="shared" ref="Y249:Y250" si="280">SUM(Z249:AD249)</f>
        <v>0</v>
      </c>
      <c r="Z249" s="136">
        <v>0</v>
      </c>
      <c r="AA249" s="136">
        <v>0</v>
      </c>
      <c r="AB249" s="136">
        <v>0</v>
      </c>
      <c r="AC249" s="136">
        <v>0</v>
      </c>
      <c r="AD249" s="136">
        <v>0</v>
      </c>
      <c r="AE249" s="136">
        <f t="shared" ref="AE249:AE250" si="281">SUM(AF249:AI249)</f>
        <v>0</v>
      </c>
      <c r="AF249" s="136">
        <v>0</v>
      </c>
      <c r="AG249" s="136">
        <v>0</v>
      </c>
      <c r="AH249" s="136">
        <v>0</v>
      </c>
      <c r="AI249" s="136">
        <v>0</v>
      </c>
      <c r="AJ249" s="137">
        <f t="shared" ref="AJ249:AJ250" si="282">SUM(AK249+AL249)</f>
        <v>2461919170</v>
      </c>
      <c r="AK249" s="136">
        <v>2461919170</v>
      </c>
      <c r="AL249" s="136">
        <f t="shared" ref="AL249:AL250" si="283">SUM(AM249:AO249)</f>
        <v>0</v>
      </c>
      <c r="AM249" s="135">
        <v>0</v>
      </c>
      <c r="AN249" s="136">
        <v>0</v>
      </c>
      <c r="AO249" s="136">
        <v>0</v>
      </c>
    </row>
    <row r="250" spans="1:41" s="138" customFormat="1" ht="13.8" thickBot="1" x14ac:dyDescent="0.3">
      <c r="A250" s="158" t="s">
        <v>415</v>
      </c>
      <c r="B250" s="160" t="s">
        <v>416</v>
      </c>
      <c r="C250" s="154">
        <f t="shared" si="278"/>
        <v>8853247597</v>
      </c>
      <c r="D250" s="155">
        <f t="shared" si="279"/>
        <v>0</v>
      </c>
      <c r="E250" s="154">
        <v>0</v>
      </c>
      <c r="F250" s="155">
        <v>0</v>
      </c>
      <c r="G250" s="155">
        <v>0</v>
      </c>
      <c r="H250" s="155">
        <v>0</v>
      </c>
      <c r="I250" s="155">
        <v>0</v>
      </c>
      <c r="J250" s="155">
        <v>0</v>
      </c>
      <c r="K250" s="155">
        <v>0</v>
      </c>
      <c r="L250" s="155">
        <v>0</v>
      </c>
      <c r="M250" s="155">
        <v>0</v>
      </c>
      <c r="N250" s="155">
        <v>0</v>
      </c>
      <c r="O250" s="155">
        <v>0</v>
      </c>
      <c r="P250" s="155">
        <v>0</v>
      </c>
      <c r="Q250" s="155">
        <v>0</v>
      </c>
      <c r="R250" s="155">
        <v>0</v>
      </c>
      <c r="S250" s="155">
        <v>0</v>
      </c>
      <c r="T250" s="155">
        <v>0</v>
      </c>
      <c r="U250" s="155">
        <v>0</v>
      </c>
      <c r="V250" s="155">
        <v>0</v>
      </c>
      <c r="W250" s="155">
        <v>0</v>
      </c>
      <c r="X250" s="155">
        <v>0</v>
      </c>
      <c r="Y250" s="155">
        <f t="shared" si="280"/>
        <v>0</v>
      </c>
      <c r="Z250" s="155">
        <v>0</v>
      </c>
      <c r="AA250" s="155">
        <v>0</v>
      </c>
      <c r="AB250" s="155">
        <v>0</v>
      </c>
      <c r="AC250" s="155">
        <v>0</v>
      </c>
      <c r="AD250" s="155">
        <v>0</v>
      </c>
      <c r="AE250" s="155">
        <f t="shared" si="281"/>
        <v>0</v>
      </c>
      <c r="AF250" s="155">
        <v>0</v>
      </c>
      <c r="AG250" s="155">
        <v>0</v>
      </c>
      <c r="AH250" s="155">
        <v>0</v>
      </c>
      <c r="AI250" s="155">
        <v>0</v>
      </c>
      <c r="AJ250" s="156">
        <f t="shared" si="282"/>
        <v>8853247597</v>
      </c>
      <c r="AK250" s="155">
        <f>8584331537+268916060</f>
        <v>8853247597</v>
      </c>
      <c r="AL250" s="155">
        <f t="shared" si="283"/>
        <v>0</v>
      </c>
      <c r="AM250" s="154">
        <v>0</v>
      </c>
      <c r="AN250" s="155">
        <v>0</v>
      </c>
      <c r="AO250" s="155">
        <v>0</v>
      </c>
    </row>
    <row r="252" spans="1:41" x14ac:dyDescent="0.25">
      <c r="A252" s="91" t="s">
        <v>699</v>
      </c>
      <c r="AM252" s="171">
        <f t="shared" ref="AM252:AO252" si="284">AM7-AM9+AM16-AM225</f>
        <v>1100000</v>
      </c>
      <c r="AN252" s="171">
        <f t="shared" si="284"/>
        <v>2200000</v>
      </c>
      <c r="AO252" s="171">
        <f t="shared" si="284"/>
        <v>2237087438</v>
      </c>
    </row>
    <row r="277" spans="22:22" x14ac:dyDescent="0.25">
      <c r="V277" s="171">
        <f>V51-8839688</f>
        <v>-2209922</v>
      </c>
    </row>
  </sheetData>
  <mergeCells count="1">
    <mergeCell ref="A1:AO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35D9-35D2-468E-81AC-99A844591811}">
  <sheetPr>
    <tabColor theme="6"/>
  </sheetPr>
  <dimension ref="A1:BY66"/>
  <sheetViews>
    <sheetView tabSelected="1" topLeftCell="B31" zoomScale="80" zoomScaleNormal="80" workbookViewId="0">
      <selection activeCell="K56" sqref="K56:K57"/>
    </sheetView>
  </sheetViews>
  <sheetFormatPr baseColWidth="10" defaultColWidth="12.109375" defaultRowHeight="13.2" x14ac:dyDescent="0.3"/>
  <cols>
    <col min="1" max="1" width="18" style="17" hidden="1" customWidth="1"/>
    <col min="2" max="2" width="29.109375" style="17" customWidth="1"/>
    <col min="3" max="3" width="35" style="2" customWidth="1"/>
    <col min="4" max="4" width="37.109375" style="2" customWidth="1"/>
    <col min="5" max="5" width="13.5546875" style="2" bestFit="1" customWidth="1"/>
    <col min="6" max="6" width="42.6640625" style="17" customWidth="1"/>
    <col min="7" max="10" width="13.21875" style="1" customWidth="1"/>
    <col min="11" max="11" width="25.109375" style="1" bestFit="1" customWidth="1"/>
    <col min="12" max="12" width="51.44140625" style="2" customWidth="1"/>
    <col min="13" max="13" width="24.33203125" style="2" customWidth="1"/>
    <col min="14" max="14" width="100.77734375" style="17" bestFit="1" customWidth="1"/>
    <col min="15" max="15" width="12.109375" style="2"/>
    <col min="16" max="16" width="21.5546875" style="2" customWidth="1"/>
    <col min="17" max="17" width="18.21875" style="2" bestFit="1" customWidth="1"/>
    <col min="18" max="16384" width="12.109375" style="2"/>
  </cols>
  <sheetData>
    <row r="1" spans="1:16" ht="19.8" customHeight="1" x14ac:dyDescent="0.3">
      <c r="A1" s="249"/>
      <c r="B1" s="249"/>
      <c r="C1" s="249"/>
      <c r="D1" s="249"/>
      <c r="E1" s="249"/>
      <c r="F1" s="249"/>
      <c r="G1" s="249"/>
      <c r="H1" s="249"/>
      <c r="I1" s="249"/>
      <c r="J1" s="249"/>
      <c r="K1" s="249"/>
      <c r="L1" s="249"/>
      <c r="M1" s="249"/>
      <c r="N1" s="249"/>
    </row>
    <row r="2" spans="1:16" ht="19.8" customHeight="1" x14ac:dyDescent="0.3">
      <c r="A2" s="249" t="s">
        <v>422</v>
      </c>
      <c r="B2" s="249"/>
      <c r="C2" s="249"/>
      <c r="D2" s="249"/>
      <c r="E2" s="249"/>
      <c r="F2" s="249"/>
      <c r="G2" s="249"/>
      <c r="H2" s="249"/>
      <c r="I2" s="249"/>
      <c r="J2" s="249"/>
      <c r="K2" s="249"/>
      <c r="L2" s="249"/>
      <c r="M2" s="249"/>
      <c r="N2" s="249"/>
    </row>
    <row r="3" spans="1:16" ht="19.8" customHeight="1" x14ac:dyDescent="0.3">
      <c r="A3" s="249" t="s">
        <v>423</v>
      </c>
      <c r="B3" s="249"/>
      <c r="C3" s="249"/>
      <c r="D3" s="249"/>
      <c r="E3" s="249"/>
      <c r="F3" s="249"/>
      <c r="G3" s="249"/>
      <c r="H3" s="249"/>
      <c r="I3" s="249"/>
      <c r="J3" s="249"/>
      <c r="K3" s="249"/>
      <c r="L3" s="249"/>
      <c r="M3" s="249"/>
      <c r="N3" s="249"/>
    </row>
    <row r="4" spans="1:16" ht="19.8" customHeight="1" x14ac:dyDescent="0.3">
      <c r="A4" s="249"/>
      <c r="B4" s="249"/>
      <c r="C4" s="249"/>
      <c r="D4" s="249"/>
      <c r="E4" s="249"/>
      <c r="F4" s="249"/>
      <c r="G4" s="249"/>
      <c r="H4" s="249"/>
      <c r="I4" s="249"/>
      <c r="J4" s="249"/>
      <c r="K4" s="249"/>
      <c r="L4" s="249"/>
      <c r="M4" s="249"/>
      <c r="N4" s="249"/>
    </row>
    <row r="5" spans="1:16" ht="19.8" customHeight="1" thickBot="1" x14ac:dyDescent="0.35">
      <c r="A5" s="249"/>
      <c r="B5" s="249"/>
      <c r="C5" s="249"/>
      <c r="D5" s="249"/>
      <c r="E5" s="249"/>
      <c r="F5" s="249"/>
      <c r="G5" s="249"/>
      <c r="H5" s="249"/>
      <c r="I5" s="249"/>
      <c r="J5" s="249"/>
      <c r="K5" s="249"/>
      <c r="L5" s="249"/>
      <c r="M5" s="249"/>
      <c r="N5" s="249"/>
    </row>
    <row r="6" spans="1:16" s="1" customFormat="1" ht="55.95" customHeight="1" x14ac:dyDescent="0.3">
      <c r="A6" s="250" t="s">
        <v>424</v>
      </c>
      <c r="B6" s="235" t="s">
        <v>425</v>
      </c>
      <c r="C6" s="235" t="s">
        <v>426</v>
      </c>
      <c r="D6" s="252" t="s">
        <v>417</v>
      </c>
      <c r="E6" s="235" t="s">
        <v>658</v>
      </c>
      <c r="F6" s="235" t="s">
        <v>427</v>
      </c>
      <c r="G6" s="235" t="s">
        <v>428</v>
      </c>
      <c r="H6" s="235"/>
      <c r="I6" s="235"/>
      <c r="J6" s="235"/>
      <c r="K6" s="235" t="s">
        <v>659</v>
      </c>
      <c r="L6" s="235" t="s">
        <v>429</v>
      </c>
      <c r="M6" s="235" t="s">
        <v>430</v>
      </c>
      <c r="N6" s="221" t="s">
        <v>431</v>
      </c>
    </row>
    <row r="7" spans="1:16" s="1" customFormat="1" ht="40.200000000000003" customHeight="1" thickBot="1" x14ac:dyDescent="0.35">
      <c r="A7" s="251"/>
      <c r="B7" s="236"/>
      <c r="C7" s="236"/>
      <c r="D7" s="253"/>
      <c r="E7" s="236"/>
      <c r="F7" s="236"/>
      <c r="G7" s="48" t="s">
        <v>432</v>
      </c>
      <c r="H7" s="48" t="s">
        <v>433</v>
      </c>
      <c r="I7" s="48" t="s">
        <v>434</v>
      </c>
      <c r="J7" s="48" t="s">
        <v>435</v>
      </c>
      <c r="K7" s="236"/>
      <c r="L7" s="236"/>
      <c r="M7" s="236"/>
      <c r="N7" s="222"/>
    </row>
    <row r="8" spans="1:16" s="1" customFormat="1" ht="20.399999999999999" customHeight="1" x14ac:dyDescent="0.3">
      <c r="A8" s="230" t="s">
        <v>436</v>
      </c>
      <c r="B8" s="237"/>
      <c r="C8" s="237"/>
      <c r="D8" s="237"/>
      <c r="E8" s="237"/>
      <c r="F8" s="237"/>
      <c r="G8" s="237"/>
      <c r="H8" s="237"/>
      <c r="I8" s="237"/>
      <c r="J8" s="237"/>
      <c r="K8" s="237"/>
      <c r="L8" s="237"/>
      <c r="M8" s="237"/>
      <c r="N8" s="238"/>
    </row>
    <row r="9" spans="1:16" ht="66" x14ac:dyDescent="0.3">
      <c r="A9" s="248" t="s">
        <v>437</v>
      </c>
      <c r="B9" s="226" t="s">
        <v>438</v>
      </c>
      <c r="C9" s="226" t="s">
        <v>439</v>
      </c>
      <c r="D9" s="7" t="s">
        <v>440</v>
      </c>
      <c r="E9" s="7" t="s">
        <v>419</v>
      </c>
      <c r="F9" s="204" t="s">
        <v>441</v>
      </c>
      <c r="G9" s="9">
        <v>1</v>
      </c>
      <c r="H9" s="9">
        <v>1</v>
      </c>
      <c r="I9" s="9">
        <v>1</v>
      </c>
      <c r="J9" s="9">
        <v>1</v>
      </c>
      <c r="K9" s="233">
        <v>4399.09</v>
      </c>
      <c r="L9" s="7" t="s">
        <v>442</v>
      </c>
      <c r="M9" s="7" t="s">
        <v>31</v>
      </c>
      <c r="N9" s="11"/>
      <c r="P9" s="5"/>
    </row>
    <row r="10" spans="1:16" ht="64.2" customHeight="1" x14ac:dyDescent="0.3">
      <c r="A10" s="248"/>
      <c r="B10" s="226"/>
      <c r="C10" s="226"/>
      <c r="D10" s="7" t="s">
        <v>443</v>
      </c>
      <c r="E10" s="7" t="s">
        <v>419</v>
      </c>
      <c r="F10" s="8" t="s">
        <v>444</v>
      </c>
      <c r="G10" s="9"/>
      <c r="H10" s="9">
        <v>0.85</v>
      </c>
      <c r="I10" s="9"/>
      <c r="J10" s="9">
        <v>0.85</v>
      </c>
      <c r="K10" s="233"/>
      <c r="L10" s="7" t="s">
        <v>445</v>
      </c>
      <c r="M10" s="7" t="s">
        <v>446</v>
      </c>
      <c r="N10" s="11"/>
    </row>
    <row r="11" spans="1:16" ht="52.8" x14ac:dyDescent="0.3">
      <c r="A11" s="248"/>
      <c r="B11" s="226"/>
      <c r="C11" s="226"/>
      <c r="D11" s="7" t="s">
        <v>447</v>
      </c>
      <c r="E11" s="7" t="s">
        <v>419</v>
      </c>
      <c r="F11" s="8" t="s">
        <v>448</v>
      </c>
      <c r="G11" s="9"/>
      <c r="H11" s="9">
        <v>0.85</v>
      </c>
      <c r="I11" s="9"/>
      <c r="J11" s="9">
        <v>0.85</v>
      </c>
      <c r="K11" s="233"/>
      <c r="L11" s="7" t="s">
        <v>445</v>
      </c>
      <c r="M11" s="7" t="s">
        <v>446</v>
      </c>
      <c r="N11" s="11" t="s">
        <v>449</v>
      </c>
    </row>
    <row r="12" spans="1:16" ht="52.8" customHeight="1" x14ac:dyDescent="0.3">
      <c r="A12" s="248"/>
      <c r="B12" s="226"/>
      <c r="C12" s="226"/>
      <c r="D12" s="7" t="s">
        <v>450</v>
      </c>
      <c r="E12" s="7" t="s">
        <v>419</v>
      </c>
      <c r="F12" s="8" t="s">
        <v>451</v>
      </c>
      <c r="G12" s="9">
        <v>0.03</v>
      </c>
      <c r="H12" s="9">
        <v>0.03</v>
      </c>
      <c r="I12" s="9">
        <v>0.03</v>
      </c>
      <c r="J12" s="9">
        <v>0.03</v>
      </c>
      <c r="K12" s="233"/>
      <c r="L12" s="7" t="s">
        <v>452</v>
      </c>
      <c r="M12" s="7" t="s">
        <v>453</v>
      </c>
      <c r="N12" s="11" t="s">
        <v>454</v>
      </c>
    </row>
    <row r="13" spans="1:16" ht="66" x14ac:dyDescent="0.3">
      <c r="A13" s="248"/>
      <c r="B13" s="226"/>
      <c r="C13" s="226"/>
      <c r="D13" s="7" t="s">
        <v>455</v>
      </c>
      <c r="E13" s="7" t="s">
        <v>420</v>
      </c>
      <c r="F13" s="11" t="s">
        <v>456</v>
      </c>
      <c r="G13" s="12"/>
      <c r="H13" s="12">
        <v>1</v>
      </c>
      <c r="I13" s="12">
        <v>1</v>
      </c>
      <c r="J13" s="12">
        <v>1</v>
      </c>
      <c r="K13" s="233"/>
      <c r="L13" s="7"/>
      <c r="M13" s="7" t="s">
        <v>457</v>
      </c>
      <c r="N13" s="11" t="s">
        <v>458</v>
      </c>
    </row>
    <row r="14" spans="1:16" ht="66" x14ac:dyDescent="0.3">
      <c r="A14" s="248"/>
      <c r="B14" s="226"/>
      <c r="C14" s="226"/>
      <c r="D14" s="7" t="s">
        <v>459</v>
      </c>
      <c r="E14" s="7" t="s">
        <v>419</v>
      </c>
      <c r="F14" s="11" t="s">
        <v>460</v>
      </c>
      <c r="G14" s="33">
        <v>0.25</v>
      </c>
      <c r="H14" s="33">
        <v>0.25</v>
      </c>
      <c r="I14" s="33">
        <v>0.25</v>
      </c>
      <c r="J14" s="33">
        <v>0.25</v>
      </c>
      <c r="K14" s="233"/>
      <c r="L14" s="7" t="s">
        <v>461</v>
      </c>
      <c r="M14" s="7" t="s">
        <v>462</v>
      </c>
      <c r="N14" s="11" t="s">
        <v>458</v>
      </c>
    </row>
    <row r="15" spans="1:16" ht="13.8" thickBot="1" x14ac:dyDescent="0.35">
      <c r="A15" s="51"/>
      <c r="B15" s="51"/>
      <c r="C15" s="51"/>
      <c r="G15" s="53"/>
      <c r="H15" s="53"/>
      <c r="I15" s="53"/>
      <c r="J15" s="53"/>
      <c r="K15" s="57"/>
    </row>
    <row r="16" spans="1:16" x14ac:dyDescent="0.3">
      <c r="A16" s="203"/>
      <c r="B16" s="219" t="s">
        <v>425</v>
      </c>
      <c r="C16" s="219" t="s">
        <v>426</v>
      </c>
      <c r="D16" s="220" t="s">
        <v>417</v>
      </c>
      <c r="E16" s="219" t="s">
        <v>658</v>
      </c>
      <c r="F16" s="219" t="s">
        <v>427</v>
      </c>
      <c r="G16" s="219" t="s">
        <v>428</v>
      </c>
      <c r="H16" s="219"/>
      <c r="I16" s="219"/>
      <c r="J16" s="219"/>
      <c r="K16" s="219" t="s">
        <v>700</v>
      </c>
      <c r="L16" s="219" t="s">
        <v>429</v>
      </c>
      <c r="M16" s="235" t="s">
        <v>430</v>
      </c>
      <c r="N16" s="221" t="s">
        <v>431</v>
      </c>
    </row>
    <row r="17" spans="1:16" ht="48" customHeight="1" thickBot="1" x14ac:dyDescent="0.35">
      <c r="A17" s="4"/>
      <c r="B17" s="219"/>
      <c r="C17" s="219"/>
      <c r="D17" s="220"/>
      <c r="E17" s="219"/>
      <c r="F17" s="219"/>
      <c r="G17" s="205" t="s">
        <v>432</v>
      </c>
      <c r="H17" s="205" t="s">
        <v>433</v>
      </c>
      <c r="I17" s="205" t="s">
        <v>434</v>
      </c>
      <c r="J17" s="205" t="s">
        <v>435</v>
      </c>
      <c r="K17" s="219"/>
      <c r="L17" s="219"/>
      <c r="M17" s="236"/>
      <c r="N17" s="222"/>
    </row>
    <row r="18" spans="1:16" s="17" customFormat="1" ht="19.2" customHeight="1" thickBot="1" x14ac:dyDescent="0.35">
      <c r="A18" s="230" t="s">
        <v>463</v>
      </c>
      <c r="B18" s="231"/>
      <c r="C18" s="231"/>
      <c r="D18" s="231"/>
      <c r="E18" s="231"/>
      <c r="F18" s="231"/>
      <c r="G18" s="231"/>
      <c r="H18" s="231"/>
      <c r="I18" s="231"/>
      <c r="J18" s="231"/>
      <c r="K18" s="231"/>
      <c r="L18" s="231"/>
      <c r="M18" s="239"/>
      <c r="N18" s="240"/>
    </row>
    <row r="19" spans="1:16" s="17" customFormat="1" ht="138.6" customHeight="1" x14ac:dyDescent="0.3">
      <c r="A19" s="18"/>
      <c r="B19" s="241" t="s">
        <v>464</v>
      </c>
      <c r="C19" s="19" t="s">
        <v>465</v>
      </c>
      <c r="D19" s="20" t="s">
        <v>466</v>
      </c>
      <c r="E19" s="21" t="s">
        <v>420</v>
      </c>
      <c r="F19" s="19" t="s">
        <v>467</v>
      </c>
      <c r="G19" s="21"/>
      <c r="H19" s="21">
        <v>1</v>
      </c>
      <c r="I19" s="21">
        <v>1</v>
      </c>
      <c r="J19" s="21">
        <v>2</v>
      </c>
      <c r="K19" s="227">
        <v>2135.61</v>
      </c>
      <c r="L19" s="22" t="s">
        <v>468</v>
      </c>
      <c r="M19" s="11" t="s">
        <v>469</v>
      </c>
      <c r="N19" s="23" t="s">
        <v>470</v>
      </c>
    </row>
    <row r="20" spans="1:16" ht="138.6" customHeight="1" x14ac:dyDescent="0.3">
      <c r="A20" s="223" t="s">
        <v>471</v>
      </c>
      <c r="B20" s="242"/>
      <c r="C20" s="11" t="s">
        <v>472</v>
      </c>
      <c r="D20" s="20" t="s">
        <v>473</v>
      </c>
      <c r="E20" s="20" t="s">
        <v>419</v>
      </c>
      <c r="F20" s="24" t="s">
        <v>474</v>
      </c>
      <c r="G20" s="25">
        <v>0.1</v>
      </c>
      <c r="H20" s="25">
        <v>0.1</v>
      </c>
      <c r="I20" s="25">
        <v>0.25</v>
      </c>
      <c r="J20" s="25">
        <v>0.05</v>
      </c>
      <c r="K20" s="228"/>
      <c r="L20" s="26" t="s">
        <v>475</v>
      </c>
      <c r="M20" s="11" t="s">
        <v>469</v>
      </c>
      <c r="N20" s="27" t="s">
        <v>476</v>
      </c>
      <c r="P20" s="28"/>
    </row>
    <row r="21" spans="1:16" ht="150" customHeight="1" x14ac:dyDescent="0.3">
      <c r="A21" s="223"/>
      <c r="B21" s="242"/>
      <c r="C21" s="7" t="s">
        <v>477</v>
      </c>
      <c r="D21" s="20" t="s">
        <v>478</v>
      </c>
      <c r="E21" s="20" t="s">
        <v>419</v>
      </c>
      <c r="F21" s="24" t="s">
        <v>479</v>
      </c>
      <c r="G21" s="25">
        <v>0.1</v>
      </c>
      <c r="H21" s="25">
        <v>0.1</v>
      </c>
      <c r="I21" s="25">
        <v>0.2</v>
      </c>
      <c r="J21" s="25">
        <v>0.3</v>
      </c>
      <c r="K21" s="228"/>
      <c r="L21" s="20" t="s">
        <v>480</v>
      </c>
      <c r="M21" s="20" t="s">
        <v>469</v>
      </c>
      <c r="N21" s="27" t="s">
        <v>481</v>
      </c>
      <c r="P21" s="28"/>
    </row>
    <row r="22" spans="1:16" ht="93.6" customHeight="1" x14ac:dyDescent="0.3">
      <c r="A22" s="223"/>
      <c r="B22" s="242"/>
      <c r="C22" s="7" t="s">
        <v>482</v>
      </c>
      <c r="D22" s="20" t="s">
        <v>483</v>
      </c>
      <c r="E22" s="20" t="s">
        <v>419</v>
      </c>
      <c r="F22" s="24" t="s">
        <v>484</v>
      </c>
      <c r="G22" s="29"/>
      <c r="H22" s="25"/>
      <c r="I22" s="30"/>
      <c r="J22" s="25">
        <v>0.25</v>
      </c>
      <c r="K22" s="228"/>
      <c r="L22" s="20" t="s">
        <v>485</v>
      </c>
      <c r="M22" s="20" t="s">
        <v>469</v>
      </c>
      <c r="N22" s="27" t="s">
        <v>486</v>
      </c>
      <c r="P22" s="28"/>
    </row>
    <row r="23" spans="1:16" ht="93.6" customHeight="1" x14ac:dyDescent="0.3">
      <c r="A23" s="223"/>
      <c r="B23" s="242"/>
      <c r="C23" s="20" t="s">
        <v>487</v>
      </c>
      <c r="D23" s="20" t="s">
        <v>488</v>
      </c>
      <c r="E23" s="20" t="s">
        <v>420</v>
      </c>
      <c r="F23" s="31" t="s">
        <v>489</v>
      </c>
      <c r="G23" s="32"/>
      <c r="H23" s="32"/>
      <c r="I23" s="32"/>
      <c r="J23" s="12">
        <v>2</v>
      </c>
      <c r="K23" s="228"/>
      <c r="L23" s="20"/>
      <c r="M23" s="20" t="s">
        <v>469</v>
      </c>
      <c r="N23" s="27" t="s">
        <v>490</v>
      </c>
    </row>
    <row r="24" spans="1:16" ht="93.6" customHeight="1" x14ac:dyDescent="0.3">
      <c r="A24" s="223"/>
      <c r="B24" s="242"/>
      <c r="C24" s="245" t="s">
        <v>491</v>
      </c>
      <c r="D24" s="20" t="s">
        <v>492</v>
      </c>
      <c r="E24" s="20" t="s">
        <v>419</v>
      </c>
      <c r="F24" s="31" t="s">
        <v>493</v>
      </c>
      <c r="G24" s="32"/>
      <c r="H24" s="32">
        <v>7.0000000000000007E-2</v>
      </c>
      <c r="I24" s="32"/>
      <c r="J24" s="32"/>
      <c r="K24" s="228"/>
      <c r="L24" s="26" t="s">
        <v>494</v>
      </c>
      <c r="M24" s="246" t="s">
        <v>495</v>
      </c>
      <c r="N24" s="247" t="s">
        <v>496</v>
      </c>
    </row>
    <row r="25" spans="1:16" ht="39.6" x14ac:dyDescent="0.3">
      <c r="A25" s="223"/>
      <c r="B25" s="242"/>
      <c r="C25" s="245"/>
      <c r="D25" s="20" t="s">
        <v>497</v>
      </c>
      <c r="E25" s="20" t="s">
        <v>420</v>
      </c>
      <c r="F25" s="24" t="s">
        <v>498</v>
      </c>
      <c r="G25" s="12"/>
      <c r="H25" s="12"/>
      <c r="I25" s="12"/>
      <c r="J25" s="12"/>
      <c r="K25" s="228"/>
      <c r="L25" s="26"/>
      <c r="M25" s="246"/>
      <c r="N25" s="247"/>
    </row>
    <row r="26" spans="1:16" ht="121.2" customHeight="1" x14ac:dyDescent="0.3">
      <c r="A26" s="223"/>
      <c r="B26" s="242"/>
      <c r="C26" s="7" t="s">
        <v>499</v>
      </c>
      <c r="D26" s="20" t="s">
        <v>500</v>
      </c>
      <c r="E26" s="20" t="s">
        <v>419</v>
      </c>
      <c r="F26" s="26" t="s">
        <v>501</v>
      </c>
      <c r="G26" s="12">
        <v>1.5</v>
      </c>
      <c r="H26" s="12">
        <v>1.5</v>
      </c>
      <c r="I26" s="12">
        <v>1.5</v>
      </c>
      <c r="J26" s="12">
        <v>1.5</v>
      </c>
      <c r="K26" s="228"/>
      <c r="L26" s="20" t="s">
        <v>502</v>
      </c>
      <c r="M26" s="20" t="s">
        <v>495</v>
      </c>
      <c r="N26" s="27"/>
    </row>
    <row r="27" spans="1:16" ht="121.2" customHeight="1" x14ac:dyDescent="0.3">
      <c r="A27" s="223"/>
      <c r="B27" s="243"/>
      <c r="C27" s="7" t="s">
        <v>503</v>
      </c>
      <c r="D27" s="26" t="s">
        <v>504</v>
      </c>
      <c r="E27" s="20" t="s">
        <v>419</v>
      </c>
      <c r="F27" s="26" t="s">
        <v>505</v>
      </c>
      <c r="G27" s="33">
        <v>1</v>
      </c>
      <c r="H27" s="33">
        <v>1</v>
      </c>
      <c r="I27" s="33">
        <v>1</v>
      </c>
      <c r="J27" s="33">
        <v>1</v>
      </c>
      <c r="K27" s="228"/>
      <c r="L27" s="20" t="s">
        <v>506</v>
      </c>
      <c r="M27" s="20" t="s">
        <v>495</v>
      </c>
      <c r="N27" s="27"/>
    </row>
    <row r="28" spans="1:16" ht="121.2" customHeight="1" x14ac:dyDescent="0.3">
      <c r="A28" s="223"/>
      <c r="B28" s="34" t="s">
        <v>507</v>
      </c>
      <c r="C28" s="7" t="s">
        <v>508</v>
      </c>
      <c r="D28" s="7" t="s">
        <v>509</v>
      </c>
      <c r="E28" s="20" t="s">
        <v>419</v>
      </c>
      <c r="F28" s="11" t="s">
        <v>510</v>
      </c>
      <c r="G28" s="12" t="s">
        <v>511</v>
      </c>
      <c r="H28" s="12" t="s">
        <v>511</v>
      </c>
      <c r="I28" s="12" t="s">
        <v>511</v>
      </c>
      <c r="J28" s="12" t="s">
        <v>511</v>
      </c>
      <c r="K28" s="228"/>
      <c r="L28" s="20" t="s">
        <v>512</v>
      </c>
      <c r="M28" s="20" t="s">
        <v>495</v>
      </c>
      <c r="N28" s="10" t="s">
        <v>513</v>
      </c>
    </row>
    <row r="29" spans="1:16" ht="123.6" customHeight="1" x14ac:dyDescent="0.3">
      <c r="A29" s="223"/>
      <c r="B29" s="11" t="s">
        <v>514</v>
      </c>
      <c r="C29" s="7" t="s">
        <v>515</v>
      </c>
      <c r="D29" s="7" t="s">
        <v>516</v>
      </c>
      <c r="E29" s="20" t="s">
        <v>419</v>
      </c>
      <c r="F29" s="11" t="s">
        <v>517</v>
      </c>
      <c r="G29" s="12">
        <v>15</v>
      </c>
      <c r="H29" s="12">
        <v>15</v>
      </c>
      <c r="I29" s="12">
        <v>15</v>
      </c>
      <c r="J29" s="12">
        <v>15</v>
      </c>
      <c r="K29" s="228"/>
      <c r="L29" s="7" t="s">
        <v>518</v>
      </c>
      <c r="M29" s="7" t="s">
        <v>519</v>
      </c>
      <c r="N29" s="10" t="s">
        <v>520</v>
      </c>
    </row>
    <row r="30" spans="1:16" ht="123.6" customHeight="1" x14ac:dyDescent="0.3">
      <c r="A30" s="223"/>
      <c r="B30" s="245" t="s">
        <v>521</v>
      </c>
      <c r="C30" s="7" t="s">
        <v>522</v>
      </c>
      <c r="D30" s="7" t="s">
        <v>523</v>
      </c>
      <c r="E30" s="20" t="s">
        <v>420</v>
      </c>
      <c r="F30" s="11" t="s">
        <v>524</v>
      </c>
      <c r="G30" s="12">
        <v>5</v>
      </c>
      <c r="H30" s="12">
        <v>5</v>
      </c>
      <c r="I30" s="12">
        <v>5</v>
      </c>
      <c r="J30" s="12">
        <v>5</v>
      </c>
      <c r="K30" s="228"/>
      <c r="L30" s="7" t="s">
        <v>525</v>
      </c>
      <c r="M30" s="7" t="s">
        <v>526</v>
      </c>
      <c r="N30" s="10" t="s">
        <v>527</v>
      </c>
    </row>
    <row r="31" spans="1:16" ht="123.6" customHeight="1" x14ac:dyDescent="0.3">
      <c r="A31" s="223"/>
      <c r="B31" s="245"/>
      <c r="C31" s="7" t="s">
        <v>528</v>
      </c>
      <c r="D31" s="7" t="s">
        <v>529</v>
      </c>
      <c r="E31" s="7" t="s">
        <v>419</v>
      </c>
      <c r="F31" s="35" t="s">
        <v>530</v>
      </c>
      <c r="G31" s="33">
        <v>1</v>
      </c>
      <c r="H31" s="33">
        <v>1</v>
      </c>
      <c r="I31" s="33">
        <v>1</v>
      </c>
      <c r="J31" s="33">
        <v>1</v>
      </c>
      <c r="K31" s="244"/>
      <c r="L31" s="7" t="s">
        <v>531</v>
      </c>
      <c r="M31" s="7" t="s">
        <v>526</v>
      </c>
      <c r="N31" s="10" t="s">
        <v>532</v>
      </c>
    </row>
    <row r="32" spans="1:16" ht="123.6" customHeight="1" x14ac:dyDescent="0.3">
      <c r="A32" s="49"/>
      <c r="B32" s="7"/>
      <c r="C32" s="7" t="s">
        <v>533</v>
      </c>
      <c r="D32" s="7" t="s">
        <v>534</v>
      </c>
      <c r="E32" s="20" t="s">
        <v>419</v>
      </c>
      <c r="F32" s="11" t="s">
        <v>535</v>
      </c>
      <c r="G32" s="12"/>
      <c r="H32" s="33">
        <v>0.85</v>
      </c>
      <c r="I32" s="12"/>
      <c r="J32" s="33">
        <v>0.85</v>
      </c>
      <c r="K32" s="36"/>
      <c r="L32" s="7" t="s">
        <v>536</v>
      </c>
      <c r="M32" s="7" t="s">
        <v>526</v>
      </c>
      <c r="N32" s="11"/>
    </row>
    <row r="33" spans="1:16" ht="19.8" customHeight="1" x14ac:dyDescent="0.3">
      <c r="A33" s="51"/>
      <c r="B33" s="2"/>
      <c r="E33" s="52"/>
      <c r="H33" s="53"/>
      <c r="J33" s="53"/>
      <c r="K33" s="54"/>
    </row>
    <row r="34" spans="1:16" ht="30.6" customHeight="1" x14ac:dyDescent="0.3">
      <c r="A34" s="50"/>
      <c r="B34" s="219" t="s">
        <v>425</v>
      </c>
      <c r="C34" s="219" t="s">
        <v>426</v>
      </c>
      <c r="D34" s="220" t="s">
        <v>417</v>
      </c>
      <c r="E34" s="219" t="s">
        <v>658</v>
      </c>
      <c r="F34" s="219" t="s">
        <v>427</v>
      </c>
      <c r="G34" s="219" t="s">
        <v>428</v>
      </c>
      <c r="H34" s="219"/>
      <c r="I34" s="219"/>
      <c r="J34" s="219"/>
      <c r="K34" s="219" t="s">
        <v>700</v>
      </c>
      <c r="L34" s="219" t="s">
        <v>429</v>
      </c>
      <c r="M34" s="219" t="s">
        <v>430</v>
      </c>
      <c r="N34" s="219" t="s">
        <v>431</v>
      </c>
    </row>
    <row r="35" spans="1:16" ht="30.6" customHeight="1" x14ac:dyDescent="0.3">
      <c r="A35" s="6"/>
      <c r="B35" s="219"/>
      <c r="C35" s="219"/>
      <c r="D35" s="220"/>
      <c r="E35" s="219"/>
      <c r="F35" s="219"/>
      <c r="G35" s="205" t="s">
        <v>432</v>
      </c>
      <c r="H35" s="205" t="s">
        <v>433</v>
      </c>
      <c r="I35" s="205" t="s">
        <v>434</v>
      </c>
      <c r="J35" s="205" t="s">
        <v>435</v>
      </c>
      <c r="K35" s="219"/>
      <c r="L35" s="219"/>
      <c r="M35" s="219"/>
      <c r="N35" s="219"/>
    </row>
    <row r="36" spans="1:16" s="17" customFormat="1" ht="25.2" customHeight="1" x14ac:dyDescent="0.3">
      <c r="A36" s="230" t="s">
        <v>537</v>
      </c>
      <c r="B36" s="231"/>
      <c r="C36" s="231"/>
      <c r="D36" s="231"/>
      <c r="E36" s="231"/>
      <c r="F36" s="231"/>
      <c r="G36" s="231"/>
      <c r="H36" s="231"/>
      <c r="I36" s="231"/>
      <c r="J36" s="231"/>
      <c r="K36" s="231"/>
      <c r="L36" s="231"/>
      <c r="M36" s="231"/>
      <c r="N36" s="232"/>
    </row>
    <row r="37" spans="1:16" ht="154.19999999999999" customHeight="1" x14ac:dyDescent="0.3">
      <c r="A37" s="223" t="s">
        <v>538</v>
      </c>
      <c r="B37" s="224" t="s">
        <v>539</v>
      </c>
      <c r="C37" s="7" t="s">
        <v>540</v>
      </c>
      <c r="D37" s="7" t="s">
        <v>541</v>
      </c>
      <c r="E37" s="7" t="s">
        <v>419</v>
      </c>
      <c r="F37" s="11" t="s">
        <v>542</v>
      </c>
      <c r="G37" s="33">
        <v>0.2</v>
      </c>
      <c r="H37" s="33">
        <v>0.14000000000000001</v>
      </c>
      <c r="I37" s="33">
        <v>0.08</v>
      </c>
      <c r="J37" s="33">
        <v>0.18</v>
      </c>
      <c r="K37" s="233">
        <v>7005.1</v>
      </c>
      <c r="L37" s="7" t="s">
        <v>543</v>
      </c>
      <c r="M37" s="7" t="s">
        <v>544</v>
      </c>
      <c r="N37" s="11" t="s">
        <v>545</v>
      </c>
      <c r="P37" s="5"/>
    </row>
    <row r="38" spans="1:16" ht="154.19999999999999" customHeight="1" x14ac:dyDescent="0.3">
      <c r="A38" s="223"/>
      <c r="B38" s="224"/>
      <c r="C38" s="7" t="s">
        <v>546</v>
      </c>
      <c r="D38" s="7" t="s">
        <v>547</v>
      </c>
      <c r="E38" s="7" t="s">
        <v>419</v>
      </c>
      <c r="F38" s="11" t="s">
        <v>548</v>
      </c>
      <c r="G38" s="33">
        <v>0.4</v>
      </c>
      <c r="H38" s="33">
        <v>0.25</v>
      </c>
      <c r="I38" s="33">
        <v>0.15</v>
      </c>
      <c r="J38" s="33">
        <v>0.2</v>
      </c>
      <c r="K38" s="233"/>
      <c r="L38" s="7" t="s">
        <v>549</v>
      </c>
      <c r="M38" s="7" t="s">
        <v>550</v>
      </c>
      <c r="N38" s="11" t="s">
        <v>551</v>
      </c>
    </row>
    <row r="39" spans="1:16" ht="154.19999999999999" customHeight="1" x14ac:dyDescent="0.3">
      <c r="A39" s="223"/>
      <c r="B39" s="224"/>
      <c r="C39" s="7" t="s">
        <v>552</v>
      </c>
      <c r="D39" s="7" t="s">
        <v>553</v>
      </c>
      <c r="E39" s="7" t="s">
        <v>554</v>
      </c>
      <c r="F39" s="11" t="s">
        <v>555</v>
      </c>
      <c r="G39" s="33"/>
      <c r="H39" s="33"/>
      <c r="I39" s="33"/>
      <c r="J39" s="37">
        <v>6000</v>
      </c>
      <c r="K39" s="233"/>
      <c r="L39" s="7"/>
      <c r="M39" s="7" t="s">
        <v>550</v>
      </c>
      <c r="N39" s="11" t="s">
        <v>556</v>
      </c>
    </row>
    <row r="40" spans="1:16" ht="154.19999999999999" customHeight="1" x14ac:dyDescent="0.3">
      <c r="A40" s="223"/>
      <c r="B40" s="224"/>
      <c r="C40" s="7" t="s">
        <v>557</v>
      </c>
      <c r="D40" s="7" t="s">
        <v>558</v>
      </c>
      <c r="E40" s="7" t="s">
        <v>419</v>
      </c>
      <c r="F40" s="11" t="s">
        <v>559</v>
      </c>
      <c r="G40" s="33">
        <v>7.0000000000000007E-2</v>
      </c>
      <c r="H40" s="33">
        <v>0.08</v>
      </c>
      <c r="I40" s="33">
        <v>0.15</v>
      </c>
      <c r="J40" s="33"/>
      <c r="K40" s="233"/>
      <c r="L40" s="7" t="s">
        <v>560</v>
      </c>
      <c r="M40" s="7" t="s">
        <v>550</v>
      </c>
      <c r="N40" s="11"/>
    </row>
    <row r="41" spans="1:16" ht="154.19999999999999" customHeight="1" x14ac:dyDescent="0.3">
      <c r="A41" s="223"/>
      <c r="B41" s="224"/>
      <c r="C41" s="7" t="s">
        <v>561</v>
      </c>
      <c r="D41" s="7" t="s">
        <v>562</v>
      </c>
      <c r="E41" s="7" t="s">
        <v>419</v>
      </c>
      <c r="F41" s="11" t="s">
        <v>563</v>
      </c>
      <c r="G41" s="33">
        <v>0.28000000000000003</v>
      </c>
      <c r="H41" s="33">
        <v>0.34</v>
      </c>
      <c r="I41" s="33">
        <v>0.38</v>
      </c>
      <c r="J41" s="33"/>
      <c r="K41" s="233"/>
      <c r="L41" s="7" t="s">
        <v>564</v>
      </c>
      <c r="M41" s="7" t="s">
        <v>550</v>
      </c>
      <c r="N41" s="11" t="s">
        <v>565</v>
      </c>
    </row>
    <row r="42" spans="1:16" ht="159.6" customHeight="1" x14ac:dyDescent="0.3">
      <c r="A42" s="223"/>
      <c r="B42" s="224"/>
      <c r="C42" s="7" t="s">
        <v>566</v>
      </c>
      <c r="D42" s="7" t="s">
        <v>567</v>
      </c>
      <c r="E42" s="7" t="s">
        <v>420</v>
      </c>
      <c r="F42" s="11" t="s">
        <v>568</v>
      </c>
      <c r="G42" s="38">
        <v>1</v>
      </c>
      <c r="H42" s="38">
        <v>1</v>
      </c>
      <c r="I42" s="38">
        <v>1</v>
      </c>
      <c r="J42" s="38">
        <v>1</v>
      </c>
      <c r="K42" s="233"/>
      <c r="L42" s="7" t="s">
        <v>569</v>
      </c>
      <c r="M42" s="7" t="s">
        <v>550</v>
      </c>
      <c r="N42" s="11"/>
    </row>
    <row r="43" spans="1:16" ht="159.6" customHeight="1" x14ac:dyDescent="0.3">
      <c r="A43" s="223"/>
      <c r="B43" s="224"/>
      <c r="C43" s="7" t="s">
        <v>570</v>
      </c>
      <c r="D43" s="7" t="s">
        <v>571</v>
      </c>
      <c r="E43" s="7" t="s">
        <v>419</v>
      </c>
      <c r="F43" s="11" t="s">
        <v>572</v>
      </c>
      <c r="G43" s="33">
        <v>0.12</v>
      </c>
      <c r="H43" s="33">
        <v>0.28000000000000003</v>
      </c>
      <c r="I43" s="33">
        <v>0.2</v>
      </c>
      <c r="J43" s="33">
        <v>0.4</v>
      </c>
      <c r="K43" s="233"/>
      <c r="L43" s="7" t="s">
        <v>573</v>
      </c>
      <c r="M43" s="7" t="s">
        <v>550</v>
      </c>
      <c r="N43" s="11" t="s">
        <v>574</v>
      </c>
    </row>
    <row r="44" spans="1:16" ht="159.6" customHeight="1" x14ac:dyDescent="0.3">
      <c r="A44" s="223"/>
      <c r="B44" s="224"/>
      <c r="C44" s="7" t="s">
        <v>575</v>
      </c>
      <c r="D44" s="7" t="s">
        <v>576</v>
      </c>
      <c r="E44" s="7" t="s">
        <v>419</v>
      </c>
      <c r="F44" s="11" t="s">
        <v>577</v>
      </c>
      <c r="G44" s="33">
        <v>0.15</v>
      </c>
      <c r="H44" s="33">
        <v>0.15</v>
      </c>
      <c r="I44" s="33">
        <v>0.1</v>
      </c>
      <c r="J44" s="33">
        <v>0.1</v>
      </c>
      <c r="K44" s="233"/>
      <c r="L44" s="7" t="s">
        <v>578</v>
      </c>
      <c r="M44" s="7" t="s">
        <v>550</v>
      </c>
      <c r="N44" s="11" t="s">
        <v>579</v>
      </c>
    </row>
    <row r="45" spans="1:16" ht="159.6" customHeight="1" x14ac:dyDescent="0.3">
      <c r="A45" s="223"/>
      <c r="B45" s="224"/>
      <c r="C45" s="7" t="s">
        <v>580</v>
      </c>
      <c r="D45" s="7" t="s">
        <v>581</v>
      </c>
      <c r="E45" s="7" t="s">
        <v>420</v>
      </c>
      <c r="F45" s="7" t="s">
        <v>582</v>
      </c>
      <c r="G45" s="33"/>
      <c r="H45" s="33"/>
      <c r="I45" s="33"/>
      <c r="J45" s="38">
        <v>20</v>
      </c>
      <c r="K45" s="233"/>
      <c r="L45" s="7" t="s">
        <v>583</v>
      </c>
      <c r="M45" s="7" t="s">
        <v>550</v>
      </c>
      <c r="N45" s="11" t="s">
        <v>584</v>
      </c>
    </row>
    <row r="46" spans="1:16" ht="159.6" customHeight="1" x14ac:dyDescent="0.3">
      <c r="A46" s="223"/>
      <c r="B46" s="224"/>
      <c r="C46" s="7" t="s">
        <v>585</v>
      </c>
      <c r="D46" s="7" t="s">
        <v>586</v>
      </c>
      <c r="E46" s="7" t="s">
        <v>420</v>
      </c>
      <c r="F46" s="7" t="s">
        <v>587</v>
      </c>
      <c r="G46" s="39">
        <v>13</v>
      </c>
      <c r="H46" s="33"/>
      <c r="I46" s="38"/>
      <c r="J46" s="38"/>
      <c r="K46" s="233"/>
      <c r="L46" s="7" t="s">
        <v>588</v>
      </c>
      <c r="M46" s="7" t="s">
        <v>550</v>
      </c>
      <c r="N46" s="11" t="s">
        <v>589</v>
      </c>
    </row>
    <row r="47" spans="1:16" ht="159.6" customHeight="1" x14ac:dyDescent="0.3">
      <c r="A47" s="223"/>
      <c r="B47" s="224"/>
      <c r="C47" s="7" t="s">
        <v>590</v>
      </c>
      <c r="D47" s="7" t="s">
        <v>591</v>
      </c>
      <c r="E47" s="7" t="s">
        <v>420</v>
      </c>
      <c r="F47" s="7" t="s">
        <v>592</v>
      </c>
      <c r="G47" s="39">
        <v>4</v>
      </c>
      <c r="H47" s="33"/>
      <c r="I47" s="38"/>
      <c r="J47" s="38"/>
      <c r="K47" s="233"/>
      <c r="L47" s="7" t="s">
        <v>593</v>
      </c>
      <c r="M47" s="7" t="s">
        <v>550</v>
      </c>
      <c r="N47" s="11" t="s">
        <v>594</v>
      </c>
    </row>
    <row r="48" spans="1:16" ht="159.6" customHeight="1" x14ac:dyDescent="0.3">
      <c r="A48" s="223"/>
      <c r="B48" s="224"/>
      <c r="C48" s="7" t="s">
        <v>595</v>
      </c>
      <c r="D48" s="7" t="s">
        <v>596</v>
      </c>
      <c r="E48" s="7" t="s">
        <v>420</v>
      </c>
      <c r="F48" s="7" t="s">
        <v>597</v>
      </c>
      <c r="G48" s="33">
        <v>0.46</v>
      </c>
      <c r="H48" s="33">
        <v>0.18</v>
      </c>
      <c r="I48" s="33">
        <v>0.18</v>
      </c>
      <c r="J48" s="33">
        <v>0.18</v>
      </c>
      <c r="K48" s="233"/>
      <c r="L48" s="7" t="s">
        <v>598</v>
      </c>
      <c r="M48" s="7" t="s">
        <v>550</v>
      </c>
      <c r="N48" s="11" t="s">
        <v>599</v>
      </c>
    </row>
    <row r="49" spans="1:77" ht="159.6" customHeight="1" x14ac:dyDescent="0.3">
      <c r="A49" s="223"/>
      <c r="B49" s="224"/>
      <c r="C49" s="7" t="s">
        <v>600</v>
      </c>
      <c r="D49" s="40" t="s">
        <v>601</v>
      </c>
      <c r="E49" s="7" t="s">
        <v>421</v>
      </c>
      <c r="F49" s="40" t="s">
        <v>602</v>
      </c>
      <c r="G49" s="7"/>
      <c r="H49" s="7"/>
      <c r="I49" s="41">
        <v>680</v>
      </c>
      <c r="J49" s="42"/>
      <c r="K49" s="233"/>
      <c r="L49" s="7" t="s">
        <v>603</v>
      </c>
      <c r="M49" s="7" t="s">
        <v>604</v>
      </c>
      <c r="N49" s="11" t="s">
        <v>605</v>
      </c>
    </row>
    <row r="50" spans="1:77" ht="159.6" customHeight="1" x14ac:dyDescent="0.3">
      <c r="A50" s="223"/>
      <c r="B50" s="224"/>
      <c r="C50" s="7" t="s">
        <v>606</v>
      </c>
      <c r="D50" s="40" t="s">
        <v>607</v>
      </c>
      <c r="E50" s="7" t="s">
        <v>420</v>
      </c>
      <c r="F50" s="40" t="s">
        <v>608</v>
      </c>
      <c r="G50" s="12">
        <v>510</v>
      </c>
      <c r="H50" s="12">
        <v>510</v>
      </c>
      <c r="I50" s="12">
        <v>510</v>
      </c>
      <c r="J50" s="12">
        <v>510</v>
      </c>
      <c r="K50" s="233"/>
      <c r="L50" s="11" t="s">
        <v>609</v>
      </c>
      <c r="M50" s="11" t="s">
        <v>610</v>
      </c>
      <c r="N50" s="35" t="s">
        <v>611</v>
      </c>
    </row>
    <row r="51" spans="1:77" ht="159.6" customHeight="1" x14ac:dyDescent="0.3">
      <c r="A51" s="223"/>
      <c r="B51" s="224"/>
      <c r="C51" s="7" t="s">
        <v>612</v>
      </c>
      <c r="D51" s="40" t="s">
        <v>613</v>
      </c>
      <c r="E51" s="7" t="s">
        <v>421</v>
      </c>
      <c r="F51" s="40" t="s">
        <v>614</v>
      </c>
      <c r="G51" s="39">
        <v>54</v>
      </c>
      <c r="H51" s="39">
        <v>54</v>
      </c>
      <c r="I51" s="39">
        <v>54</v>
      </c>
      <c r="J51" s="39">
        <v>54</v>
      </c>
      <c r="K51" s="233"/>
      <c r="L51" s="7" t="s">
        <v>615</v>
      </c>
      <c r="M51" s="7" t="s">
        <v>604</v>
      </c>
      <c r="N51" s="11" t="s">
        <v>616</v>
      </c>
    </row>
    <row r="52" spans="1:77" ht="159.6" customHeight="1" x14ac:dyDescent="0.3">
      <c r="A52" s="223"/>
      <c r="B52" s="224"/>
      <c r="C52" s="7" t="s">
        <v>617</v>
      </c>
      <c r="D52" s="7" t="s">
        <v>618</v>
      </c>
      <c r="E52" s="7" t="s">
        <v>420</v>
      </c>
      <c r="F52" s="40" t="s">
        <v>619</v>
      </c>
      <c r="G52" s="39">
        <v>40</v>
      </c>
      <c r="H52" s="39">
        <v>40</v>
      </c>
      <c r="I52" s="39">
        <v>40</v>
      </c>
      <c r="J52" s="39">
        <v>40</v>
      </c>
      <c r="K52" s="233"/>
      <c r="L52" s="7" t="s">
        <v>620</v>
      </c>
      <c r="M52" s="7" t="s">
        <v>604</v>
      </c>
      <c r="N52" s="11" t="s">
        <v>621</v>
      </c>
    </row>
    <row r="53" spans="1:77" ht="136.80000000000001" customHeight="1" x14ac:dyDescent="0.3">
      <c r="A53" s="223"/>
      <c r="B53" s="224"/>
      <c r="C53" s="234" t="s">
        <v>622</v>
      </c>
      <c r="D53" s="7" t="s">
        <v>623</v>
      </c>
      <c r="E53" s="7" t="s">
        <v>421</v>
      </c>
      <c r="F53" s="43" t="s">
        <v>624</v>
      </c>
      <c r="G53" s="39">
        <v>381</v>
      </c>
      <c r="H53" s="39">
        <v>381</v>
      </c>
      <c r="I53" s="39">
        <v>381</v>
      </c>
      <c r="J53" s="39">
        <v>381</v>
      </c>
      <c r="K53" s="233"/>
      <c r="L53" s="7" t="s">
        <v>625</v>
      </c>
      <c r="M53" s="7" t="s">
        <v>626</v>
      </c>
      <c r="N53" s="11" t="s">
        <v>627</v>
      </c>
    </row>
    <row r="54" spans="1:77" ht="136.80000000000001" customHeight="1" x14ac:dyDescent="0.3">
      <c r="A54" s="223"/>
      <c r="B54" s="224"/>
      <c r="C54" s="234"/>
      <c r="D54" s="7" t="s">
        <v>628</v>
      </c>
      <c r="E54" s="7" t="s">
        <v>629</v>
      </c>
      <c r="F54" s="35" t="s">
        <v>630</v>
      </c>
      <c r="G54" s="12" t="s">
        <v>631</v>
      </c>
      <c r="H54" s="12" t="s">
        <v>631</v>
      </c>
      <c r="I54" s="12" t="s">
        <v>631</v>
      </c>
      <c r="J54" s="12" t="s">
        <v>631</v>
      </c>
      <c r="K54" s="233"/>
      <c r="L54" s="7" t="s">
        <v>632</v>
      </c>
      <c r="M54" s="7" t="s">
        <v>626</v>
      </c>
      <c r="N54" s="11" t="s">
        <v>633</v>
      </c>
    </row>
    <row r="55" spans="1:77" ht="13.8" customHeight="1" x14ac:dyDescent="0.3">
      <c r="A55" s="51"/>
      <c r="B55" s="55"/>
      <c r="C55" s="17"/>
      <c r="F55" s="56"/>
      <c r="K55" s="57"/>
    </row>
    <row r="56" spans="1:77" ht="29.4" customHeight="1" x14ac:dyDescent="0.3">
      <c r="A56" s="50"/>
      <c r="B56" s="219" t="s">
        <v>425</v>
      </c>
      <c r="C56" s="219" t="s">
        <v>426</v>
      </c>
      <c r="D56" s="220" t="s">
        <v>417</v>
      </c>
      <c r="E56" s="219" t="s">
        <v>658</v>
      </c>
      <c r="F56" s="219" t="s">
        <v>427</v>
      </c>
      <c r="G56" s="219" t="s">
        <v>428</v>
      </c>
      <c r="H56" s="219"/>
      <c r="I56" s="219"/>
      <c r="J56" s="219"/>
      <c r="K56" s="219" t="s">
        <v>700</v>
      </c>
      <c r="L56" s="219" t="s">
        <v>429</v>
      </c>
      <c r="M56" s="219" t="s">
        <v>430</v>
      </c>
      <c r="N56" s="219" t="s">
        <v>431</v>
      </c>
    </row>
    <row r="57" spans="1:77" ht="29.4" customHeight="1" x14ac:dyDescent="0.3">
      <c r="A57" s="6"/>
      <c r="B57" s="219"/>
      <c r="C57" s="219"/>
      <c r="D57" s="220"/>
      <c r="E57" s="219"/>
      <c r="F57" s="219"/>
      <c r="G57" s="205" t="s">
        <v>432</v>
      </c>
      <c r="H57" s="205" t="s">
        <v>433</v>
      </c>
      <c r="I57" s="205" t="s">
        <v>434</v>
      </c>
      <c r="J57" s="205" t="s">
        <v>435</v>
      </c>
      <c r="K57" s="219"/>
      <c r="L57" s="219"/>
      <c r="M57" s="219"/>
      <c r="N57" s="219"/>
    </row>
    <row r="58" spans="1:77" s="58" customFormat="1" ht="18" customHeight="1" x14ac:dyDescent="0.3">
      <c r="A58" s="230" t="s">
        <v>634</v>
      </c>
      <c r="B58" s="231"/>
      <c r="C58" s="231"/>
      <c r="D58" s="231"/>
      <c r="E58" s="231"/>
      <c r="F58" s="231"/>
      <c r="G58" s="231"/>
      <c r="H58" s="231"/>
      <c r="I58" s="231"/>
      <c r="J58" s="231"/>
      <c r="K58" s="231"/>
      <c r="L58" s="231"/>
      <c r="M58" s="231"/>
      <c r="N58" s="23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row>
    <row r="59" spans="1:77" ht="130.19999999999999" customHeight="1" x14ac:dyDescent="0.3">
      <c r="A59" s="223" t="s">
        <v>635</v>
      </c>
      <c r="B59" s="224" t="s">
        <v>636</v>
      </c>
      <c r="C59" s="226" t="s">
        <v>637</v>
      </c>
      <c r="D59" s="7" t="s">
        <v>638</v>
      </c>
      <c r="E59" s="7" t="s">
        <v>421</v>
      </c>
      <c r="F59" s="43" t="s">
        <v>639</v>
      </c>
      <c r="G59" s="38">
        <v>28441</v>
      </c>
      <c r="H59" s="38">
        <v>21877</v>
      </c>
      <c r="I59" s="38">
        <v>22889</v>
      </c>
      <c r="J59" s="38">
        <v>23956</v>
      </c>
      <c r="K59" s="227">
        <v>43196.67</v>
      </c>
      <c r="L59" s="11" t="s">
        <v>640</v>
      </c>
      <c r="M59" s="34" t="s">
        <v>641</v>
      </c>
      <c r="N59" s="10" t="s">
        <v>642</v>
      </c>
      <c r="P59" s="44"/>
    </row>
    <row r="60" spans="1:77" ht="95.4" customHeight="1" x14ac:dyDescent="0.3">
      <c r="A60" s="223"/>
      <c r="B60" s="224"/>
      <c r="C60" s="226"/>
      <c r="D60" s="7" t="s">
        <v>643</v>
      </c>
      <c r="E60" s="7" t="s">
        <v>419</v>
      </c>
      <c r="F60" s="43" t="s">
        <v>644</v>
      </c>
      <c r="G60" s="9">
        <v>0.03</v>
      </c>
      <c r="H60" s="9">
        <v>0.03</v>
      </c>
      <c r="I60" s="9">
        <v>0.03</v>
      </c>
      <c r="J60" s="9">
        <v>0.03</v>
      </c>
      <c r="K60" s="228"/>
      <c r="L60" s="7" t="s">
        <v>645</v>
      </c>
      <c r="M60" s="34" t="s">
        <v>641</v>
      </c>
      <c r="N60" s="10"/>
      <c r="P60" s="44"/>
    </row>
    <row r="61" spans="1:77" ht="97.8" customHeight="1" x14ac:dyDescent="0.3">
      <c r="A61" s="223"/>
      <c r="B61" s="224"/>
      <c r="C61" s="226"/>
      <c r="D61" s="7" t="s">
        <v>646</v>
      </c>
      <c r="E61" s="7" t="s">
        <v>420</v>
      </c>
      <c r="F61" s="43" t="s">
        <v>647</v>
      </c>
      <c r="G61" s="38">
        <v>183</v>
      </c>
      <c r="H61" s="38">
        <v>183</v>
      </c>
      <c r="I61" s="38">
        <v>183</v>
      </c>
      <c r="J61" s="38">
        <v>185</v>
      </c>
      <c r="K61" s="228"/>
      <c r="L61" s="7" t="s">
        <v>648</v>
      </c>
      <c r="M61" s="34" t="s">
        <v>641</v>
      </c>
      <c r="N61" s="10" t="s">
        <v>649</v>
      </c>
      <c r="P61" s="2">
        <v>20047</v>
      </c>
      <c r="Q61" s="2">
        <v>697</v>
      </c>
    </row>
    <row r="62" spans="1:77" ht="88.2" customHeight="1" x14ac:dyDescent="0.3">
      <c r="A62" s="223"/>
      <c r="B62" s="224"/>
      <c r="C62" s="226"/>
      <c r="D62" s="7" t="s">
        <v>650</v>
      </c>
      <c r="E62" s="7" t="s">
        <v>629</v>
      </c>
      <c r="F62" s="11" t="s">
        <v>651</v>
      </c>
      <c r="G62" s="12">
        <v>25</v>
      </c>
      <c r="H62" s="12">
        <v>25</v>
      </c>
      <c r="I62" s="12">
        <v>25</v>
      </c>
      <c r="J62" s="12">
        <v>25</v>
      </c>
      <c r="K62" s="228"/>
      <c r="L62" s="7" t="s">
        <v>652</v>
      </c>
      <c r="M62" s="34" t="s">
        <v>641</v>
      </c>
      <c r="N62" s="10" t="s">
        <v>653</v>
      </c>
      <c r="P62" s="2">
        <v>19416.900000000001</v>
      </c>
      <c r="Q62" s="2">
        <f>+P62*Q61/P61</f>
        <v>675.09249763056823</v>
      </c>
    </row>
    <row r="63" spans="1:77" ht="97.8" customHeight="1" x14ac:dyDescent="0.3">
      <c r="A63" s="223"/>
      <c r="B63" s="224"/>
      <c r="C63" s="226"/>
      <c r="D63" s="7" t="s">
        <v>654</v>
      </c>
      <c r="E63" s="7" t="s">
        <v>420</v>
      </c>
      <c r="F63" s="43" t="s">
        <v>655</v>
      </c>
      <c r="G63" s="38">
        <v>4</v>
      </c>
      <c r="H63" s="38">
        <v>10</v>
      </c>
      <c r="I63" s="38">
        <v>12</v>
      </c>
      <c r="J63" s="38">
        <v>10</v>
      </c>
      <c r="K63" s="228"/>
      <c r="L63" s="7" t="s">
        <v>648</v>
      </c>
      <c r="M63" s="34" t="s">
        <v>641</v>
      </c>
      <c r="N63" s="10" t="s">
        <v>656</v>
      </c>
      <c r="P63" s="2">
        <v>21352.5</v>
      </c>
      <c r="Q63" s="2">
        <f>+P63*Q61/P61</f>
        <v>742.39000848007186</v>
      </c>
    </row>
    <row r="64" spans="1:77" ht="92.4" customHeight="1" thickBot="1" x14ac:dyDescent="0.35">
      <c r="A64" s="45"/>
      <c r="B64" s="225"/>
      <c r="C64" s="13" t="s">
        <v>533</v>
      </c>
      <c r="D64" s="13" t="s">
        <v>657</v>
      </c>
      <c r="E64" s="46" t="s">
        <v>419</v>
      </c>
      <c r="F64" s="14" t="s">
        <v>535</v>
      </c>
      <c r="G64" s="15"/>
      <c r="H64" s="15">
        <v>0.85</v>
      </c>
      <c r="I64" s="3"/>
      <c r="J64" s="15">
        <v>0.85</v>
      </c>
      <c r="K64" s="229"/>
      <c r="L64" s="13" t="s">
        <v>536</v>
      </c>
      <c r="M64" s="47" t="s">
        <v>641</v>
      </c>
      <c r="N64" s="16"/>
    </row>
    <row r="66" spans="2:2" x14ac:dyDescent="0.25">
      <c r="B66" s="91" t="s">
        <v>699</v>
      </c>
    </row>
  </sheetData>
  <mergeCells count="67">
    <mergeCell ref="A9:A14"/>
    <mergeCell ref="B9:B14"/>
    <mergeCell ref="C9:C14"/>
    <mergeCell ref="K9:K14"/>
    <mergeCell ref="A1:N1"/>
    <mergeCell ref="A2:N2"/>
    <mergeCell ref="A3:N5"/>
    <mergeCell ref="A6:A7"/>
    <mergeCell ref="B6:B7"/>
    <mergeCell ref="C6:C7"/>
    <mergeCell ref="D6:D7"/>
    <mergeCell ref="E6:E7"/>
    <mergeCell ref="F6:F7"/>
    <mergeCell ref="G6:J6"/>
    <mergeCell ref="K6:K7"/>
    <mergeCell ref="L6:L7"/>
    <mergeCell ref="M6:M7"/>
    <mergeCell ref="N6:N7"/>
    <mergeCell ref="A8:N8"/>
    <mergeCell ref="L56:L57"/>
    <mergeCell ref="M56:M57"/>
    <mergeCell ref="N56:N57"/>
    <mergeCell ref="A18:N18"/>
    <mergeCell ref="B19:B27"/>
    <mergeCell ref="K19:K31"/>
    <mergeCell ref="A20:A31"/>
    <mergeCell ref="C24:C25"/>
    <mergeCell ref="M24:M25"/>
    <mergeCell ref="N24:N25"/>
    <mergeCell ref="B30:B31"/>
    <mergeCell ref="L16:L17"/>
    <mergeCell ref="M16:M17"/>
    <mergeCell ref="A59:A63"/>
    <mergeCell ref="B59:B64"/>
    <mergeCell ref="C59:C63"/>
    <mergeCell ref="K59:K64"/>
    <mergeCell ref="B16:B17"/>
    <mergeCell ref="C16:C17"/>
    <mergeCell ref="D16:D17"/>
    <mergeCell ref="E16:E17"/>
    <mergeCell ref="F16:F17"/>
    <mergeCell ref="A36:N36"/>
    <mergeCell ref="A37:A54"/>
    <mergeCell ref="B37:B54"/>
    <mergeCell ref="K37:K54"/>
    <mergeCell ref="C53:C54"/>
    <mergeCell ref="A58:N58"/>
    <mergeCell ref="K56:K57"/>
    <mergeCell ref="N16:N17"/>
    <mergeCell ref="G16:J16"/>
    <mergeCell ref="K16:K17"/>
    <mergeCell ref="K34:K35"/>
    <mergeCell ref="L34:L35"/>
    <mergeCell ref="M34:M35"/>
    <mergeCell ref="N34:N35"/>
    <mergeCell ref="G56:J56"/>
    <mergeCell ref="B34:B35"/>
    <mergeCell ref="C34:C35"/>
    <mergeCell ref="D34:D35"/>
    <mergeCell ref="E34:E35"/>
    <mergeCell ref="F34:F35"/>
    <mergeCell ref="G34:J34"/>
    <mergeCell ref="B56:B57"/>
    <mergeCell ref="C56:C57"/>
    <mergeCell ref="D56:D57"/>
    <mergeCell ref="E56:E57"/>
    <mergeCell ref="F56:F5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Ingresos 2024</vt:lpstr>
      <vt:lpstr>Egresos 2024</vt:lpstr>
      <vt:lpstr>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Navarro Obando</dc:creator>
  <cp:lastModifiedBy>Marlen Salazar Zamora</cp:lastModifiedBy>
  <dcterms:created xsi:type="dcterms:W3CDTF">2025-07-04T17:01:24Z</dcterms:created>
  <dcterms:modified xsi:type="dcterms:W3CDTF">2025-07-21T14:28:22Z</dcterms:modified>
</cp:coreProperties>
</file>