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Mnavarro\Documents\Presupuesto 2025\Presupuesto en excel para publicar\"/>
    </mc:Choice>
  </mc:AlternateContent>
  <xr:revisionPtr revIDLastSave="0" documentId="8_{87ACABD0-6728-4653-B347-072A0518642D}" xr6:coauthVersionLast="47" xr6:coauthVersionMax="47" xr10:uidLastSave="{00000000-0000-0000-0000-000000000000}"/>
  <bookViews>
    <workbookView xWindow="-108" yWindow="-108" windowWidth="23256" windowHeight="13896" activeTab="2" xr2:uid="{193DD45B-599F-4B65-BA9A-5B75B9B26F45}"/>
  </bookViews>
  <sheets>
    <sheet name="Ingresos 2025" sheetId="2" r:id="rId1"/>
    <sheet name="Egresos 2025" sheetId="1" r:id="rId2"/>
    <sheet name="Indicadores" sheetId="6" r:id="rId3"/>
  </sheets>
  <externalReferences>
    <externalReference r:id="rId4"/>
    <externalReference r:id="rId5"/>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6" l="1"/>
  <c r="K21" i="6"/>
  <c r="D40" i="2"/>
  <c r="C40" i="2" s="1"/>
  <c r="B40" i="2"/>
  <c r="D39" i="2"/>
  <c r="B39" i="2"/>
  <c r="D38" i="2"/>
  <c r="C38" i="2" s="1"/>
  <c r="B38" i="2"/>
  <c r="D37" i="2"/>
  <c r="C37" i="2" s="1"/>
  <c r="D36" i="2"/>
  <c r="C36" i="2" s="1"/>
  <c r="D35" i="2"/>
  <c r="C35" i="2"/>
  <c r="B35" i="2"/>
  <c r="D34" i="2"/>
  <c r="C34" i="2" s="1"/>
  <c r="B34" i="2"/>
  <c r="B32" i="2"/>
  <c r="D31" i="2"/>
  <c r="D30" i="2" s="1"/>
  <c r="C31" i="2"/>
  <c r="C30" i="2" s="1"/>
  <c r="B31" i="2"/>
  <c r="F27" i="2"/>
  <c r="F26" i="2" s="1"/>
  <c r="B27" i="2"/>
  <c r="D24" i="2"/>
  <c r="C24" i="2" s="1"/>
  <c r="B24" i="2"/>
  <c r="D23" i="2"/>
  <c r="C23" i="2"/>
  <c r="F22" i="2"/>
  <c r="D22" i="2"/>
  <c r="C22" i="2" s="1"/>
  <c r="D21" i="2"/>
  <c r="C21" i="2" s="1"/>
  <c r="C20" i="2" s="1"/>
  <c r="F20" i="2"/>
  <c r="D18" i="2"/>
  <c r="C18" i="2"/>
  <c r="F17" i="2"/>
  <c r="D17" i="2"/>
  <c r="C17" i="2"/>
  <c r="D16" i="2"/>
  <c r="C16" i="2" s="1"/>
  <c r="A16" i="2"/>
  <c r="F15" i="2"/>
  <c r="C15" i="2" s="1"/>
  <c r="A15" i="2"/>
  <c r="F14" i="2"/>
  <c r="D14" i="2"/>
  <c r="B14" i="2"/>
  <c r="A14" i="2"/>
  <c r="F13" i="2"/>
  <c r="C13" i="2" s="1"/>
  <c r="B13" i="2"/>
  <c r="A13" i="2"/>
  <c r="F12" i="2"/>
  <c r="D12" i="2"/>
  <c r="C12" i="2"/>
  <c r="A12" i="2"/>
  <c r="D11" i="2"/>
  <c r="C11" i="2" s="1"/>
  <c r="A11" i="2"/>
  <c r="F10" i="2"/>
  <c r="C10" i="2" s="1"/>
  <c r="A10" i="2"/>
  <c r="P242" i="1"/>
  <c r="Q242" i="1" s="1"/>
  <c r="AJ239" i="1"/>
  <c r="AJ238" i="1" s="1"/>
  <c r="AK238" i="1"/>
  <c r="AL236" i="1"/>
  <c r="AJ236" i="1" s="1"/>
  <c r="AE236" i="1"/>
  <c r="Y236" i="1"/>
  <c r="D236" i="1"/>
  <c r="AL235" i="1"/>
  <c r="AJ235" i="1" s="1"/>
  <c r="AJ234" i="1" s="1"/>
  <c r="AJ233" i="1" s="1"/>
  <c r="AE235" i="1"/>
  <c r="Y235" i="1"/>
  <c r="D235" i="1"/>
  <c r="AO234" i="1"/>
  <c r="AO233" i="1" s="1"/>
  <c r="AN234" i="1"/>
  <c r="AN233" i="1" s="1"/>
  <c r="AM234" i="1"/>
  <c r="AM233" i="1" s="1"/>
  <c r="AK234" i="1"/>
  <c r="AK233" i="1" s="1"/>
  <c r="AI234" i="1"/>
  <c r="AI233" i="1" s="1"/>
  <c r="AH234" i="1"/>
  <c r="AH233" i="1" s="1"/>
  <c r="AG234" i="1"/>
  <c r="AG233" i="1" s="1"/>
  <c r="AF234" i="1"/>
  <c r="AF233" i="1" s="1"/>
  <c r="AD234" i="1"/>
  <c r="AD233" i="1" s="1"/>
  <c r="AC234" i="1"/>
  <c r="AC233" i="1" s="1"/>
  <c r="AB234" i="1"/>
  <c r="AB233" i="1" s="1"/>
  <c r="AA234" i="1"/>
  <c r="AA233" i="1" s="1"/>
  <c r="Z234" i="1"/>
  <c r="Z233" i="1" s="1"/>
  <c r="X234" i="1"/>
  <c r="X233" i="1" s="1"/>
  <c r="W234" i="1"/>
  <c r="W233" i="1" s="1"/>
  <c r="V234" i="1"/>
  <c r="V233" i="1" s="1"/>
  <c r="U234" i="1"/>
  <c r="U233" i="1" s="1"/>
  <c r="T234" i="1"/>
  <c r="T233" i="1" s="1"/>
  <c r="S234" i="1"/>
  <c r="S233" i="1" s="1"/>
  <c r="R234" i="1"/>
  <c r="R233" i="1" s="1"/>
  <c r="Q234" i="1"/>
  <c r="Q233" i="1" s="1"/>
  <c r="P234" i="1"/>
  <c r="P233" i="1" s="1"/>
  <c r="O234" i="1"/>
  <c r="O233" i="1" s="1"/>
  <c r="N234" i="1"/>
  <c r="N233" i="1" s="1"/>
  <c r="M234" i="1"/>
  <c r="M233" i="1" s="1"/>
  <c r="L234" i="1"/>
  <c r="K234" i="1"/>
  <c r="K233" i="1" s="1"/>
  <c r="J234" i="1"/>
  <c r="J233" i="1" s="1"/>
  <c r="I234" i="1"/>
  <c r="H234" i="1"/>
  <c r="G234" i="1"/>
  <c r="G233" i="1" s="1"/>
  <c r="F234" i="1"/>
  <c r="F233" i="1" s="1"/>
  <c r="E234" i="1"/>
  <c r="E233" i="1" s="1"/>
  <c r="L233" i="1"/>
  <c r="I233" i="1"/>
  <c r="H233" i="1"/>
  <c r="AG231" i="1"/>
  <c r="AG226" i="1" s="1"/>
  <c r="AE230" i="1"/>
  <c r="C230" i="1" s="1"/>
  <c r="AL229" i="1"/>
  <c r="AJ229" i="1" s="1"/>
  <c r="AE229" i="1"/>
  <c r="Y229" i="1"/>
  <c r="D229" i="1"/>
  <c r="AL228" i="1"/>
  <c r="AJ228" i="1" s="1"/>
  <c r="AH228" i="1"/>
  <c r="AE228" i="1" s="1"/>
  <c r="Y228" i="1"/>
  <c r="D228" i="1"/>
  <c r="AL227" i="1"/>
  <c r="AH227" i="1"/>
  <c r="Y227" i="1"/>
  <c r="D227" i="1"/>
  <c r="AO226" i="1"/>
  <c r="AN226" i="1"/>
  <c r="AM226" i="1"/>
  <c r="AK226" i="1"/>
  <c r="AI226" i="1"/>
  <c r="AF226" i="1"/>
  <c r="AD226" i="1"/>
  <c r="AD222" i="1" s="1"/>
  <c r="AC226" i="1"/>
  <c r="AB226" i="1"/>
  <c r="AA226" i="1"/>
  <c r="Z226" i="1"/>
  <c r="X226" i="1"/>
  <c r="W226" i="1"/>
  <c r="V226" i="1"/>
  <c r="U226" i="1"/>
  <c r="T226" i="1"/>
  <c r="S226" i="1"/>
  <c r="R226" i="1"/>
  <c r="Q226" i="1"/>
  <c r="Q222" i="1" s="1"/>
  <c r="P226" i="1"/>
  <c r="P222" i="1" s="1"/>
  <c r="O226" i="1"/>
  <c r="N226" i="1"/>
  <c r="M226" i="1"/>
  <c r="L226" i="1"/>
  <c r="K226" i="1"/>
  <c r="J226" i="1"/>
  <c r="I226" i="1"/>
  <c r="H226" i="1"/>
  <c r="G226" i="1"/>
  <c r="F226" i="1"/>
  <c r="E226" i="1"/>
  <c r="AL224" i="1"/>
  <c r="AL223" i="1" s="1"/>
  <c r="AJ224" i="1"/>
  <c r="AJ223" i="1" s="1"/>
  <c r="AH224" i="1"/>
  <c r="AH223" i="1" s="1"/>
  <c r="AG224" i="1"/>
  <c r="AG223" i="1" s="1"/>
  <c r="Y224" i="1"/>
  <c r="Y223" i="1" s="1"/>
  <c r="D224" i="1"/>
  <c r="D223" i="1" s="1"/>
  <c r="AO223" i="1"/>
  <c r="AN223" i="1"/>
  <c r="AM223" i="1"/>
  <c r="AK223" i="1"/>
  <c r="AI223" i="1"/>
  <c r="AF223" i="1"/>
  <c r="AD223" i="1"/>
  <c r="AC223" i="1"/>
  <c r="AB223" i="1"/>
  <c r="AA223" i="1"/>
  <c r="AA222" i="1" s="1"/>
  <c r="Z223" i="1"/>
  <c r="X223" i="1"/>
  <c r="X222" i="1" s="1"/>
  <c r="W223" i="1"/>
  <c r="W222" i="1" s="1"/>
  <c r="V223" i="1"/>
  <c r="V222" i="1" s="1"/>
  <c r="U223" i="1"/>
  <c r="T223" i="1"/>
  <c r="S223" i="1"/>
  <c r="R223" i="1"/>
  <c r="Q223" i="1"/>
  <c r="P223" i="1"/>
  <c r="O223" i="1"/>
  <c r="N223" i="1"/>
  <c r="M223" i="1"/>
  <c r="L223" i="1"/>
  <c r="K223" i="1"/>
  <c r="J223" i="1"/>
  <c r="I223" i="1"/>
  <c r="H223" i="1"/>
  <c r="G223" i="1"/>
  <c r="F223" i="1"/>
  <c r="E223" i="1"/>
  <c r="AL220" i="1"/>
  <c r="AL219" i="1" s="1"/>
  <c r="AK220" i="1"/>
  <c r="AK219" i="1" s="1"/>
  <c r="AJ220" i="1"/>
  <c r="AJ219" i="1" s="1"/>
  <c r="AE220" i="1"/>
  <c r="AE219" i="1" s="1"/>
  <c r="Y220" i="1"/>
  <c r="Y219" i="1" s="1"/>
  <c r="T220" i="1"/>
  <c r="D220" i="1" s="1"/>
  <c r="AO219" i="1"/>
  <c r="AN219" i="1"/>
  <c r="AM219" i="1"/>
  <c r="AI219" i="1"/>
  <c r="AH219" i="1"/>
  <c r="AG219" i="1"/>
  <c r="AF219" i="1"/>
  <c r="AD219" i="1"/>
  <c r="AC219" i="1"/>
  <c r="AB219" i="1"/>
  <c r="AA219" i="1"/>
  <c r="Z219" i="1"/>
  <c r="X219" i="1"/>
  <c r="W219" i="1"/>
  <c r="V219" i="1"/>
  <c r="U219" i="1"/>
  <c r="S219" i="1"/>
  <c r="R219" i="1"/>
  <c r="Q219" i="1"/>
  <c r="P219" i="1"/>
  <c r="O219" i="1"/>
  <c r="N219" i="1"/>
  <c r="M219" i="1"/>
  <c r="L219" i="1"/>
  <c r="K219" i="1"/>
  <c r="J219" i="1"/>
  <c r="I219" i="1"/>
  <c r="H219" i="1"/>
  <c r="G219" i="1"/>
  <c r="F219" i="1"/>
  <c r="E219" i="1"/>
  <c r="AL217" i="1"/>
  <c r="AE217" i="1"/>
  <c r="Y217" i="1"/>
  <c r="D217" i="1"/>
  <c r="AL216" i="1"/>
  <c r="AK216" i="1"/>
  <c r="AE216" i="1"/>
  <c r="Y216" i="1"/>
  <c r="D216" i="1"/>
  <c r="D215" i="1" s="1"/>
  <c r="AO215" i="1"/>
  <c r="AN215" i="1"/>
  <c r="AM215" i="1"/>
  <c r="AK215" i="1"/>
  <c r="AI215" i="1"/>
  <c r="AH215" i="1"/>
  <c r="AG215" i="1"/>
  <c r="AF215" i="1"/>
  <c r="AD215" i="1"/>
  <c r="AC215" i="1"/>
  <c r="AB215" i="1"/>
  <c r="AA215" i="1"/>
  <c r="Z215" i="1"/>
  <c r="X215" i="1"/>
  <c r="W215" i="1"/>
  <c r="V215" i="1"/>
  <c r="U215" i="1"/>
  <c r="T215" i="1"/>
  <c r="S215" i="1"/>
  <c r="R215" i="1"/>
  <c r="Q215" i="1"/>
  <c r="P215" i="1"/>
  <c r="O215" i="1"/>
  <c r="N215" i="1"/>
  <c r="M215" i="1"/>
  <c r="L215" i="1"/>
  <c r="K215" i="1"/>
  <c r="J215" i="1"/>
  <c r="I215" i="1"/>
  <c r="H215" i="1"/>
  <c r="G215" i="1"/>
  <c r="F215" i="1"/>
  <c r="E215" i="1"/>
  <c r="AL213" i="1"/>
  <c r="AJ213" i="1" s="1"/>
  <c r="AE213" i="1"/>
  <c r="AE211" i="1" s="1"/>
  <c r="Y213" i="1"/>
  <c r="Y211" i="1" s="1"/>
  <c r="D213" i="1"/>
  <c r="AJ212" i="1"/>
  <c r="D212" i="1"/>
  <c r="C212" i="1"/>
  <c r="AO211" i="1"/>
  <c r="AN211" i="1"/>
  <c r="AM211" i="1"/>
  <c r="AL211" i="1"/>
  <c r="AK211" i="1"/>
  <c r="AI211" i="1"/>
  <c r="AH211" i="1"/>
  <c r="AG211" i="1"/>
  <c r="AF211" i="1"/>
  <c r="AD211" i="1"/>
  <c r="AC211" i="1"/>
  <c r="AB211" i="1"/>
  <c r="AA211" i="1"/>
  <c r="Z211" i="1"/>
  <c r="X211" i="1"/>
  <c r="W211" i="1"/>
  <c r="V211" i="1"/>
  <c r="U211" i="1"/>
  <c r="T211" i="1"/>
  <c r="S211" i="1"/>
  <c r="R211" i="1"/>
  <c r="Q211" i="1"/>
  <c r="P211" i="1"/>
  <c r="O211" i="1"/>
  <c r="N211" i="1"/>
  <c r="M211" i="1"/>
  <c r="L211" i="1"/>
  <c r="K211" i="1"/>
  <c r="J211" i="1"/>
  <c r="I211" i="1"/>
  <c r="H211" i="1"/>
  <c r="G211" i="1"/>
  <c r="F211" i="1"/>
  <c r="E211" i="1"/>
  <c r="AL209" i="1"/>
  <c r="AK209" i="1"/>
  <c r="AE209" i="1"/>
  <c r="Y209" i="1"/>
  <c r="H209" i="1"/>
  <c r="H207" i="1" s="1"/>
  <c r="AL208" i="1"/>
  <c r="AJ208" i="1"/>
  <c r="AE208" i="1"/>
  <c r="Y208" i="1"/>
  <c r="D208" i="1"/>
  <c r="AO207" i="1"/>
  <c r="AN207" i="1"/>
  <c r="AM207" i="1"/>
  <c r="AI207" i="1"/>
  <c r="AH207" i="1"/>
  <c r="AG207" i="1"/>
  <c r="AF207" i="1"/>
  <c r="AD207" i="1"/>
  <c r="AC207" i="1"/>
  <c r="AB207" i="1"/>
  <c r="AA207" i="1"/>
  <c r="Z207" i="1"/>
  <c r="X207" i="1"/>
  <c r="W207" i="1"/>
  <c r="V207" i="1"/>
  <c r="U207" i="1"/>
  <c r="T207" i="1"/>
  <c r="S207" i="1"/>
  <c r="R207" i="1"/>
  <c r="Q207" i="1"/>
  <c r="P207" i="1"/>
  <c r="O207" i="1"/>
  <c r="N207" i="1"/>
  <c r="M207" i="1"/>
  <c r="L207" i="1"/>
  <c r="K207" i="1"/>
  <c r="J207" i="1"/>
  <c r="I207" i="1"/>
  <c r="G207" i="1"/>
  <c r="F207" i="1"/>
  <c r="E207" i="1"/>
  <c r="AL205" i="1"/>
  <c r="AL204" i="1" s="1"/>
  <c r="AE205" i="1"/>
  <c r="AE204" i="1" s="1"/>
  <c r="Y205" i="1"/>
  <c r="Y204" i="1" s="1"/>
  <c r="D205" i="1"/>
  <c r="D204" i="1" s="1"/>
  <c r="AO204" i="1"/>
  <c r="AN204" i="1"/>
  <c r="AM204" i="1"/>
  <c r="AK204" i="1"/>
  <c r="AI204" i="1"/>
  <c r="AH204" i="1"/>
  <c r="AG204" i="1"/>
  <c r="AF204" i="1"/>
  <c r="AD204" i="1"/>
  <c r="AC204" i="1"/>
  <c r="AB204" i="1"/>
  <c r="AA204" i="1"/>
  <c r="Z204" i="1"/>
  <c r="X204" i="1"/>
  <c r="W204" i="1"/>
  <c r="W202" i="1" s="1"/>
  <c r="V204" i="1"/>
  <c r="U204" i="1"/>
  <c r="T204" i="1"/>
  <c r="S204" i="1"/>
  <c r="R204" i="1"/>
  <c r="Q204" i="1"/>
  <c r="P204" i="1"/>
  <c r="O204" i="1"/>
  <c r="N204" i="1"/>
  <c r="M204" i="1"/>
  <c r="L204" i="1"/>
  <c r="K204" i="1"/>
  <c r="J204" i="1"/>
  <c r="I204" i="1"/>
  <c r="H204" i="1"/>
  <c r="G204" i="1"/>
  <c r="F204" i="1"/>
  <c r="E204" i="1"/>
  <c r="AL200" i="1"/>
  <c r="AJ200" i="1" s="1"/>
  <c r="AE200" i="1"/>
  <c r="Y200" i="1"/>
  <c r="I200" i="1"/>
  <c r="D200" i="1" s="1"/>
  <c r="AL199" i="1"/>
  <c r="AJ199" i="1"/>
  <c r="AE199" i="1"/>
  <c r="Y199" i="1"/>
  <c r="I199" i="1"/>
  <c r="D199" i="1" s="1"/>
  <c r="AL198" i="1"/>
  <c r="AJ198" i="1" s="1"/>
  <c r="AE198" i="1"/>
  <c r="AD198" i="1"/>
  <c r="AD196" i="1" s="1"/>
  <c r="AC198" i="1"/>
  <c r="I198" i="1"/>
  <c r="D198" i="1"/>
  <c r="AL197" i="1"/>
  <c r="AK197" i="1"/>
  <c r="AK196" i="1" s="1"/>
  <c r="AJ197" i="1"/>
  <c r="AE197" i="1"/>
  <c r="Y197" i="1"/>
  <c r="I197" i="1"/>
  <c r="D197" i="1" s="1"/>
  <c r="AO196" i="1"/>
  <c r="AN196" i="1"/>
  <c r="AM196" i="1"/>
  <c r="AI196" i="1"/>
  <c r="AH196" i="1"/>
  <c r="AG196" i="1"/>
  <c r="AF196" i="1"/>
  <c r="AB196" i="1"/>
  <c r="AA196" i="1"/>
  <c r="Z196" i="1"/>
  <c r="X196" i="1"/>
  <c r="W196" i="1"/>
  <c r="V196" i="1"/>
  <c r="U196" i="1"/>
  <c r="T196" i="1"/>
  <c r="S196" i="1"/>
  <c r="R196" i="1"/>
  <c r="Q196" i="1"/>
  <c r="P196" i="1"/>
  <c r="O196" i="1"/>
  <c r="N196" i="1"/>
  <c r="M196" i="1"/>
  <c r="L196" i="1"/>
  <c r="K196" i="1"/>
  <c r="J196" i="1"/>
  <c r="H196" i="1"/>
  <c r="G196" i="1"/>
  <c r="F196" i="1"/>
  <c r="E196" i="1"/>
  <c r="AE194" i="1"/>
  <c r="C194" i="1" s="1"/>
  <c r="AE193" i="1"/>
  <c r="C193" i="1" s="1"/>
  <c r="AG192" i="1"/>
  <c r="AG189" i="1" s="1"/>
  <c r="AE192" i="1"/>
  <c r="AL190" i="1"/>
  <c r="AL189" i="1" s="1"/>
  <c r="AK190" i="1"/>
  <c r="AE190" i="1"/>
  <c r="Y190" i="1"/>
  <c r="Y189" i="1" s="1"/>
  <c r="O190" i="1"/>
  <c r="D190" i="1" s="1"/>
  <c r="D189" i="1" s="1"/>
  <c r="AO189" i="1"/>
  <c r="AN189" i="1"/>
  <c r="AM189" i="1"/>
  <c r="AI189" i="1"/>
  <c r="AH189" i="1"/>
  <c r="AF189" i="1"/>
  <c r="AD189" i="1"/>
  <c r="AC189" i="1"/>
  <c r="AB189" i="1"/>
  <c r="AA189" i="1"/>
  <c r="Z189" i="1"/>
  <c r="X189" i="1"/>
  <c r="W189" i="1"/>
  <c r="V189" i="1"/>
  <c r="U189" i="1"/>
  <c r="T189" i="1"/>
  <c r="S189" i="1"/>
  <c r="R189" i="1"/>
  <c r="R179" i="1" s="1"/>
  <c r="Q189" i="1"/>
  <c r="P189" i="1"/>
  <c r="N189" i="1"/>
  <c r="M189" i="1"/>
  <c r="L189" i="1"/>
  <c r="K189" i="1"/>
  <c r="J189" i="1"/>
  <c r="I189" i="1"/>
  <c r="H189" i="1"/>
  <c r="G189" i="1"/>
  <c r="F189" i="1"/>
  <c r="E189" i="1"/>
  <c r="AL187" i="1"/>
  <c r="AK187" i="1"/>
  <c r="AJ187" i="1"/>
  <c r="AE187" i="1"/>
  <c r="Y187" i="1"/>
  <c r="O187" i="1"/>
  <c r="D187" i="1"/>
  <c r="AL186" i="1"/>
  <c r="AK186" i="1"/>
  <c r="AE186" i="1"/>
  <c r="Y186" i="1"/>
  <c r="I186" i="1"/>
  <c r="D186" i="1" s="1"/>
  <c r="AL185" i="1"/>
  <c r="AJ185" i="1" s="1"/>
  <c r="AE185" i="1"/>
  <c r="Y185" i="1"/>
  <c r="D185" i="1"/>
  <c r="AL184" i="1"/>
  <c r="AK184" i="1"/>
  <c r="AJ184" i="1" s="1"/>
  <c r="AE184" i="1"/>
  <c r="Y184" i="1"/>
  <c r="O184" i="1"/>
  <c r="O181" i="1" s="1"/>
  <c r="AL183" i="1"/>
  <c r="AJ183" i="1" s="1"/>
  <c r="AE183" i="1"/>
  <c r="Y183" i="1"/>
  <c r="D183" i="1"/>
  <c r="AL182" i="1"/>
  <c r="AJ182" i="1" s="1"/>
  <c r="AE182" i="1"/>
  <c r="Y182" i="1"/>
  <c r="D182" i="1"/>
  <c r="AO181" i="1"/>
  <c r="AN181" i="1"/>
  <c r="AM181" i="1"/>
  <c r="AI181" i="1"/>
  <c r="AH181" i="1"/>
  <c r="AG181" i="1"/>
  <c r="AF181" i="1"/>
  <c r="AD181" i="1"/>
  <c r="AC181" i="1"/>
  <c r="AB181" i="1"/>
  <c r="AA181" i="1"/>
  <c r="Z181" i="1"/>
  <c r="X181" i="1"/>
  <c r="W181" i="1"/>
  <c r="W179" i="1" s="1"/>
  <c r="V181" i="1"/>
  <c r="U181" i="1"/>
  <c r="T181" i="1"/>
  <c r="S181" i="1"/>
  <c r="S179" i="1" s="1"/>
  <c r="R181" i="1"/>
  <c r="Q181" i="1"/>
  <c r="P181" i="1"/>
  <c r="N181" i="1"/>
  <c r="M181" i="1"/>
  <c r="L181" i="1"/>
  <c r="K181" i="1"/>
  <c r="J181" i="1"/>
  <c r="H181" i="1"/>
  <c r="G181" i="1"/>
  <c r="F181" i="1"/>
  <c r="E181" i="1"/>
  <c r="AO177" i="1"/>
  <c r="AO175" i="1" s="1"/>
  <c r="AE177" i="1"/>
  <c r="Y177" i="1"/>
  <c r="D177" i="1"/>
  <c r="AL176" i="1"/>
  <c r="AJ176" i="1" s="1"/>
  <c r="AE176" i="1"/>
  <c r="Y176" i="1"/>
  <c r="D176" i="1"/>
  <c r="AN175" i="1"/>
  <c r="AM175" i="1"/>
  <c r="AK175" i="1"/>
  <c r="AI175" i="1"/>
  <c r="AH175" i="1"/>
  <c r="AG175" i="1"/>
  <c r="AF175" i="1"/>
  <c r="AD175" i="1"/>
  <c r="AC175" i="1"/>
  <c r="AB175" i="1"/>
  <c r="AA175" i="1"/>
  <c r="Z175" i="1"/>
  <c r="X175" i="1"/>
  <c r="W175" i="1"/>
  <c r="V175" i="1"/>
  <c r="U175" i="1"/>
  <c r="T175" i="1"/>
  <c r="S175" i="1"/>
  <c r="R175" i="1"/>
  <c r="Q175" i="1"/>
  <c r="P175" i="1"/>
  <c r="O175" i="1"/>
  <c r="N175" i="1"/>
  <c r="M175" i="1"/>
  <c r="L175" i="1"/>
  <c r="K175" i="1"/>
  <c r="J175" i="1"/>
  <c r="I175" i="1"/>
  <c r="H175" i="1"/>
  <c r="G175" i="1"/>
  <c r="F175" i="1"/>
  <c r="E175" i="1"/>
  <c r="AL173" i="1"/>
  <c r="AL172" i="1" s="1"/>
  <c r="AL171" i="1" s="1"/>
  <c r="AE173" i="1"/>
  <c r="AE172" i="1" s="1"/>
  <c r="AE171" i="1" s="1"/>
  <c r="Y173" i="1"/>
  <c r="Y172" i="1" s="1"/>
  <c r="Y171" i="1" s="1"/>
  <c r="D173" i="1"/>
  <c r="D172" i="1" s="1"/>
  <c r="D171" i="1" s="1"/>
  <c r="AO172" i="1"/>
  <c r="AO171" i="1" s="1"/>
  <c r="AN172" i="1"/>
  <c r="AN171" i="1" s="1"/>
  <c r="AM172" i="1"/>
  <c r="AM171" i="1" s="1"/>
  <c r="AK172" i="1"/>
  <c r="AK171" i="1" s="1"/>
  <c r="AI172" i="1"/>
  <c r="AI171" i="1" s="1"/>
  <c r="AH172" i="1"/>
  <c r="AH171" i="1" s="1"/>
  <c r="AG172" i="1"/>
  <c r="AG171" i="1" s="1"/>
  <c r="AF172" i="1"/>
  <c r="AF171" i="1" s="1"/>
  <c r="AD172" i="1"/>
  <c r="AC172" i="1"/>
  <c r="AB172" i="1"/>
  <c r="AA172" i="1"/>
  <c r="AA171" i="1" s="1"/>
  <c r="Z172" i="1"/>
  <c r="X172" i="1"/>
  <c r="X171" i="1" s="1"/>
  <c r="W172" i="1"/>
  <c r="W171" i="1" s="1"/>
  <c r="V172" i="1"/>
  <c r="V171" i="1" s="1"/>
  <c r="U172" i="1"/>
  <c r="U171" i="1" s="1"/>
  <c r="T172" i="1"/>
  <c r="T171" i="1" s="1"/>
  <c r="S172" i="1"/>
  <c r="S171" i="1" s="1"/>
  <c r="R172" i="1"/>
  <c r="R171" i="1" s="1"/>
  <c r="Q172" i="1"/>
  <c r="Q171" i="1" s="1"/>
  <c r="P172" i="1"/>
  <c r="P171" i="1" s="1"/>
  <c r="O172" i="1"/>
  <c r="O171" i="1" s="1"/>
  <c r="N172" i="1"/>
  <c r="N171" i="1" s="1"/>
  <c r="M172" i="1"/>
  <c r="M171" i="1" s="1"/>
  <c r="L172" i="1"/>
  <c r="L171" i="1" s="1"/>
  <c r="K172" i="1"/>
  <c r="K171" i="1" s="1"/>
  <c r="J172" i="1"/>
  <c r="J171" i="1" s="1"/>
  <c r="I172" i="1"/>
  <c r="I171" i="1" s="1"/>
  <c r="H172" i="1"/>
  <c r="H171" i="1" s="1"/>
  <c r="G172" i="1"/>
  <c r="G171" i="1" s="1"/>
  <c r="F172" i="1"/>
  <c r="F171" i="1" s="1"/>
  <c r="E172" i="1"/>
  <c r="E171" i="1" s="1"/>
  <c r="AD171" i="1"/>
  <c r="AC171" i="1"/>
  <c r="AB171" i="1"/>
  <c r="Z171" i="1"/>
  <c r="AL169" i="1"/>
  <c r="AJ169" i="1"/>
  <c r="AE169" i="1"/>
  <c r="Y169" i="1"/>
  <c r="D169" i="1"/>
  <c r="AL168" i="1"/>
  <c r="AJ168" i="1" s="1"/>
  <c r="AE168" i="1"/>
  <c r="Y168" i="1"/>
  <c r="D168" i="1"/>
  <c r="AL167" i="1"/>
  <c r="AJ167" i="1" s="1"/>
  <c r="AE167" i="1"/>
  <c r="Y167" i="1"/>
  <c r="C167" i="1" s="1"/>
  <c r="D167" i="1"/>
  <c r="AL166" i="1"/>
  <c r="AJ166" i="1" s="1"/>
  <c r="AE166" i="1"/>
  <c r="Y166" i="1"/>
  <c r="D166" i="1"/>
  <c r="AL165" i="1"/>
  <c r="AJ165" i="1" s="1"/>
  <c r="AE165" i="1"/>
  <c r="Y165" i="1"/>
  <c r="D165" i="1"/>
  <c r="AL164" i="1"/>
  <c r="AJ164" i="1" s="1"/>
  <c r="AE164" i="1"/>
  <c r="Y164" i="1"/>
  <c r="V164" i="1"/>
  <c r="U164" i="1"/>
  <c r="AL163" i="1"/>
  <c r="AJ163" i="1" s="1"/>
  <c r="AE163" i="1"/>
  <c r="Y163" i="1"/>
  <c r="D163" i="1"/>
  <c r="AL162" i="1"/>
  <c r="AE162" i="1"/>
  <c r="Y162" i="1"/>
  <c r="V162" i="1"/>
  <c r="U162" i="1"/>
  <c r="D162" i="1" s="1"/>
  <c r="AO161" i="1"/>
  <c r="AN161" i="1"/>
  <c r="AM161" i="1"/>
  <c r="AK161" i="1"/>
  <c r="AI161" i="1"/>
  <c r="AH161" i="1"/>
  <c r="AG161" i="1"/>
  <c r="AF161" i="1"/>
  <c r="AD161" i="1"/>
  <c r="AC161" i="1"/>
  <c r="AB161" i="1"/>
  <c r="AA161" i="1"/>
  <c r="Z161" i="1"/>
  <c r="X161" i="1"/>
  <c r="W161" i="1"/>
  <c r="T161" i="1"/>
  <c r="S161" i="1"/>
  <c r="R161" i="1"/>
  <c r="Q161" i="1"/>
  <c r="P161" i="1"/>
  <c r="O161" i="1"/>
  <c r="N161" i="1"/>
  <c r="M161" i="1"/>
  <c r="L161" i="1"/>
  <c r="K161" i="1"/>
  <c r="J161" i="1"/>
  <c r="I161" i="1"/>
  <c r="H161" i="1"/>
  <c r="G161" i="1"/>
  <c r="F161" i="1"/>
  <c r="E161" i="1"/>
  <c r="AL159" i="1"/>
  <c r="AE159" i="1"/>
  <c r="Y159" i="1"/>
  <c r="D159" i="1"/>
  <c r="AL158" i="1"/>
  <c r="AJ158" i="1" s="1"/>
  <c r="AE158" i="1"/>
  <c r="Y158" i="1"/>
  <c r="D158" i="1"/>
  <c r="AO157" i="1"/>
  <c r="AN157" i="1"/>
  <c r="AM157" i="1"/>
  <c r="AK157" i="1"/>
  <c r="AI157" i="1"/>
  <c r="AH157" i="1"/>
  <c r="AG157" i="1"/>
  <c r="AF157" i="1"/>
  <c r="AD157" i="1"/>
  <c r="AC157" i="1"/>
  <c r="AB157" i="1"/>
  <c r="AA157" i="1"/>
  <c r="Z157" i="1"/>
  <c r="X157" i="1"/>
  <c r="W157" i="1"/>
  <c r="V157" i="1"/>
  <c r="U157" i="1"/>
  <c r="T157" i="1"/>
  <c r="S157" i="1"/>
  <c r="R157" i="1"/>
  <c r="Q157" i="1"/>
  <c r="P157" i="1"/>
  <c r="O157" i="1"/>
  <c r="N157" i="1"/>
  <c r="M157" i="1"/>
  <c r="L157" i="1"/>
  <c r="K157" i="1"/>
  <c r="J157" i="1"/>
  <c r="I157" i="1"/>
  <c r="H157" i="1"/>
  <c r="G157" i="1"/>
  <c r="F157" i="1"/>
  <c r="E157" i="1"/>
  <c r="AL155" i="1"/>
  <c r="AJ155" i="1" s="1"/>
  <c r="AE155" i="1"/>
  <c r="Y155" i="1"/>
  <c r="D155" i="1"/>
  <c r="AL154" i="1"/>
  <c r="AJ154" i="1" s="1"/>
  <c r="AE154" i="1"/>
  <c r="Y154" i="1"/>
  <c r="D154" i="1"/>
  <c r="AL153" i="1"/>
  <c r="AJ153" i="1"/>
  <c r="AE153" i="1"/>
  <c r="Y153" i="1"/>
  <c r="D153" i="1"/>
  <c r="AL152" i="1"/>
  <c r="AK152" i="1"/>
  <c r="AE152" i="1"/>
  <c r="Y152" i="1"/>
  <c r="O152" i="1"/>
  <c r="I152" i="1"/>
  <c r="AL151" i="1"/>
  <c r="AK151" i="1"/>
  <c r="AE151" i="1"/>
  <c r="Y151" i="1"/>
  <c r="O151" i="1"/>
  <c r="D151" i="1" s="1"/>
  <c r="AL150" i="1"/>
  <c r="AK150" i="1"/>
  <c r="AJ150" i="1" s="1"/>
  <c r="AE150" i="1"/>
  <c r="Y150" i="1"/>
  <c r="O150" i="1"/>
  <c r="D150" i="1" s="1"/>
  <c r="AL149" i="1"/>
  <c r="AK149" i="1"/>
  <c r="AJ149" i="1" s="1"/>
  <c r="AE149" i="1"/>
  <c r="Y149" i="1"/>
  <c r="O149" i="1"/>
  <c r="D149" i="1" s="1"/>
  <c r="AO148" i="1"/>
  <c r="AN148" i="1"/>
  <c r="AM148" i="1"/>
  <c r="AI148" i="1"/>
  <c r="AH148" i="1"/>
  <c r="AG148" i="1"/>
  <c r="AF148" i="1"/>
  <c r="AD148" i="1"/>
  <c r="AC148" i="1"/>
  <c r="AB148" i="1"/>
  <c r="AA148" i="1"/>
  <c r="Z148" i="1"/>
  <c r="X148" i="1"/>
  <c r="W148" i="1"/>
  <c r="V148" i="1"/>
  <c r="U148" i="1"/>
  <c r="T148" i="1"/>
  <c r="S148" i="1"/>
  <c r="R148" i="1"/>
  <c r="Q148" i="1"/>
  <c r="P148" i="1"/>
  <c r="N148" i="1"/>
  <c r="M148" i="1"/>
  <c r="L148" i="1"/>
  <c r="K148" i="1"/>
  <c r="J148" i="1"/>
  <c r="H148" i="1"/>
  <c r="G148" i="1"/>
  <c r="F148" i="1"/>
  <c r="E148" i="1"/>
  <c r="AL146" i="1"/>
  <c r="AJ146" i="1" s="1"/>
  <c r="AE146" i="1"/>
  <c r="Y146" i="1"/>
  <c r="D146" i="1"/>
  <c r="AL145" i="1"/>
  <c r="AK145" i="1"/>
  <c r="AK144" i="1" s="1"/>
  <c r="AE145" i="1"/>
  <c r="Y145" i="1"/>
  <c r="D145" i="1"/>
  <c r="AO144" i="1"/>
  <c r="AN144" i="1"/>
  <c r="AM144" i="1"/>
  <c r="AI144" i="1"/>
  <c r="AH144" i="1"/>
  <c r="AG144" i="1"/>
  <c r="AF144" i="1"/>
  <c r="AD144" i="1"/>
  <c r="AC144" i="1"/>
  <c r="AB144" i="1"/>
  <c r="AA144" i="1"/>
  <c r="Z144" i="1"/>
  <c r="X144" i="1"/>
  <c r="W144" i="1"/>
  <c r="V144" i="1"/>
  <c r="U144" i="1"/>
  <c r="T144" i="1"/>
  <c r="S144" i="1"/>
  <c r="R144" i="1"/>
  <c r="Q144" i="1"/>
  <c r="P144" i="1"/>
  <c r="O144" i="1"/>
  <c r="N144" i="1"/>
  <c r="M144" i="1"/>
  <c r="L144" i="1"/>
  <c r="K144" i="1"/>
  <c r="J144" i="1"/>
  <c r="I144" i="1"/>
  <c r="H144" i="1"/>
  <c r="G144" i="1"/>
  <c r="F144" i="1"/>
  <c r="E144" i="1"/>
  <c r="AL142" i="1"/>
  <c r="AJ142" i="1"/>
  <c r="AE142" i="1"/>
  <c r="Y142" i="1"/>
  <c r="D142" i="1"/>
  <c r="AL141" i="1"/>
  <c r="AJ141" i="1" s="1"/>
  <c r="AE141" i="1"/>
  <c r="Y141" i="1"/>
  <c r="V141" i="1"/>
  <c r="D141" i="1" s="1"/>
  <c r="AL140" i="1"/>
  <c r="AJ140" i="1"/>
  <c r="AE140" i="1"/>
  <c r="Y140" i="1"/>
  <c r="D140" i="1"/>
  <c r="AL139" i="1"/>
  <c r="AJ139" i="1"/>
  <c r="AE139" i="1"/>
  <c r="Y139" i="1"/>
  <c r="D139" i="1"/>
  <c r="AL138" i="1"/>
  <c r="AJ138" i="1" s="1"/>
  <c r="AE138" i="1"/>
  <c r="Y138" i="1"/>
  <c r="D138" i="1"/>
  <c r="AO137" i="1"/>
  <c r="AN137" i="1"/>
  <c r="AM137" i="1"/>
  <c r="AK137" i="1"/>
  <c r="AI137" i="1"/>
  <c r="AH137" i="1"/>
  <c r="AG137" i="1"/>
  <c r="AF137" i="1"/>
  <c r="AF135" i="1" s="1"/>
  <c r="AD137" i="1"/>
  <c r="AC137" i="1"/>
  <c r="AB137" i="1"/>
  <c r="AB135" i="1" s="1"/>
  <c r="AA137" i="1"/>
  <c r="Z137" i="1"/>
  <c r="X137" i="1"/>
  <c r="W137" i="1"/>
  <c r="V137" i="1"/>
  <c r="U137" i="1"/>
  <c r="T137" i="1"/>
  <c r="S137" i="1"/>
  <c r="R137" i="1"/>
  <c r="Q137" i="1"/>
  <c r="P137" i="1"/>
  <c r="O137" i="1"/>
  <c r="N137" i="1"/>
  <c r="M137" i="1"/>
  <c r="L137" i="1"/>
  <c r="K137" i="1"/>
  <c r="J137" i="1"/>
  <c r="I137" i="1"/>
  <c r="H137" i="1"/>
  <c r="G137" i="1"/>
  <c r="F137" i="1"/>
  <c r="E137" i="1"/>
  <c r="E135" i="1" s="1"/>
  <c r="AL133" i="1"/>
  <c r="AJ133" i="1" s="1"/>
  <c r="AE133" i="1"/>
  <c r="Y133" i="1"/>
  <c r="D133" i="1"/>
  <c r="AL132" i="1"/>
  <c r="AJ132" i="1" s="1"/>
  <c r="AE132" i="1"/>
  <c r="Y132" i="1"/>
  <c r="D132" i="1"/>
  <c r="AL131" i="1"/>
  <c r="AJ131" i="1" s="1"/>
  <c r="AE131" i="1"/>
  <c r="Y131" i="1"/>
  <c r="D131" i="1"/>
  <c r="AO130" i="1"/>
  <c r="AN130" i="1"/>
  <c r="AM130" i="1"/>
  <c r="AK130" i="1"/>
  <c r="AI130" i="1"/>
  <c r="AH130" i="1"/>
  <c r="AG130" i="1"/>
  <c r="AF130" i="1"/>
  <c r="AD130" i="1"/>
  <c r="AC130" i="1"/>
  <c r="AB130" i="1"/>
  <c r="AA130" i="1"/>
  <c r="Z130" i="1"/>
  <c r="X130" i="1"/>
  <c r="W130" i="1"/>
  <c r="V130" i="1"/>
  <c r="U130" i="1"/>
  <c r="T130" i="1"/>
  <c r="S130" i="1"/>
  <c r="R130" i="1"/>
  <c r="Q130" i="1"/>
  <c r="P130" i="1"/>
  <c r="O130" i="1"/>
  <c r="N130" i="1"/>
  <c r="M130" i="1"/>
  <c r="L130" i="1"/>
  <c r="K130" i="1"/>
  <c r="J130" i="1"/>
  <c r="I130" i="1"/>
  <c r="H130" i="1"/>
  <c r="G130" i="1"/>
  <c r="F130" i="1"/>
  <c r="E130" i="1"/>
  <c r="AL128" i="1"/>
  <c r="AJ128" i="1" s="1"/>
  <c r="AJ127" i="1" s="1"/>
  <c r="AE128" i="1"/>
  <c r="AE127" i="1" s="1"/>
  <c r="Y128" i="1"/>
  <c r="Y127" i="1" s="1"/>
  <c r="D128" i="1"/>
  <c r="D127" i="1" s="1"/>
  <c r="AO127" i="1"/>
  <c r="AN127" i="1"/>
  <c r="AM127" i="1"/>
  <c r="AK127" i="1"/>
  <c r="AI127" i="1"/>
  <c r="AH127" i="1"/>
  <c r="AG127" i="1"/>
  <c r="AF127" i="1"/>
  <c r="AD127" i="1"/>
  <c r="AC127" i="1"/>
  <c r="AB127" i="1"/>
  <c r="AA127" i="1"/>
  <c r="Z127" i="1"/>
  <c r="X127" i="1"/>
  <c r="W127" i="1"/>
  <c r="V127" i="1"/>
  <c r="U127" i="1"/>
  <c r="T127" i="1"/>
  <c r="S127" i="1"/>
  <c r="R127" i="1"/>
  <c r="Q127" i="1"/>
  <c r="P127" i="1"/>
  <c r="O127" i="1"/>
  <c r="N127" i="1"/>
  <c r="M127" i="1"/>
  <c r="L127" i="1"/>
  <c r="K127" i="1"/>
  <c r="J127" i="1"/>
  <c r="I127" i="1"/>
  <c r="H127" i="1"/>
  <c r="G127" i="1"/>
  <c r="F127" i="1"/>
  <c r="E127" i="1"/>
  <c r="AL125" i="1"/>
  <c r="AJ125" i="1" s="1"/>
  <c r="AE125" i="1"/>
  <c r="Y125" i="1"/>
  <c r="D125" i="1"/>
  <c r="AL124" i="1"/>
  <c r="AK124" i="1"/>
  <c r="AJ124" i="1" s="1"/>
  <c r="AE124" i="1"/>
  <c r="Y124" i="1"/>
  <c r="I124" i="1"/>
  <c r="I118" i="1" s="1"/>
  <c r="D124" i="1"/>
  <c r="AL123" i="1"/>
  <c r="AK123" i="1"/>
  <c r="AE123" i="1"/>
  <c r="Y123" i="1"/>
  <c r="O123" i="1"/>
  <c r="D123" i="1" s="1"/>
  <c r="AL122" i="1"/>
  <c r="AJ122" i="1"/>
  <c r="AE122" i="1"/>
  <c r="Y122" i="1"/>
  <c r="D122" i="1"/>
  <c r="AL121" i="1"/>
  <c r="AJ121" i="1" s="1"/>
  <c r="AE121" i="1"/>
  <c r="Y121" i="1"/>
  <c r="D121" i="1"/>
  <c r="AL120" i="1"/>
  <c r="AJ120" i="1" s="1"/>
  <c r="AE120" i="1"/>
  <c r="Y120" i="1"/>
  <c r="D120" i="1"/>
  <c r="AL119" i="1"/>
  <c r="AK119" i="1"/>
  <c r="AJ119" i="1" s="1"/>
  <c r="AE119" i="1"/>
  <c r="Y119" i="1"/>
  <c r="O119" i="1"/>
  <c r="D119" i="1" s="1"/>
  <c r="AO118" i="1"/>
  <c r="AN118" i="1"/>
  <c r="AM118" i="1"/>
  <c r="AI118" i="1"/>
  <c r="AH118" i="1"/>
  <c r="AG118" i="1"/>
  <c r="AF118" i="1"/>
  <c r="AD118" i="1"/>
  <c r="AC118" i="1"/>
  <c r="AB118" i="1"/>
  <c r="AA118" i="1"/>
  <c r="Z118" i="1"/>
  <c r="X118" i="1"/>
  <c r="W118" i="1"/>
  <c r="V118" i="1"/>
  <c r="U118" i="1"/>
  <c r="T118" i="1"/>
  <c r="S118" i="1"/>
  <c r="R118" i="1"/>
  <c r="Q118" i="1"/>
  <c r="P118" i="1"/>
  <c r="N118" i="1"/>
  <c r="M118" i="1"/>
  <c r="L118" i="1"/>
  <c r="K118" i="1"/>
  <c r="J118" i="1"/>
  <c r="H118" i="1"/>
  <c r="G118" i="1"/>
  <c r="F118" i="1"/>
  <c r="E118" i="1"/>
  <c r="AL116" i="1"/>
  <c r="AK116" i="1"/>
  <c r="AK114" i="1" s="1"/>
  <c r="AE116" i="1"/>
  <c r="Y116" i="1"/>
  <c r="D116" i="1"/>
  <c r="AL115" i="1"/>
  <c r="AJ115" i="1" s="1"/>
  <c r="AE115" i="1"/>
  <c r="AE114" i="1" s="1"/>
  <c r="Y115" i="1"/>
  <c r="D115" i="1"/>
  <c r="AO114" i="1"/>
  <c r="AN114" i="1"/>
  <c r="AM114" i="1"/>
  <c r="AI114" i="1"/>
  <c r="AH114" i="1"/>
  <c r="AG114" i="1"/>
  <c r="AF114" i="1"/>
  <c r="AD114" i="1"/>
  <c r="AC114" i="1"/>
  <c r="AB114" i="1"/>
  <c r="AA114" i="1"/>
  <c r="Z114" i="1"/>
  <c r="X114" i="1"/>
  <c r="W114" i="1"/>
  <c r="V114" i="1"/>
  <c r="U114" i="1"/>
  <c r="T114" i="1"/>
  <c r="S114" i="1"/>
  <c r="R114" i="1"/>
  <c r="Q114" i="1"/>
  <c r="P114" i="1"/>
  <c r="O114" i="1"/>
  <c r="N114" i="1"/>
  <c r="M114" i="1"/>
  <c r="L114" i="1"/>
  <c r="K114" i="1"/>
  <c r="J114" i="1"/>
  <c r="I114" i="1"/>
  <c r="H114" i="1"/>
  <c r="G114" i="1"/>
  <c r="F114" i="1"/>
  <c r="E114" i="1"/>
  <c r="AL112" i="1"/>
  <c r="AJ112" i="1" s="1"/>
  <c r="C112" i="1" s="1"/>
  <c r="AE112" i="1"/>
  <c r="Y112" i="1"/>
  <c r="D112" i="1"/>
  <c r="AL111" i="1"/>
  <c r="AJ111" i="1" s="1"/>
  <c r="AE111" i="1"/>
  <c r="Y111" i="1"/>
  <c r="D111" i="1"/>
  <c r="AE110" i="1"/>
  <c r="C110" i="1" s="1"/>
  <c r="AO109" i="1"/>
  <c r="AO107" i="1" s="1"/>
  <c r="AK109" i="1"/>
  <c r="AE109" i="1"/>
  <c r="Y109" i="1"/>
  <c r="D109" i="1"/>
  <c r="AL108" i="1"/>
  <c r="AK108" i="1"/>
  <c r="AJ108" i="1" s="1"/>
  <c r="AE108" i="1"/>
  <c r="Y108" i="1"/>
  <c r="P108" i="1"/>
  <c r="P107" i="1" s="1"/>
  <c r="O108" i="1"/>
  <c r="O107" i="1" s="1"/>
  <c r="AN107" i="1"/>
  <c r="AM107" i="1"/>
  <c r="AI107" i="1"/>
  <c r="AH107" i="1"/>
  <c r="AG107" i="1"/>
  <c r="AF107" i="1"/>
  <c r="AD107" i="1"/>
  <c r="AC107" i="1"/>
  <c r="AB107" i="1"/>
  <c r="AA107" i="1"/>
  <c r="Z107" i="1"/>
  <c r="X107" i="1"/>
  <c r="W107" i="1"/>
  <c r="V107" i="1"/>
  <c r="U107" i="1"/>
  <c r="T107" i="1"/>
  <c r="S107" i="1"/>
  <c r="R107" i="1"/>
  <c r="Q107" i="1"/>
  <c r="N107" i="1"/>
  <c r="M107" i="1"/>
  <c r="L107" i="1"/>
  <c r="K107" i="1"/>
  <c r="J107" i="1"/>
  <c r="I107" i="1"/>
  <c r="H107" i="1"/>
  <c r="G107" i="1"/>
  <c r="F107" i="1"/>
  <c r="E107" i="1"/>
  <c r="AL105" i="1"/>
  <c r="AJ105" i="1" s="1"/>
  <c r="AE105" i="1"/>
  <c r="Y105" i="1"/>
  <c r="D105" i="1"/>
  <c r="AL104" i="1"/>
  <c r="AJ104" i="1" s="1"/>
  <c r="AE104" i="1"/>
  <c r="Y104" i="1"/>
  <c r="D104" i="1"/>
  <c r="D103" i="1" s="1"/>
  <c r="C104" i="1"/>
  <c r="AO103" i="1"/>
  <c r="AN103" i="1"/>
  <c r="AM103" i="1"/>
  <c r="AK103" i="1"/>
  <c r="AI103" i="1"/>
  <c r="AH103" i="1"/>
  <c r="AG103" i="1"/>
  <c r="AF103" i="1"/>
  <c r="AD103" i="1"/>
  <c r="AC103" i="1"/>
  <c r="AB103" i="1"/>
  <c r="AA103" i="1"/>
  <c r="Z103" i="1"/>
  <c r="X103" i="1"/>
  <c r="W103" i="1"/>
  <c r="V103" i="1"/>
  <c r="U103" i="1"/>
  <c r="T103" i="1"/>
  <c r="S103" i="1"/>
  <c r="R103" i="1"/>
  <c r="Q103" i="1"/>
  <c r="P103" i="1"/>
  <c r="O103" i="1"/>
  <c r="N103" i="1"/>
  <c r="M103" i="1"/>
  <c r="L103" i="1"/>
  <c r="K103" i="1"/>
  <c r="J103" i="1"/>
  <c r="I103" i="1"/>
  <c r="H103" i="1"/>
  <c r="G103" i="1"/>
  <c r="F103" i="1"/>
  <c r="E103" i="1"/>
  <c r="AL101" i="1"/>
  <c r="AK101" i="1"/>
  <c r="AJ101" i="1" s="1"/>
  <c r="AE101" i="1"/>
  <c r="AA101" i="1"/>
  <c r="Y101" i="1" s="1"/>
  <c r="O101" i="1"/>
  <c r="D101" i="1"/>
  <c r="AL100" i="1"/>
  <c r="AK100" i="1"/>
  <c r="AE100" i="1"/>
  <c r="Y100" i="1"/>
  <c r="U100" i="1"/>
  <c r="O100" i="1"/>
  <c r="AL99" i="1"/>
  <c r="AK99" i="1"/>
  <c r="AE99" i="1"/>
  <c r="Y99" i="1"/>
  <c r="I99" i="1"/>
  <c r="D99" i="1" s="1"/>
  <c r="AE98" i="1"/>
  <c r="Y98" i="1"/>
  <c r="AL97" i="1"/>
  <c r="AL96" i="1" s="1"/>
  <c r="AK97" i="1"/>
  <c r="AK96" i="1" s="1"/>
  <c r="AE97" i="1"/>
  <c r="AE96" i="1" s="1"/>
  <c r="Y97" i="1"/>
  <c r="Y96" i="1" s="1"/>
  <c r="N97" i="1"/>
  <c r="N96" i="1" s="1"/>
  <c r="L97" i="1"/>
  <c r="L96" i="1" s="1"/>
  <c r="F97" i="1"/>
  <c r="F96" i="1" s="1"/>
  <c r="AO96" i="1"/>
  <c r="AN96" i="1"/>
  <c r="AM96" i="1"/>
  <c r="AI96" i="1"/>
  <c r="AH96" i="1"/>
  <c r="AG96" i="1"/>
  <c r="AF96" i="1"/>
  <c r="AD96" i="1"/>
  <c r="AC96" i="1"/>
  <c r="AB96" i="1"/>
  <c r="AA96" i="1"/>
  <c r="Z96" i="1"/>
  <c r="X96" i="1"/>
  <c r="W96" i="1"/>
  <c r="V96" i="1"/>
  <c r="U96" i="1"/>
  <c r="T96" i="1"/>
  <c r="S96" i="1"/>
  <c r="R96" i="1"/>
  <c r="Q96" i="1"/>
  <c r="P96" i="1"/>
  <c r="O96" i="1"/>
  <c r="M96" i="1"/>
  <c r="K96" i="1"/>
  <c r="J96" i="1"/>
  <c r="I96" i="1"/>
  <c r="H96" i="1"/>
  <c r="G96" i="1"/>
  <c r="E96" i="1"/>
  <c r="AL94" i="1"/>
  <c r="AJ94" i="1" s="1"/>
  <c r="AE94" i="1"/>
  <c r="AB94" i="1"/>
  <c r="D94" i="1"/>
  <c r="AL93" i="1"/>
  <c r="AJ93" i="1" s="1"/>
  <c r="AE93" i="1"/>
  <c r="AB93" i="1"/>
  <c r="Y93" i="1" s="1"/>
  <c r="D93" i="1"/>
  <c r="AL92" i="1"/>
  <c r="AJ92" i="1" s="1"/>
  <c r="AE92" i="1"/>
  <c r="Y92" i="1"/>
  <c r="D92" i="1"/>
  <c r="C92" i="1" s="1"/>
  <c r="AL91" i="1"/>
  <c r="AJ91" i="1"/>
  <c r="AE91" i="1"/>
  <c r="Y91" i="1"/>
  <c r="D91" i="1"/>
  <c r="C91" i="1" s="1"/>
  <c r="AL90" i="1"/>
  <c r="AJ90" i="1" s="1"/>
  <c r="AE90" i="1"/>
  <c r="Y90" i="1"/>
  <c r="D90" i="1"/>
  <c r="AL89" i="1"/>
  <c r="AJ89" i="1" s="1"/>
  <c r="AE89" i="1"/>
  <c r="Y89" i="1"/>
  <c r="D89" i="1"/>
  <c r="AL88" i="1"/>
  <c r="AJ88" i="1" s="1"/>
  <c r="AE88" i="1"/>
  <c r="Y88" i="1"/>
  <c r="D88" i="1"/>
  <c r="AG87" i="1"/>
  <c r="AG84" i="1" s="1"/>
  <c r="AL86" i="1"/>
  <c r="AJ86" i="1"/>
  <c r="AE86" i="1"/>
  <c r="Y86" i="1"/>
  <c r="D86" i="1"/>
  <c r="AL85" i="1"/>
  <c r="AJ85" i="1"/>
  <c r="AE85" i="1"/>
  <c r="Y85" i="1"/>
  <c r="D85" i="1"/>
  <c r="AO84" i="1"/>
  <c r="AN84" i="1"/>
  <c r="AM84" i="1"/>
  <c r="AK84" i="1"/>
  <c r="AI84" i="1"/>
  <c r="AH84" i="1"/>
  <c r="AF84" i="1"/>
  <c r="AD84" i="1"/>
  <c r="AC84" i="1"/>
  <c r="AA84" i="1"/>
  <c r="Z84" i="1"/>
  <c r="X84" i="1"/>
  <c r="W84" i="1"/>
  <c r="V84" i="1"/>
  <c r="U84" i="1"/>
  <c r="T84" i="1"/>
  <c r="S84" i="1"/>
  <c r="R84" i="1"/>
  <c r="Q84" i="1"/>
  <c r="P84" i="1"/>
  <c r="O84" i="1"/>
  <c r="N84" i="1"/>
  <c r="M84" i="1"/>
  <c r="M74" i="1" s="1"/>
  <c r="L84" i="1"/>
  <c r="K84" i="1"/>
  <c r="J84" i="1"/>
  <c r="I84" i="1"/>
  <c r="H84" i="1"/>
  <c r="G84" i="1"/>
  <c r="F84" i="1"/>
  <c r="E84" i="1"/>
  <c r="AL82" i="1"/>
  <c r="AJ82" i="1" s="1"/>
  <c r="AE82" i="1"/>
  <c r="Y82" i="1"/>
  <c r="D82" i="1"/>
  <c r="AL81" i="1"/>
  <c r="AJ81" i="1" s="1"/>
  <c r="AE81" i="1"/>
  <c r="Y81" i="1"/>
  <c r="D81" i="1"/>
  <c r="AG80" i="1"/>
  <c r="AG77" i="1" s="1"/>
  <c r="AL79" i="1"/>
  <c r="AJ79" i="1" s="1"/>
  <c r="AE79" i="1"/>
  <c r="Y79" i="1"/>
  <c r="D79" i="1"/>
  <c r="AL78" i="1"/>
  <c r="AJ78" i="1" s="1"/>
  <c r="AE78" i="1"/>
  <c r="Y78" i="1"/>
  <c r="D78" i="1"/>
  <c r="AO77" i="1"/>
  <c r="AN77" i="1"/>
  <c r="AM77" i="1"/>
  <c r="AK77" i="1"/>
  <c r="AI77" i="1"/>
  <c r="AH77" i="1"/>
  <c r="AF77" i="1"/>
  <c r="AD77" i="1"/>
  <c r="AC77" i="1"/>
  <c r="AB77" i="1"/>
  <c r="AA77" i="1"/>
  <c r="Z77" i="1"/>
  <c r="X77" i="1"/>
  <c r="W77" i="1"/>
  <c r="V77" i="1"/>
  <c r="U77" i="1"/>
  <c r="T77" i="1"/>
  <c r="S77" i="1"/>
  <c r="R77" i="1"/>
  <c r="Q77" i="1"/>
  <c r="P77" i="1"/>
  <c r="P74" i="1" s="1"/>
  <c r="O77" i="1"/>
  <c r="N77" i="1"/>
  <c r="M77" i="1"/>
  <c r="L77" i="1"/>
  <c r="K77" i="1"/>
  <c r="J77" i="1"/>
  <c r="I77" i="1"/>
  <c r="H77" i="1"/>
  <c r="G77" i="1"/>
  <c r="F77" i="1"/>
  <c r="E77" i="1"/>
  <c r="AL75" i="1"/>
  <c r="AJ75" i="1" s="1"/>
  <c r="AE75" i="1"/>
  <c r="Y75" i="1"/>
  <c r="D75" i="1"/>
  <c r="AL72" i="1"/>
  <c r="AJ72" i="1"/>
  <c r="AE72" i="1"/>
  <c r="Y72" i="1"/>
  <c r="I72" i="1"/>
  <c r="D72" i="1"/>
  <c r="AL71" i="1"/>
  <c r="AJ71" i="1" s="1"/>
  <c r="AE71" i="1"/>
  <c r="Y71" i="1"/>
  <c r="I71" i="1"/>
  <c r="D71" i="1" s="1"/>
  <c r="AL70" i="1"/>
  <c r="AJ70" i="1"/>
  <c r="AE70" i="1"/>
  <c r="Y70" i="1"/>
  <c r="V70" i="1"/>
  <c r="D70" i="1" s="1"/>
  <c r="AL69" i="1"/>
  <c r="AJ69" i="1" s="1"/>
  <c r="AI69" i="1"/>
  <c r="AI62" i="1" s="1"/>
  <c r="AG69" i="1"/>
  <c r="AE69" i="1" s="1"/>
  <c r="AB69" i="1"/>
  <c r="AB62" i="1" s="1"/>
  <c r="Y69" i="1"/>
  <c r="N69" i="1"/>
  <c r="D69" i="1"/>
  <c r="AL68" i="1"/>
  <c r="AJ68" i="1" s="1"/>
  <c r="AE68" i="1"/>
  <c r="Y68" i="1"/>
  <c r="D68" i="1"/>
  <c r="AL67" i="1"/>
  <c r="AK67" i="1"/>
  <c r="AE67" i="1"/>
  <c r="Y67" i="1"/>
  <c r="V67" i="1"/>
  <c r="D67" i="1" s="1"/>
  <c r="AL66" i="1"/>
  <c r="AJ66" i="1" s="1"/>
  <c r="AE66" i="1"/>
  <c r="Y66" i="1"/>
  <c r="D66" i="1"/>
  <c r="C66" i="1" s="1"/>
  <c r="AL65" i="1"/>
  <c r="AK65" i="1"/>
  <c r="AE65" i="1"/>
  <c r="Y65" i="1"/>
  <c r="U65" i="1"/>
  <c r="U62" i="1" s="1"/>
  <c r="AL64" i="1"/>
  <c r="AK64" i="1"/>
  <c r="AE64" i="1"/>
  <c r="Y64" i="1"/>
  <c r="D64" i="1"/>
  <c r="AL63" i="1"/>
  <c r="AK63" i="1"/>
  <c r="AE63" i="1"/>
  <c r="Y63" i="1"/>
  <c r="D63" i="1"/>
  <c r="AO62" i="1"/>
  <c r="AN62" i="1"/>
  <c r="AM62" i="1"/>
  <c r="AH62" i="1"/>
  <c r="AF62" i="1"/>
  <c r="AD62" i="1"/>
  <c r="AC62" i="1"/>
  <c r="AA62" i="1"/>
  <c r="Z62" i="1"/>
  <c r="X62" i="1"/>
  <c r="W62" i="1"/>
  <c r="T62" i="1"/>
  <c r="S62" i="1"/>
  <c r="R62" i="1"/>
  <c r="Q62" i="1"/>
  <c r="P62" i="1"/>
  <c r="O62" i="1"/>
  <c r="N62" i="1"/>
  <c r="M62" i="1"/>
  <c r="L62" i="1"/>
  <c r="K62" i="1"/>
  <c r="J62" i="1"/>
  <c r="H62" i="1"/>
  <c r="G62" i="1"/>
  <c r="F62" i="1"/>
  <c r="E62" i="1"/>
  <c r="AL60" i="1"/>
  <c r="AK60" i="1"/>
  <c r="AJ60" i="1" s="1"/>
  <c r="AE60" i="1"/>
  <c r="Y60" i="1"/>
  <c r="O60" i="1"/>
  <c r="D60" i="1" s="1"/>
  <c r="AL59" i="1"/>
  <c r="AK59" i="1"/>
  <c r="AE59" i="1"/>
  <c r="Y59" i="1"/>
  <c r="O59" i="1"/>
  <c r="I59" i="1"/>
  <c r="I55" i="1" s="1"/>
  <c r="AL58" i="1"/>
  <c r="AK58" i="1"/>
  <c r="AE58" i="1"/>
  <c r="Y58" i="1"/>
  <c r="O58" i="1"/>
  <c r="D58" i="1" s="1"/>
  <c r="AL57" i="1"/>
  <c r="AK57" i="1"/>
  <c r="AE57" i="1"/>
  <c r="Y57" i="1"/>
  <c r="O57" i="1"/>
  <c r="D57" i="1" s="1"/>
  <c r="AL56" i="1"/>
  <c r="AK56" i="1"/>
  <c r="AE56" i="1"/>
  <c r="Y56" i="1"/>
  <c r="O56" i="1"/>
  <c r="D56" i="1" s="1"/>
  <c r="AO55" i="1"/>
  <c r="AN55" i="1"/>
  <c r="AM55" i="1"/>
  <c r="AI55" i="1"/>
  <c r="AH55" i="1"/>
  <c r="AG55" i="1"/>
  <c r="AF55" i="1"/>
  <c r="AD55" i="1"/>
  <c r="AC55" i="1"/>
  <c r="AB55" i="1"/>
  <c r="AA55" i="1"/>
  <c r="Z55" i="1"/>
  <c r="X55" i="1"/>
  <c r="W55" i="1"/>
  <c r="V55" i="1"/>
  <c r="U55" i="1"/>
  <c r="T55" i="1"/>
  <c r="S55" i="1"/>
  <c r="R55" i="1"/>
  <c r="Q55" i="1"/>
  <c r="P55" i="1"/>
  <c r="N55" i="1"/>
  <c r="M55" i="1"/>
  <c r="L55" i="1"/>
  <c r="K55" i="1"/>
  <c r="J55" i="1"/>
  <c r="H55" i="1"/>
  <c r="G55" i="1"/>
  <c r="F55" i="1"/>
  <c r="E55" i="1"/>
  <c r="AL53" i="1"/>
  <c r="AJ53" i="1" s="1"/>
  <c r="AE53" i="1"/>
  <c r="Y53" i="1"/>
  <c r="D53" i="1"/>
  <c r="AL52" i="1"/>
  <c r="AK52" i="1"/>
  <c r="AJ52" i="1" s="1"/>
  <c r="AE52" i="1"/>
  <c r="Y52" i="1"/>
  <c r="I52" i="1"/>
  <c r="D52" i="1" s="1"/>
  <c r="AL51" i="1"/>
  <c r="AK51" i="1"/>
  <c r="AJ51" i="1" s="1"/>
  <c r="AE51" i="1"/>
  <c r="Y51" i="1"/>
  <c r="V51" i="1"/>
  <c r="D51" i="1" s="1"/>
  <c r="AL50" i="1"/>
  <c r="AK50" i="1"/>
  <c r="AE50" i="1"/>
  <c r="Y50" i="1"/>
  <c r="O50" i="1"/>
  <c r="AO49" i="1"/>
  <c r="AN49" i="1"/>
  <c r="AM49" i="1"/>
  <c r="AI49" i="1"/>
  <c r="AH49" i="1"/>
  <c r="AG49" i="1"/>
  <c r="AF49" i="1"/>
  <c r="AD49" i="1"/>
  <c r="AC49" i="1"/>
  <c r="AB49" i="1"/>
  <c r="AA49" i="1"/>
  <c r="Z49" i="1"/>
  <c r="X49" i="1"/>
  <c r="W49" i="1"/>
  <c r="U49" i="1"/>
  <c r="T49" i="1"/>
  <c r="S49" i="1"/>
  <c r="R49" i="1"/>
  <c r="Q49" i="1"/>
  <c r="P49" i="1"/>
  <c r="N49" i="1"/>
  <c r="M49" i="1"/>
  <c r="L49" i="1"/>
  <c r="K49" i="1"/>
  <c r="J49" i="1"/>
  <c r="H49" i="1"/>
  <c r="G49" i="1"/>
  <c r="F49" i="1"/>
  <c r="E49" i="1"/>
  <c r="AL46" i="1"/>
  <c r="AJ46" i="1" s="1"/>
  <c r="AE46" i="1"/>
  <c r="Y46" i="1"/>
  <c r="D46" i="1"/>
  <c r="AL45" i="1"/>
  <c r="AJ45" i="1" s="1"/>
  <c r="AE45" i="1"/>
  <c r="Y45" i="1"/>
  <c r="D45" i="1"/>
  <c r="AL44" i="1"/>
  <c r="AE44" i="1"/>
  <c r="Y44" i="1"/>
  <c r="D44" i="1"/>
  <c r="AL43" i="1"/>
  <c r="AJ43" i="1" s="1"/>
  <c r="AE43" i="1"/>
  <c r="Y43" i="1"/>
  <c r="D43" i="1"/>
  <c r="AO42" i="1"/>
  <c r="AN42" i="1"/>
  <c r="AM42" i="1"/>
  <c r="AK42" i="1"/>
  <c r="AI42" i="1"/>
  <c r="AH42" i="1"/>
  <c r="AG42" i="1"/>
  <c r="AF42" i="1"/>
  <c r="AD42" i="1"/>
  <c r="AC42" i="1"/>
  <c r="AB42" i="1"/>
  <c r="AA42" i="1"/>
  <c r="Z42" i="1"/>
  <c r="X42" i="1"/>
  <c r="W42" i="1"/>
  <c r="V42" i="1"/>
  <c r="U42" i="1"/>
  <c r="T42" i="1"/>
  <c r="S42" i="1"/>
  <c r="R42" i="1"/>
  <c r="Q42" i="1"/>
  <c r="P42" i="1"/>
  <c r="O42" i="1"/>
  <c r="N42" i="1"/>
  <c r="M42" i="1"/>
  <c r="L42" i="1"/>
  <c r="K42" i="1"/>
  <c r="J42" i="1"/>
  <c r="I42" i="1"/>
  <c r="H42" i="1"/>
  <c r="G42" i="1"/>
  <c r="F42" i="1"/>
  <c r="E42" i="1"/>
  <c r="AL40" i="1"/>
  <c r="AJ40" i="1" s="1"/>
  <c r="AE40" i="1"/>
  <c r="Y40" i="1"/>
  <c r="D40" i="1"/>
  <c r="AL39" i="1"/>
  <c r="AJ39" i="1" s="1"/>
  <c r="AE39" i="1"/>
  <c r="Y39" i="1"/>
  <c r="D39" i="1"/>
  <c r="AL38" i="1"/>
  <c r="AJ38" i="1" s="1"/>
  <c r="AE38" i="1"/>
  <c r="Y38" i="1"/>
  <c r="D38" i="1"/>
  <c r="AL37" i="1"/>
  <c r="AJ37" i="1"/>
  <c r="AE37" i="1"/>
  <c r="Y37" i="1"/>
  <c r="D37" i="1"/>
  <c r="AL36" i="1"/>
  <c r="AJ36" i="1" s="1"/>
  <c r="AE36" i="1"/>
  <c r="Y36" i="1"/>
  <c r="D36" i="1"/>
  <c r="AO35" i="1"/>
  <c r="AN35" i="1"/>
  <c r="AM35" i="1"/>
  <c r="AK35" i="1"/>
  <c r="AI35" i="1"/>
  <c r="AH35" i="1"/>
  <c r="AG35" i="1"/>
  <c r="AF35" i="1"/>
  <c r="AD35" i="1"/>
  <c r="AC35" i="1"/>
  <c r="AB35" i="1"/>
  <c r="AA35" i="1"/>
  <c r="Z35" i="1"/>
  <c r="X35" i="1"/>
  <c r="W35" i="1"/>
  <c r="V35" i="1"/>
  <c r="U35" i="1"/>
  <c r="T35" i="1"/>
  <c r="S35" i="1"/>
  <c r="R35" i="1"/>
  <c r="Q35" i="1"/>
  <c r="P35" i="1"/>
  <c r="O35" i="1"/>
  <c r="N35" i="1"/>
  <c r="M35" i="1"/>
  <c r="L35" i="1"/>
  <c r="K35" i="1"/>
  <c r="J35" i="1"/>
  <c r="I35" i="1"/>
  <c r="H35" i="1"/>
  <c r="G35" i="1"/>
  <c r="F35" i="1"/>
  <c r="E35" i="1"/>
  <c r="AL33" i="1"/>
  <c r="AL32" i="1" s="1"/>
  <c r="AE33" i="1"/>
  <c r="AE32" i="1" s="1"/>
  <c r="Y33" i="1"/>
  <c r="Y32" i="1" s="1"/>
  <c r="D33" i="1"/>
  <c r="D32" i="1" s="1"/>
  <c r="AO32" i="1"/>
  <c r="AN32" i="1"/>
  <c r="AM32" i="1"/>
  <c r="AK32" i="1"/>
  <c r="AI32" i="1"/>
  <c r="AH32" i="1"/>
  <c r="AG32" i="1"/>
  <c r="AF32" i="1"/>
  <c r="AD32" i="1"/>
  <c r="AC32" i="1"/>
  <c r="AB32" i="1"/>
  <c r="AA32" i="1"/>
  <c r="Z32" i="1"/>
  <c r="X32" i="1"/>
  <c r="W32" i="1"/>
  <c r="V32" i="1"/>
  <c r="U32" i="1"/>
  <c r="T32" i="1"/>
  <c r="S32" i="1"/>
  <c r="R32" i="1"/>
  <c r="Q32" i="1"/>
  <c r="P32" i="1"/>
  <c r="O32" i="1"/>
  <c r="N32" i="1"/>
  <c r="M32" i="1"/>
  <c r="L32" i="1"/>
  <c r="K32" i="1"/>
  <c r="J32" i="1"/>
  <c r="I32" i="1"/>
  <c r="H32" i="1"/>
  <c r="G32" i="1"/>
  <c r="F32" i="1"/>
  <c r="E32" i="1"/>
  <c r="AL30" i="1"/>
  <c r="AJ30" i="1" s="1"/>
  <c r="AE30" i="1"/>
  <c r="Y30" i="1"/>
  <c r="D30" i="1"/>
  <c r="AL29" i="1"/>
  <c r="AJ29" i="1" s="1"/>
  <c r="AE29" i="1"/>
  <c r="Y29" i="1"/>
  <c r="D29" i="1"/>
  <c r="C29" i="1" s="1"/>
  <c r="AL27" i="1"/>
  <c r="AJ27" i="1" s="1"/>
  <c r="AE27" i="1"/>
  <c r="Y27" i="1"/>
  <c r="D27" i="1"/>
  <c r="AL26" i="1"/>
  <c r="AL25" i="1" s="1"/>
  <c r="AJ26" i="1"/>
  <c r="AE26" i="1"/>
  <c r="Y26" i="1"/>
  <c r="D26" i="1"/>
  <c r="AO25" i="1"/>
  <c r="AN25" i="1"/>
  <c r="AM25" i="1"/>
  <c r="AK25" i="1"/>
  <c r="AI25" i="1"/>
  <c r="AH25" i="1"/>
  <c r="AG25" i="1"/>
  <c r="AF25" i="1"/>
  <c r="AD25" i="1"/>
  <c r="AC25" i="1"/>
  <c r="AB25" i="1"/>
  <c r="AA25" i="1"/>
  <c r="Z25" i="1"/>
  <c r="X25" i="1"/>
  <c r="W25" i="1"/>
  <c r="V25" i="1"/>
  <c r="U25" i="1"/>
  <c r="T25" i="1"/>
  <c r="S25" i="1"/>
  <c r="R25" i="1"/>
  <c r="Q25" i="1"/>
  <c r="P25" i="1"/>
  <c r="O25" i="1"/>
  <c r="N25" i="1"/>
  <c r="M25" i="1"/>
  <c r="L25" i="1"/>
  <c r="K25" i="1"/>
  <c r="J25" i="1"/>
  <c r="I25" i="1"/>
  <c r="H25" i="1"/>
  <c r="G25" i="1"/>
  <c r="F25" i="1"/>
  <c r="E25" i="1"/>
  <c r="AL23" i="1"/>
  <c r="AJ23" i="1"/>
  <c r="AE23" i="1"/>
  <c r="Y23" i="1"/>
  <c r="D23" i="1"/>
  <c r="AL22" i="1"/>
  <c r="AJ22" i="1"/>
  <c r="AE22" i="1"/>
  <c r="Y22" i="1"/>
  <c r="D22" i="1"/>
  <c r="AO21" i="1"/>
  <c r="AN21" i="1"/>
  <c r="AM21" i="1"/>
  <c r="AK21" i="1"/>
  <c r="AI21" i="1"/>
  <c r="AH21" i="1"/>
  <c r="AG21" i="1"/>
  <c r="AF21" i="1"/>
  <c r="AD21" i="1"/>
  <c r="AC21" i="1"/>
  <c r="AB21" i="1"/>
  <c r="AA21" i="1"/>
  <c r="Z21" i="1"/>
  <c r="X21" i="1"/>
  <c r="W21" i="1"/>
  <c r="V21" i="1"/>
  <c r="U21" i="1"/>
  <c r="T21" i="1"/>
  <c r="S21" i="1"/>
  <c r="R21" i="1"/>
  <c r="Q21" i="1"/>
  <c r="P21" i="1"/>
  <c r="O21" i="1"/>
  <c r="N21" i="1"/>
  <c r="M21" i="1"/>
  <c r="L21" i="1"/>
  <c r="K21" i="1"/>
  <c r="J21" i="1"/>
  <c r="I21" i="1"/>
  <c r="H21" i="1"/>
  <c r="G21" i="1"/>
  <c r="F21" i="1"/>
  <c r="E21" i="1"/>
  <c r="AL18" i="1"/>
  <c r="AJ18" i="1"/>
  <c r="AE18" i="1"/>
  <c r="Y18" i="1"/>
  <c r="D18" i="1"/>
  <c r="AL17" i="1"/>
  <c r="AJ17" i="1" s="1"/>
  <c r="AE17" i="1"/>
  <c r="Y17" i="1"/>
  <c r="D17" i="1"/>
  <c r="AL16" i="1"/>
  <c r="AE16" i="1"/>
  <c r="Y16" i="1"/>
  <c r="D16" i="1"/>
  <c r="AO15" i="1"/>
  <c r="AN15" i="1"/>
  <c r="AM15" i="1"/>
  <c r="AK15" i="1"/>
  <c r="AI15" i="1"/>
  <c r="AH15" i="1"/>
  <c r="AG15" i="1"/>
  <c r="AF15" i="1"/>
  <c r="AD15" i="1"/>
  <c r="AC15" i="1"/>
  <c r="AB15" i="1"/>
  <c r="AA15" i="1"/>
  <c r="Z15" i="1"/>
  <c r="X15" i="1"/>
  <c r="W15" i="1"/>
  <c r="V15" i="1"/>
  <c r="U15" i="1"/>
  <c r="T15" i="1"/>
  <c r="S15" i="1"/>
  <c r="R15" i="1"/>
  <c r="Q15" i="1"/>
  <c r="P15" i="1"/>
  <c r="O15" i="1"/>
  <c r="N15" i="1"/>
  <c r="M15" i="1"/>
  <c r="L15" i="1"/>
  <c r="K15" i="1"/>
  <c r="J15" i="1"/>
  <c r="I15" i="1"/>
  <c r="H15" i="1"/>
  <c r="G15" i="1"/>
  <c r="F15" i="1"/>
  <c r="E15" i="1"/>
  <c r="AL13" i="1"/>
  <c r="AJ13" i="1"/>
  <c r="AE13" i="1"/>
  <c r="Y13" i="1"/>
  <c r="D13" i="1"/>
  <c r="AL12" i="1"/>
  <c r="AE12" i="1"/>
  <c r="Y12" i="1"/>
  <c r="D12" i="1"/>
  <c r="D11" i="1" s="1"/>
  <c r="AO11" i="1"/>
  <c r="AN11" i="1"/>
  <c r="AM11" i="1"/>
  <c r="AK11" i="1"/>
  <c r="AI11" i="1"/>
  <c r="AH11" i="1"/>
  <c r="AG11" i="1"/>
  <c r="AF11" i="1"/>
  <c r="AD11" i="1"/>
  <c r="AC11" i="1"/>
  <c r="AB11" i="1"/>
  <c r="AA11" i="1"/>
  <c r="Z11" i="1"/>
  <c r="X11" i="1"/>
  <c r="W11" i="1"/>
  <c r="V11" i="1"/>
  <c r="U11" i="1"/>
  <c r="T11" i="1"/>
  <c r="S11" i="1"/>
  <c r="R11" i="1"/>
  <c r="Q11" i="1"/>
  <c r="P11" i="1"/>
  <c r="O11" i="1"/>
  <c r="N11" i="1"/>
  <c r="M11" i="1"/>
  <c r="L11" i="1"/>
  <c r="K11" i="1"/>
  <c r="J11" i="1"/>
  <c r="I11" i="1"/>
  <c r="H11" i="1"/>
  <c r="G11" i="1"/>
  <c r="F11" i="1"/>
  <c r="E11" i="1"/>
  <c r="AJ50" i="1" l="1"/>
  <c r="D184" i="1"/>
  <c r="C184" i="1" s="1"/>
  <c r="AJ99" i="1"/>
  <c r="C14" i="2"/>
  <c r="C168" i="1"/>
  <c r="Y77" i="1"/>
  <c r="AE103" i="1"/>
  <c r="D65" i="1"/>
  <c r="C75" i="1"/>
  <c r="Y226" i="1"/>
  <c r="AD179" i="1"/>
  <c r="AL114" i="1"/>
  <c r="AL215" i="1"/>
  <c r="AE231" i="1"/>
  <c r="C231" i="1" s="1"/>
  <c r="C82" i="1"/>
  <c r="C88" i="1"/>
  <c r="J74" i="1"/>
  <c r="AE234" i="1"/>
  <c r="AE233" i="1" s="1"/>
  <c r="R20" i="1"/>
  <c r="D175" i="1"/>
  <c r="C53" i="1"/>
  <c r="C18" i="1"/>
  <c r="V202" i="1"/>
  <c r="AE189" i="1"/>
  <c r="N222" i="1"/>
  <c r="AL127" i="1"/>
  <c r="T179" i="1"/>
  <c r="AB84" i="1"/>
  <c r="AJ137" i="1"/>
  <c r="AM135" i="1"/>
  <c r="Y15" i="1"/>
  <c r="AE107" i="1"/>
  <c r="AJ205" i="1"/>
  <c r="AJ204" i="1" s="1"/>
  <c r="L20" i="1"/>
  <c r="J135" i="1"/>
  <c r="Q179" i="1"/>
  <c r="Z222" i="1"/>
  <c r="AN20" i="1"/>
  <c r="C40" i="1"/>
  <c r="D114" i="1"/>
  <c r="P135" i="1"/>
  <c r="C153" i="1"/>
  <c r="AL196" i="1"/>
  <c r="AG202" i="1"/>
  <c r="Y207" i="1"/>
  <c r="Y11" i="1"/>
  <c r="O20" i="1"/>
  <c r="O9" i="1" s="1"/>
  <c r="D25" i="1"/>
  <c r="J20" i="1"/>
  <c r="C69" i="1"/>
  <c r="AJ103" i="1"/>
  <c r="Y114" i="1"/>
  <c r="X135" i="1"/>
  <c r="AE207" i="1"/>
  <c r="AE202" i="1" s="1"/>
  <c r="E222" i="1"/>
  <c r="AB222" i="1"/>
  <c r="C81" i="1"/>
  <c r="AK20" i="1"/>
  <c r="AK9" i="1" s="1"/>
  <c r="M20" i="1"/>
  <c r="M9" i="1" s="1"/>
  <c r="AM20" i="1"/>
  <c r="P20" i="1"/>
  <c r="AE157" i="1"/>
  <c r="O189" i="1"/>
  <c r="O179" i="1" s="1"/>
  <c r="D211" i="1"/>
  <c r="AL11" i="1"/>
  <c r="C17" i="1"/>
  <c r="Q20" i="1"/>
  <c r="Q9" i="1" s="1"/>
  <c r="AE25" i="1"/>
  <c r="C46" i="1"/>
  <c r="C86" i="1"/>
  <c r="Y103" i="1"/>
  <c r="U161" i="1"/>
  <c r="U135" i="1" s="1"/>
  <c r="Y198" i="1"/>
  <c r="C198" i="1" s="1"/>
  <c r="AL207" i="1"/>
  <c r="D226" i="1"/>
  <c r="D222" i="1" s="1"/>
  <c r="C239" i="1"/>
  <c r="C238" i="1" s="1"/>
  <c r="H222" i="1"/>
  <c r="S20" i="1"/>
  <c r="S9" i="1" s="1"/>
  <c r="AB74" i="1"/>
  <c r="F135" i="1"/>
  <c r="Y144" i="1"/>
  <c r="U202" i="1"/>
  <c r="AI222" i="1"/>
  <c r="AH226" i="1"/>
  <c r="AH222" i="1" s="1"/>
  <c r="AL226" i="1"/>
  <c r="AL222" i="1" s="1"/>
  <c r="T74" i="1"/>
  <c r="D164" i="1"/>
  <c r="C164" i="1" s="1"/>
  <c r="U179" i="1"/>
  <c r="AB202" i="1"/>
  <c r="L222" i="1"/>
  <c r="R9" i="1"/>
  <c r="T48" i="1"/>
  <c r="I222" i="1"/>
  <c r="T20" i="1"/>
  <c r="T9" i="1" s="1"/>
  <c r="AE144" i="1"/>
  <c r="X179" i="1"/>
  <c r="J222" i="1"/>
  <c r="AK222" i="1"/>
  <c r="AE35" i="1"/>
  <c r="G74" i="1"/>
  <c r="K222" i="1"/>
  <c r="AM222" i="1"/>
  <c r="R222" i="1"/>
  <c r="C27" i="1"/>
  <c r="H74" i="1"/>
  <c r="AF74" i="1"/>
  <c r="AF48" i="1" s="1"/>
  <c r="C71" i="1"/>
  <c r="I74" i="1"/>
  <c r="AH74" i="1"/>
  <c r="AL130" i="1"/>
  <c r="M222" i="1"/>
  <c r="AO222" i="1"/>
  <c r="AI20" i="1"/>
  <c r="K74" i="1"/>
  <c r="K48" i="1" s="1"/>
  <c r="V179" i="1"/>
  <c r="O222" i="1"/>
  <c r="D42" i="1"/>
  <c r="AI202" i="1"/>
  <c r="AH20" i="1"/>
  <c r="K20" i="1"/>
  <c r="K9" i="1" s="1"/>
  <c r="AJ58" i="1"/>
  <c r="AJ67" i="1"/>
  <c r="C67" i="1" s="1"/>
  <c r="Y94" i="1"/>
  <c r="C94" i="1" s="1"/>
  <c r="C142" i="1"/>
  <c r="AE42" i="1"/>
  <c r="AM179" i="1"/>
  <c r="D59" i="1"/>
  <c r="D55" i="1" s="1"/>
  <c r="Y107" i="1"/>
  <c r="AE130" i="1"/>
  <c r="X202" i="1"/>
  <c r="C229" i="1"/>
  <c r="C78" i="1"/>
  <c r="C39" i="1"/>
  <c r="C72" i="1"/>
  <c r="Y234" i="1"/>
  <c r="Y233" i="1" s="1"/>
  <c r="AJ64" i="1"/>
  <c r="C64" i="1" s="1"/>
  <c r="D20" i="2"/>
  <c r="O148" i="1"/>
  <c r="O135" i="1" s="1"/>
  <c r="I181" i="1"/>
  <c r="C101" i="1"/>
  <c r="C149" i="1"/>
  <c r="V49" i="1"/>
  <c r="AJ151" i="1"/>
  <c r="C151" i="1" s="1"/>
  <c r="D9" i="2"/>
  <c r="D209" i="1"/>
  <c r="D207" i="1" s="1"/>
  <c r="C27" i="2"/>
  <c r="C9" i="2"/>
  <c r="C99" i="1"/>
  <c r="L74" i="1"/>
  <c r="L48" i="1" s="1"/>
  <c r="C166" i="1"/>
  <c r="C200" i="1"/>
  <c r="C155" i="1"/>
  <c r="C58" i="1"/>
  <c r="AJ211" i="1"/>
  <c r="C213" i="1"/>
  <c r="C211" i="1" s="1"/>
  <c r="AJ12" i="1"/>
  <c r="AJ11" i="1" s="1"/>
  <c r="AG20" i="1"/>
  <c r="AG9" i="1" s="1"/>
  <c r="AJ33" i="1"/>
  <c r="AJ32" i="1" s="1"/>
  <c r="N74" i="1"/>
  <c r="N48" i="1" s="1"/>
  <c r="G202" i="1"/>
  <c r="AL161" i="1"/>
  <c r="C51" i="1"/>
  <c r="C125" i="1"/>
  <c r="AE137" i="1"/>
  <c r="C154" i="1"/>
  <c r="F202" i="1"/>
  <c r="AC202" i="1"/>
  <c r="C30" i="1"/>
  <c r="C38" i="1"/>
  <c r="O55" i="1"/>
  <c r="AJ63" i="1"/>
  <c r="C63" i="1" s="1"/>
  <c r="C79" i="1"/>
  <c r="C133" i="1"/>
  <c r="T135" i="1"/>
  <c r="AL137" i="1"/>
  <c r="Y148" i="1"/>
  <c r="AB48" i="1"/>
  <c r="AL49" i="1"/>
  <c r="Y55" i="1"/>
  <c r="AE80" i="1"/>
  <c r="C80" i="1" s="1"/>
  <c r="C89" i="1"/>
  <c r="W74" i="1"/>
  <c r="W48" i="1" s="1"/>
  <c r="C122" i="1"/>
  <c r="C163" i="1"/>
  <c r="F222" i="1"/>
  <c r="AC222" i="1"/>
  <c r="C13" i="1"/>
  <c r="AE55" i="1"/>
  <c r="C105" i="1"/>
  <c r="C103" i="1" s="1"/>
  <c r="C139" i="1"/>
  <c r="AK181" i="1"/>
  <c r="AN222" i="1"/>
  <c r="D77" i="1"/>
  <c r="C121" i="1"/>
  <c r="AE15" i="1"/>
  <c r="AI9" i="1"/>
  <c r="C52" i="1"/>
  <c r="I62" i="1"/>
  <c r="AG74" i="1"/>
  <c r="AG48" i="1" s="1"/>
  <c r="C90" i="1"/>
  <c r="AJ97" i="1"/>
  <c r="AJ96" i="1" s="1"/>
  <c r="AL157" i="1"/>
  <c r="M202" i="1"/>
  <c r="G222" i="1"/>
  <c r="AJ56" i="1"/>
  <c r="C56" i="1" s="1"/>
  <c r="AJ59" i="1"/>
  <c r="C68" i="1"/>
  <c r="E74" i="1"/>
  <c r="AA74" i="1"/>
  <c r="AA48" i="1" s="1"/>
  <c r="W135" i="1"/>
  <c r="AK148" i="1"/>
  <c r="AK135" i="1" s="1"/>
  <c r="AF202" i="1"/>
  <c r="N202" i="1"/>
  <c r="O202" i="1"/>
  <c r="AO20" i="1"/>
  <c r="AO9" i="1" s="1"/>
  <c r="AC74" i="1"/>
  <c r="AC48" i="1" s="1"/>
  <c r="AL84" i="1"/>
  <c r="Z135" i="1"/>
  <c r="AN135" i="1"/>
  <c r="P202" i="1"/>
  <c r="C22" i="1"/>
  <c r="Y42" i="1"/>
  <c r="AD74" i="1"/>
  <c r="AL109" i="1"/>
  <c r="AL107" i="1" s="1"/>
  <c r="AA135" i="1"/>
  <c r="C140" i="1"/>
  <c r="AO135" i="1"/>
  <c r="C187" i="1"/>
  <c r="C192" i="1"/>
  <c r="C199" i="1"/>
  <c r="AE227" i="1"/>
  <c r="O118" i="1"/>
  <c r="D130" i="1"/>
  <c r="F179" i="1"/>
  <c r="U20" i="1"/>
  <c r="U9" i="1" s="1"/>
  <c r="D35" i="1"/>
  <c r="AJ65" i="1"/>
  <c r="C65" i="1" s="1"/>
  <c r="R135" i="1"/>
  <c r="AJ145" i="1"/>
  <c r="AJ144" i="1" s="1"/>
  <c r="H179" i="1"/>
  <c r="AF179" i="1"/>
  <c r="Q202" i="1"/>
  <c r="AE224" i="1"/>
  <c r="Q135" i="1"/>
  <c r="C60" i="1"/>
  <c r="Z179" i="1"/>
  <c r="AJ152" i="1"/>
  <c r="AA179" i="1"/>
  <c r="AO202" i="1"/>
  <c r="S202" i="1"/>
  <c r="C23" i="1"/>
  <c r="AJ57" i="1"/>
  <c r="C57" i="1" s="1"/>
  <c r="G179" i="1"/>
  <c r="E179" i="1"/>
  <c r="C205" i="1"/>
  <c r="C204" i="1" s="1"/>
  <c r="T219" i="1"/>
  <c r="T202" i="1" s="1"/>
  <c r="AH9" i="1"/>
  <c r="Y21" i="1"/>
  <c r="V20" i="1"/>
  <c r="V9" i="1" s="1"/>
  <c r="AE21" i="1"/>
  <c r="W20" i="1"/>
  <c r="W9" i="1" s="1"/>
  <c r="Y25" i="1"/>
  <c r="Y35" i="1"/>
  <c r="AL42" i="1"/>
  <c r="AG62" i="1"/>
  <c r="AO74" i="1"/>
  <c r="AO48" i="1" s="1"/>
  <c r="AE87" i="1"/>
  <c r="C87" i="1" s="1"/>
  <c r="C128" i="1"/>
  <c r="C127" i="1" s="1"/>
  <c r="S135" i="1"/>
  <c r="R202" i="1"/>
  <c r="C228" i="1"/>
  <c r="D234" i="1"/>
  <c r="D233" i="1" s="1"/>
  <c r="AE181" i="1"/>
  <c r="X20" i="1"/>
  <c r="X9" i="1" s="1"/>
  <c r="AL144" i="1"/>
  <c r="Y215" i="1"/>
  <c r="AM9" i="1"/>
  <c r="AM74" i="1"/>
  <c r="AM48" i="1" s="1"/>
  <c r="AL103" i="1"/>
  <c r="AE118" i="1"/>
  <c r="C124" i="1"/>
  <c r="C132" i="1"/>
  <c r="C150" i="1"/>
  <c r="V161" i="1"/>
  <c r="V135" i="1" s="1"/>
  <c r="K179" i="1"/>
  <c r="AI179" i="1"/>
  <c r="C185" i="1"/>
  <c r="AE215" i="1"/>
  <c r="AJ25" i="1"/>
  <c r="AJ21" i="1"/>
  <c r="L135" i="1"/>
  <c r="AH179" i="1"/>
  <c r="AN179" i="1"/>
  <c r="AN9" i="1"/>
  <c r="D21" i="1"/>
  <c r="R74" i="1"/>
  <c r="R48" i="1" s="1"/>
  <c r="C146" i="1"/>
  <c r="D157" i="1"/>
  <c r="L179" i="1"/>
  <c r="AJ217" i="1"/>
  <c r="C217" i="1" s="1"/>
  <c r="U222" i="1"/>
  <c r="C236" i="1"/>
  <c r="AA20" i="1"/>
  <c r="AA9" i="1" s="1"/>
  <c r="AA7" i="1" s="1"/>
  <c r="P9" i="1"/>
  <c r="E20" i="1"/>
  <c r="E9" i="1" s="1"/>
  <c r="E7" i="1" s="1"/>
  <c r="AB20" i="1"/>
  <c r="AB9" i="1" s="1"/>
  <c r="C45" i="1"/>
  <c r="C70" i="1"/>
  <c r="Q74" i="1"/>
  <c r="Q48" i="1" s="1"/>
  <c r="AJ100" i="1"/>
  <c r="AE175" i="1"/>
  <c r="M179" i="1"/>
  <c r="AB179" i="1"/>
  <c r="F20" i="1"/>
  <c r="F9" i="1" s="1"/>
  <c r="AC20" i="1"/>
  <c r="AC9" i="1" s="1"/>
  <c r="AI74" i="1"/>
  <c r="AI48" i="1" s="1"/>
  <c r="D97" i="1"/>
  <c r="D96" i="1" s="1"/>
  <c r="AJ116" i="1"/>
  <c r="C116" i="1" s="1"/>
  <c r="AJ162" i="1"/>
  <c r="C162" i="1" s="1"/>
  <c r="N179" i="1"/>
  <c r="P179" i="1"/>
  <c r="C39" i="2"/>
  <c r="C33" i="2" s="1"/>
  <c r="C29" i="2" s="1"/>
  <c r="D33" i="2"/>
  <c r="F9" i="2"/>
  <c r="E48" i="1"/>
  <c r="AD48" i="1"/>
  <c r="S74" i="1"/>
  <c r="S48" i="1" s="1"/>
  <c r="AO179" i="1"/>
  <c r="Z20" i="1"/>
  <c r="Z9" i="1" s="1"/>
  <c r="C120" i="1"/>
  <c r="D100" i="1"/>
  <c r="O74" i="1"/>
  <c r="AK74" i="1"/>
  <c r="D196" i="1"/>
  <c r="C197" i="1"/>
  <c r="G48" i="1"/>
  <c r="AE49" i="1"/>
  <c r="H48" i="1"/>
  <c r="AL148" i="1"/>
  <c r="C173" i="1"/>
  <c r="C172" i="1" s="1"/>
  <c r="C171" i="1" s="1"/>
  <c r="Y181" i="1"/>
  <c r="Y222" i="1"/>
  <c r="AJ44" i="1"/>
  <c r="AJ42" i="1" s="1"/>
  <c r="I49" i="1"/>
  <c r="C235" i="1"/>
  <c r="J48" i="1"/>
  <c r="D152" i="1"/>
  <c r="I148" i="1"/>
  <c r="I135" i="1" s="1"/>
  <c r="AJ16" i="1"/>
  <c r="AJ15" i="1" s="1"/>
  <c r="AL15" i="1"/>
  <c r="S222" i="1"/>
  <c r="H20" i="1"/>
  <c r="H9" i="1" s="1"/>
  <c r="AK62" i="1"/>
  <c r="U74" i="1"/>
  <c r="U48" i="1" s="1"/>
  <c r="AL118" i="1"/>
  <c r="C169" i="1"/>
  <c r="T222" i="1"/>
  <c r="I20" i="1"/>
  <c r="I9" i="1" s="1"/>
  <c r="C37" i="1"/>
  <c r="AL62" i="1"/>
  <c r="Z74" i="1"/>
  <c r="Z48" i="1" s="1"/>
  <c r="D144" i="1"/>
  <c r="C165" i="1"/>
  <c r="L9" i="1"/>
  <c r="AH48" i="1"/>
  <c r="C183" i="1"/>
  <c r="AE148" i="1"/>
  <c r="I202" i="1"/>
  <c r="J202" i="1"/>
  <c r="AH202" i="1"/>
  <c r="G20" i="1"/>
  <c r="G9" i="1" s="1"/>
  <c r="F74" i="1"/>
  <c r="F48" i="1" s="1"/>
  <c r="Y49" i="1"/>
  <c r="D15" i="1"/>
  <c r="L202" i="1"/>
  <c r="AJ123" i="1"/>
  <c r="AJ118" i="1" s="1"/>
  <c r="AK118" i="1"/>
  <c r="AE62" i="1"/>
  <c r="AD20" i="1"/>
  <c r="AD9" i="1" s="1"/>
  <c r="AD202" i="1"/>
  <c r="C85" i="1"/>
  <c r="AJ84" i="1"/>
  <c r="H202" i="1"/>
  <c r="D84" i="1"/>
  <c r="K202" i="1"/>
  <c r="J9" i="1"/>
  <c r="C138" i="1"/>
  <c r="Y161" i="1"/>
  <c r="AJ130" i="1"/>
  <c r="D137" i="1"/>
  <c r="Y157" i="1"/>
  <c r="C158" i="1"/>
  <c r="AE161" i="1"/>
  <c r="AM202" i="1"/>
  <c r="C220" i="1"/>
  <c r="C219" i="1" s="1"/>
  <c r="D219" i="1"/>
  <c r="C26" i="1"/>
  <c r="AN74" i="1"/>
  <c r="AN48" i="1" s="1"/>
  <c r="Y137" i="1"/>
  <c r="C176" i="1"/>
  <c r="Y175" i="1"/>
  <c r="J179" i="1"/>
  <c r="AG179" i="1"/>
  <c r="AN202" i="1"/>
  <c r="AF20" i="1"/>
  <c r="AF9" i="1" s="1"/>
  <c r="V74" i="1"/>
  <c r="C111" i="1"/>
  <c r="C208" i="1"/>
  <c r="AG222" i="1"/>
  <c r="AL77" i="1"/>
  <c r="AJ159" i="1"/>
  <c r="AJ157" i="1" s="1"/>
  <c r="AJ173" i="1"/>
  <c r="AJ172" i="1" s="1"/>
  <c r="AJ171" i="1" s="1"/>
  <c r="AJ190" i="1"/>
  <c r="AJ189" i="1" s="1"/>
  <c r="AJ227" i="1"/>
  <c r="AJ226" i="1" s="1"/>
  <c r="AJ222" i="1" s="1"/>
  <c r="AL234" i="1"/>
  <c r="AL233" i="1" s="1"/>
  <c r="P48" i="1"/>
  <c r="D50" i="1"/>
  <c r="O49" i="1"/>
  <c r="D108" i="1"/>
  <c r="C115" i="1"/>
  <c r="AL177" i="1"/>
  <c r="AJ177" i="1" s="1"/>
  <c r="AJ175" i="1" s="1"/>
  <c r="C182" i="1"/>
  <c r="H135" i="1"/>
  <c r="C36" i="1"/>
  <c r="C43" i="1"/>
  <c r="AL55" i="1"/>
  <c r="K135" i="1"/>
  <c r="AG135" i="1"/>
  <c r="X74" i="1"/>
  <c r="X48" i="1" s="1"/>
  <c r="Y130" i="1"/>
  <c r="C131" i="1"/>
  <c r="N20" i="1"/>
  <c r="N9" i="1" s="1"/>
  <c r="AJ196" i="1"/>
  <c r="AK55" i="1"/>
  <c r="M135" i="1"/>
  <c r="N135" i="1"/>
  <c r="M48" i="1"/>
  <c r="I196" i="1"/>
  <c r="AC135" i="1"/>
  <c r="AE196" i="1"/>
  <c r="AD135" i="1"/>
  <c r="D118" i="1"/>
  <c r="C119" i="1"/>
  <c r="AL181" i="1"/>
  <c r="AK207" i="1"/>
  <c r="AK202" i="1" s="1"/>
  <c r="AJ209" i="1"/>
  <c r="AJ207" i="1" s="1"/>
  <c r="AF222" i="1"/>
  <c r="C141" i="1"/>
  <c r="Z202" i="1"/>
  <c r="AL21" i="1"/>
  <c r="AL20" i="1" s="1"/>
  <c r="AL35" i="1"/>
  <c r="C93" i="1"/>
  <c r="AK189" i="1"/>
  <c r="AC196" i="1"/>
  <c r="AC179" i="1" s="1"/>
  <c r="E202" i="1"/>
  <c r="AA202" i="1"/>
  <c r="Q243" i="1"/>
  <c r="G135" i="1"/>
  <c r="AE11" i="1"/>
  <c r="V62" i="1"/>
  <c r="AJ77" i="1"/>
  <c r="AJ186" i="1"/>
  <c r="C186" i="1" s="1"/>
  <c r="AJ216" i="1"/>
  <c r="AJ49" i="1"/>
  <c r="AH135" i="1"/>
  <c r="AK49" i="1"/>
  <c r="AI135" i="1"/>
  <c r="D62" i="1"/>
  <c r="AJ35" i="1"/>
  <c r="Y62" i="1"/>
  <c r="AK107" i="1"/>
  <c r="Y118" i="1"/>
  <c r="AH242" i="1"/>
  <c r="D181" i="1" l="1"/>
  <c r="AJ148" i="1"/>
  <c r="D161" i="1"/>
  <c r="AJ109" i="1"/>
  <c r="AJ107" i="1" s="1"/>
  <c r="AL179" i="1"/>
  <c r="R7" i="1"/>
  <c r="AE226" i="1"/>
  <c r="D20" i="1"/>
  <c r="Y202" i="1"/>
  <c r="Y84" i="1"/>
  <c r="Y74" i="1" s="1"/>
  <c r="C59" i="1"/>
  <c r="C55" i="1" s="1"/>
  <c r="I179" i="1"/>
  <c r="P7" i="1"/>
  <c r="AL202" i="1"/>
  <c r="C77" i="1"/>
  <c r="AJ20" i="1"/>
  <c r="AE84" i="1"/>
  <c r="AB7" i="1"/>
  <c r="Y48" i="1"/>
  <c r="AM7" i="1"/>
  <c r="AF7" i="1"/>
  <c r="AJ62" i="1"/>
  <c r="AJ9" i="1"/>
  <c r="C196" i="1"/>
  <c r="Y196" i="1"/>
  <c r="Y179" i="1" s="1"/>
  <c r="AL9" i="1"/>
  <c r="C159" i="1"/>
  <c r="AE179" i="1"/>
  <c r="C100" i="1"/>
  <c r="Q7" i="1"/>
  <c r="AJ161" i="1"/>
  <c r="C209" i="1"/>
  <c r="AO7" i="1"/>
  <c r="C25" i="1"/>
  <c r="D9" i="1"/>
  <c r="C12" i="1"/>
  <c r="C11" i="1" s="1"/>
  <c r="C21" i="1"/>
  <c r="W7" i="1"/>
  <c r="AE20" i="1"/>
  <c r="AE9" i="1" s="1"/>
  <c r="C109" i="1"/>
  <c r="O243" i="1"/>
  <c r="Y20" i="1"/>
  <c r="Y9" i="1" s="1"/>
  <c r="D202" i="1"/>
  <c r="C152" i="1"/>
  <c r="C148" i="1" s="1"/>
  <c r="AK179" i="1"/>
  <c r="L7" i="1"/>
  <c r="C26" i="2"/>
  <c r="C7" i="2" s="1"/>
  <c r="E40" i="2" s="1"/>
  <c r="D179" i="1"/>
  <c r="AC7" i="1"/>
  <c r="C145" i="1"/>
  <c r="C144" i="1" s="1"/>
  <c r="C234" i="1"/>
  <c r="P241" i="1" s="1"/>
  <c r="P243" i="1" s="1"/>
  <c r="V48" i="1"/>
  <c r="V7" i="1" s="1"/>
  <c r="K7" i="1"/>
  <c r="AL175" i="1"/>
  <c r="N7" i="1"/>
  <c r="C123" i="1"/>
  <c r="C118" i="1" s="1"/>
  <c r="AE77" i="1"/>
  <c r="AJ114" i="1"/>
  <c r="AJ135" i="1"/>
  <c r="AL135" i="1"/>
  <c r="C114" i="1"/>
  <c r="AN7" i="1"/>
  <c r="T7" i="1"/>
  <c r="I48" i="1"/>
  <c r="I7" i="1" s="1"/>
  <c r="C177" i="1"/>
  <c r="C175" i="1" s="1"/>
  <c r="AD7" i="1"/>
  <c r="AE135" i="1"/>
  <c r="C97" i="1"/>
  <c r="C96" i="1" s="1"/>
  <c r="C130" i="1"/>
  <c r="X7" i="1"/>
  <c r="S7" i="1"/>
  <c r="AL74" i="1"/>
  <c r="AL48" i="1" s="1"/>
  <c r="U7" i="1"/>
  <c r="H7" i="1"/>
  <c r="AJ55" i="1"/>
  <c r="AE223" i="1"/>
  <c r="AE222" i="1" s="1"/>
  <c r="C224" i="1"/>
  <c r="C223" i="1" s="1"/>
  <c r="G7" i="1"/>
  <c r="C35" i="1"/>
  <c r="AH7" i="1"/>
  <c r="C33" i="1"/>
  <c r="C32" i="1" s="1"/>
  <c r="E14" i="2"/>
  <c r="E24" i="2"/>
  <c r="G13" i="2"/>
  <c r="E15" i="2"/>
  <c r="E30" i="2"/>
  <c r="E39" i="2"/>
  <c r="E31" i="2"/>
  <c r="G26" i="2"/>
  <c r="G10" i="2"/>
  <c r="E12" i="2"/>
  <c r="E21" i="2"/>
  <c r="G12" i="2"/>
  <c r="E35" i="2"/>
  <c r="G27" i="2"/>
  <c r="E36" i="2"/>
  <c r="E11" i="2"/>
  <c r="E37" i="2"/>
  <c r="E16" i="2"/>
  <c r="E18" i="2"/>
  <c r="G20" i="2"/>
  <c r="E20" i="2"/>
  <c r="E22" i="2"/>
  <c r="G22" i="2"/>
  <c r="E23" i="2"/>
  <c r="E38" i="2"/>
  <c r="G14" i="2"/>
  <c r="G9" i="2"/>
  <c r="F7" i="2"/>
  <c r="D29" i="2"/>
  <c r="F7" i="1"/>
  <c r="C62" i="1"/>
  <c r="AK48" i="1"/>
  <c r="C84" i="1"/>
  <c r="C216" i="1"/>
  <c r="C215" i="1" s="1"/>
  <c r="AJ215" i="1"/>
  <c r="AJ202" i="1" s="1"/>
  <c r="AI7" i="1"/>
  <c r="C207" i="1"/>
  <c r="C202" i="1" s="1"/>
  <c r="D148" i="1"/>
  <c r="D135" i="1" s="1"/>
  <c r="C181" i="1"/>
  <c r="C190" i="1"/>
  <c r="C189" i="1" s="1"/>
  <c r="C137" i="1"/>
  <c r="M7" i="1"/>
  <c r="AJ181" i="1"/>
  <c r="AJ179" i="1" s="1"/>
  <c r="Z7" i="1"/>
  <c r="C16" i="1"/>
  <c r="C15" i="1" s="1"/>
  <c r="AJ74" i="1"/>
  <c r="C108" i="1"/>
  <c r="D107" i="1"/>
  <c r="O48" i="1"/>
  <c r="O7" i="1" s="1"/>
  <c r="C50" i="1"/>
  <c r="C49" i="1" s="1"/>
  <c r="D49" i="1"/>
  <c r="C44" i="1"/>
  <c r="C42" i="1" s="1"/>
  <c r="D74" i="1"/>
  <c r="C157" i="1"/>
  <c r="C227" i="1"/>
  <c r="C226" i="1" s="1"/>
  <c r="C161" i="1"/>
  <c r="J7" i="1"/>
  <c r="AG7" i="1"/>
  <c r="AP35" i="1" s="1"/>
  <c r="Y135" i="1"/>
  <c r="E33" i="2" l="1"/>
  <c r="G15" i="2"/>
  <c r="G7" i="2"/>
  <c r="E9" i="2"/>
  <c r="AE74" i="1"/>
  <c r="AE48" i="1" s="1"/>
  <c r="C222" i="1"/>
  <c r="AJ48" i="1"/>
  <c r="C74" i="1"/>
  <c r="C48" i="1" s="1"/>
  <c r="AL7" i="1"/>
  <c r="C107" i="1"/>
  <c r="C233" i="1"/>
  <c r="C20" i="1"/>
  <c r="AE7" i="1"/>
  <c r="AK7" i="1"/>
  <c r="AK249" i="1" s="1"/>
  <c r="G17" i="2"/>
  <c r="E34" i="2"/>
  <c r="E17" i="2"/>
  <c r="C9" i="1"/>
  <c r="Y7" i="1"/>
  <c r="D26" i="2"/>
  <c r="E29" i="2"/>
  <c r="AJ7" i="1"/>
  <c r="K54" i="6" s="1"/>
  <c r="D48" i="1"/>
  <c r="D7" i="1" s="1"/>
  <c r="K9" i="6" s="1"/>
  <c r="C179" i="1"/>
  <c r="C135" i="1"/>
  <c r="C7" i="1" l="1"/>
  <c r="E26" i="2"/>
  <c r="D7" i="2"/>
  <c r="E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Navarro Obando</author>
  </authors>
  <commentList>
    <comment ref="U13" authorId="0" shapeId="0" xr:uid="{C12C5FFE-F74B-4D0F-ABDB-CFD58A999299}">
      <text>
        <r>
          <rPr>
            <b/>
            <sz val="9"/>
            <color indexed="81"/>
            <rFont val="Tahoma"/>
            <family val="2"/>
          </rPr>
          <t>Martha Navarro Obando:</t>
        </r>
        <r>
          <rPr>
            <sz val="9"/>
            <color indexed="81"/>
            <rFont val="Tahoma"/>
            <family val="2"/>
          </rPr>
          <t xml:space="preserve">
</t>
        </r>
      </text>
    </comment>
    <comment ref="AK13" authorId="0" shapeId="0" xr:uid="{B217DE40-5A3D-47A7-8ED8-E73822105641}">
      <text>
        <r>
          <rPr>
            <b/>
            <sz val="9"/>
            <color indexed="81"/>
            <rFont val="Tahoma"/>
            <family val="2"/>
          </rPr>
          <t>Martha Navarro Obando:</t>
        </r>
        <r>
          <rPr>
            <sz val="9"/>
            <color indexed="81"/>
            <rFont val="Tahoma"/>
            <family val="2"/>
          </rPr>
          <t xml:space="preserve">
ese monto es por el costeo?</t>
        </r>
      </text>
    </comment>
    <comment ref="V67" authorId="0" shapeId="0" xr:uid="{4DD43BF9-C914-4FA0-9B30-DE836B822B70}">
      <text>
        <r>
          <rPr>
            <b/>
            <sz val="9"/>
            <color indexed="81"/>
            <rFont val="Tahoma"/>
            <family val="2"/>
          </rPr>
          <t>Martha Navarro Obando:</t>
        </r>
        <r>
          <rPr>
            <sz val="9"/>
            <color indexed="81"/>
            <rFont val="Tahoma"/>
            <family val="2"/>
          </rPr>
          <t xml:space="preserve">
SICOP</t>
        </r>
      </text>
    </comment>
    <comment ref="AK67" authorId="0" shapeId="0" xr:uid="{C885BB53-10FA-47EF-BFB6-CFD59210EB75}">
      <text>
        <r>
          <rPr>
            <b/>
            <sz val="9"/>
            <color indexed="81"/>
            <rFont val="Tahoma"/>
            <family val="2"/>
          </rPr>
          <t>Martha Navarro Obando:</t>
        </r>
        <r>
          <rPr>
            <sz val="9"/>
            <color indexed="81"/>
            <rFont val="Tahoma"/>
            <family val="2"/>
          </rPr>
          <t xml:space="preserve">
Comisiones bancos 356.4 millone y LTI 225.9</t>
        </r>
      </text>
    </comment>
    <comment ref="V70" authorId="0" shapeId="0" xr:uid="{948A62D3-A702-4108-9CD3-A1DDFDE0EFFC}">
      <text>
        <r>
          <rPr>
            <b/>
            <sz val="9"/>
            <color indexed="81"/>
            <rFont val="Tahoma"/>
            <family val="2"/>
          </rPr>
          <t>Martha Navarro Obando:</t>
        </r>
        <r>
          <rPr>
            <sz val="9"/>
            <color indexed="81"/>
            <rFont val="Tahoma"/>
            <family val="2"/>
          </rPr>
          <t xml:space="preserve">
incluye firma de la UCP</t>
        </r>
      </text>
    </comment>
    <comment ref="AB70" authorId="0" shapeId="0" xr:uid="{15DEAA06-7298-4C2C-936F-4E198AEFA0CE}">
      <text>
        <r>
          <rPr>
            <b/>
            <sz val="9"/>
            <color indexed="81"/>
            <rFont val="Tahoma"/>
            <family val="2"/>
          </rPr>
          <t>Martha Navarro Obando:</t>
        </r>
        <r>
          <rPr>
            <sz val="9"/>
            <color indexed="81"/>
            <rFont val="Tahoma"/>
            <family val="2"/>
          </rPr>
          <t xml:space="preserve">
se reclasifica la subpartida</t>
        </r>
      </text>
    </comment>
    <comment ref="AG70" authorId="0" shapeId="0" xr:uid="{0EDC78D5-0DB7-47FC-855D-B2E3B169CEC7}">
      <text>
        <r>
          <rPr>
            <b/>
            <sz val="9"/>
            <color indexed="81"/>
            <rFont val="Tahoma"/>
            <family val="2"/>
          </rPr>
          <t>Martha Navarro Obando:</t>
        </r>
        <r>
          <rPr>
            <sz val="9"/>
            <color indexed="81"/>
            <rFont val="Tahoma"/>
            <family val="2"/>
          </rPr>
          <t xml:space="preserve">
Se reclasifica la subpartida</t>
        </r>
      </text>
    </comment>
    <comment ref="AI70" authorId="0" shapeId="0" xr:uid="{DD9CF65A-7279-440E-B16D-4C8EA4DD2CDC}">
      <text>
        <r>
          <rPr>
            <b/>
            <sz val="9"/>
            <color indexed="81"/>
            <rFont val="Tahoma"/>
            <family val="2"/>
          </rPr>
          <t>Martha Navarro Obando:</t>
        </r>
        <r>
          <rPr>
            <sz val="9"/>
            <color indexed="81"/>
            <rFont val="Tahoma"/>
            <family val="2"/>
          </rPr>
          <t xml:space="preserve">
Se reclasifica la subpartida</t>
        </r>
      </text>
    </comment>
    <comment ref="AB90" authorId="0" shapeId="0" xr:uid="{4A4FF7B4-EA76-4E07-9B7A-30B12861B845}">
      <text>
        <r>
          <rPr>
            <b/>
            <sz val="9"/>
            <color indexed="81"/>
            <rFont val="Tahoma"/>
            <family val="2"/>
          </rPr>
          <t>Martha Navarro Obando:</t>
        </r>
        <r>
          <rPr>
            <sz val="9"/>
            <color indexed="81"/>
            <rFont val="Tahoma"/>
            <family val="2"/>
          </rPr>
          <t xml:space="preserve">
ajustado de aceurdo a oficio</t>
        </r>
      </text>
    </comment>
    <comment ref="AB93" authorId="0" shapeId="0" xr:uid="{39725A84-D13C-4DB5-BA00-7DF8EB8FC58A}">
      <text>
        <r>
          <rPr>
            <b/>
            <sz val="9"/>
            <color indexed="81"/>
            <rFont val="Tahoma"/>
            <family val="2"/>
          </rPr>
          <t>Martha Navarro Obando:</t>
        </r>
        <r>
          <rPr>
            <sz val="9"/>
            <color indexed="81"/>
            <rFont val="Tahoma"/>
            <family val="2"/>
          </rPr>
          <t xml:space="preserve">
ajustado según oficio</t>
        </r>
      </text>
    </comment>
    <comment ref="AB94" authorId="0" shapeId="0" xr:uid="{575639BD-8145-47CC-BEBF-7A5CA54CFFE5}">
      <text>
        <r>
          <rPr>
            <b/>
            <sz val="9"/>
            <color indexed="81"/>
            <rFont val="Tahoma"/>
            <family val="2"/>
          </rPr>
          <t>Martha Navarro Obando:</t>
        </r>
        <r>
          <rPr>
            <sz val="9"/>
            <color indexed="81"/>
            <rFont val="Tahoma"/>
            <family val="2"/>
          </rPr>
          <t xml:space="preserve">
ajustado según oficio
</t>
        </r>
      </text>
    </comment>
    <comment ref="AA101" authorId="0" shapeId="0" xr:uid="{611186A3-278D-456B-A57E-DD2EEE654757}">
      <text>
        <r>
          <rPr>
            <b/>
            <sz val="9"/>
            <color indexed="81"/>
            <rFont val="Tahoma"/>
            <family val="2"/>
          </rPr>
          <t>Martha Navarro Obando:</t>
        </r>
        <r>
          <rPr>
            <sz val="9"/>
            <color indexed="81"/>
            <rFont val="Tahoma"/>
            <family val="2"/>
          </rPr>
          <t xml:space="preserve">
ser eclasifica la cuenta y se aumenta el monto</t>
        </r>
      </text>
    </comment>
    <comment ref="AO109" authorId="0" shapeId="0" xr:uid="{FB9C90E5-82E0-4A57-8A24-7A862163DDA4}">
      <text>
        <r>
          <rPr>
            <b/>
            <sz val="9"/>
            <color indexed="81"/>
            <rFont val="Tahoma"/>
            <family val="2"/>
          </rPr>
          <t>Martha Navarro Obando:</t>
        </r>
        <r>
          <rPr>
            <sz val="9"/>
            <color indexed="81"/>
            <rFont val="Tahoma"/>
            <family val="2"/>
          </rPr>
          <t xml:space="preserve">
según ingresos</t>
        </r>
      </text>
    </comment>
    <comment ref="V141" authorId="0" shapeId="0" xr:uid="{CBF4E1D9-9991-4BE1-9EA1-7B80D3F75444}">
      <text>
        <r>
          <rPr>
            <b/>
            <sz val="9"/>
            <color indexed="81"/>
            <rFont val="Tahoma"/>
            <family val="2"/>
          </rPr>
          <t>Martha Navarro Obando:</t>
        </r>
        <r>
          <rPr>
            <sz val="9"/>
            <color indexed="81"/>
            <rFont val="Tahoma"/>
            <family val="2"/>
          </rPr>
          <t xml:space="preserve">
se incluyo lo de comunicación</t>
        </r>
      </text>
    </comment>
    <comment ref="U162" authorId="0" shapeId="0" xr:uid="{120A5D8C-5B7A-4869-8B1C-22EC333C74E7}">
      <text>
        <r>
          <rPr>
            <b/>
            <sz val="9"/>
            <color indexed="81"/>
            <rFont val="Tahoma"/>
            <family val="2"/>
          </rPr>
          <t>Martha Navarro Obando:</t>
        </r>
        <r>
          <rPr>
            <sz val="9"/>
            <color indexed="81"/>
            <rFont val="Tahoma"/>
            <family val="2"/>
          </rPr>
          <t xml:space="preserve">
se traslada a adquisiciones</t>
        </r>
      </text>
    </comment>
    <comment ref="V162" authorId="0" shapeId="0" xr:uid="{2D866E7F-49BF-4DD4-A06F-14067C9B85C5}">
      <text>
        <r>
          <rPr>
            <b/>
            <sz val="9"/>
            <color indexed="81"/>
            <rFont val="Tahoma"/>
            <family val="2"/>
          </rPr>
          <t>Martha Navarro Obando:</t>
        </r>
        <r>
          <rPr>
            <sz val="9"/>
            <color indexed="81"/>
            <rFont val="Tahoma"/>
            <family val="2"/>
          </rPr>
          <t xml:space="preserve">
ajuste archivo y comunicación</t>
        </r>
      </text>
    </comment>
    <comment ref="U164" authorId="0" shapeId="0" xr:uid="{89DFE15D-0F27-440A-85CF-BAF4C77DE731}">
      <text>
        <r>
          <rPr>
            <b/>
            <sz val="9"/>
            <color indexed="81"/>
            <rFont val="Tahoma"/>
            <family val="2"/>
          </rPr>
          <t>Martha Navarro Obando:</t>
        </r>
        <r>
          <rPr>
            <sz val="9"/>
            <color indexed="81"/>
            <rFont val="Tahoma"/>
            <family val="2"/>
          </rPr>
          <t xml:space="preserve">
se traslada a adquisiciones</t>
        </r>
      </text>
    </comment>
    <comment ref="V164" authorId="0" shapeId="0" xr:uid="{2049AA55-0696-4C16-80A3-8019EC4129E4}">
      <text>
        <r>
          <rPr>
            <b/>
            <sz val="9"/>
            <color indexed="81"/>
            <rFont val="Tahoma"/>
            <family val="2"/>
          </rPr>
          <t>Martha Navarro Obando:</t>
        </r>
        <r>
          <rPr>
            <sz val="9"/>
            <color indexed="81"/>
            <rFont val="Tahoma"/>
            <family val="2"/>
          </rPr>
          <t xml:space="preserve">
ajuste archivo y comunicación</t>
        </r>
      </text>
    </comment>
    <comment ref="AO177" authorId="0" shapeId="0" xr:uid="{E8FA56A2-ACDD-4909-80AD-9B021BB67032}">
      <text>
        <r>
          <rPr>
            <b/>
            <sz val="9"/>
            <color indexed="81"/>
            <rFont val="Tahoma"/>
            <family val="2"/>
          </rPr>
          <t>Martha Navarro Obando:</t>
        </r>
        <r>
          <rPr>
            <sz val="9"/>
            <color indexed="81"/>
            <rFont val="Tahoma"/>
            <family val="2"/>
          </rPr>
          <t xml:space="preserve">
ajuste al monto de colocación</t>
        </r>
      </text>
    </comment>
    <comment ref="O184" authorId="0" shapeId="0" xr:uid="{2442219E-0A5D-4F74-B54F-023F8942B3B1}">
      <text>
        <r>
          <rPr>
            <b/>
            <sz val="9"/>
            <color indexed="81"/>
            <rFont val="Tahoma"/>
            <family val="2"/>
          </rPr>
          <t>Martha Navarro Obando:</t>
        </r>
        <r>
          <rPr>
            <sz val="9"/>
            <color indexed="81"/>
            <rFont val="Tahoma"/>
            <family val="2"/>
          </rPr>
          <t xml:space="preserve">
ver si las pantallas pasan por esta subparitda</t>
        </r>
      </text>
    </comment>
    <comment ref="O187" authorId="0" shapeId="0" xr:uid="{67D5C912-AA27-4B0A-94E3-B4093A77A960}">
      <text>
        <r>
          <rPr>
            <b/>
            <sz val="9"/>
            <color indexed="81"/>
            <rFont val="Tahoma"/>
            <family val="2"/>
          </rPr>
          <t>Martha Navarro Obando:</t>
        </r>
        <r>
          <rPr>
            <sz val="9"/>
            <color indexed="81"/>
            <rFont val="Tahoma"/>
            <family val="2"/>
          </rPr>
          <t xml:space="preserve">
17.5 millones costeo sap por 70 millones compra de camaras</t>
        </r>
      </text>
    </comment>
    <comment ref="AA187" authorId="0" shapeId="0" xr:uid="{E9769823-1EA2-4158-B792-CF6C4824EDFA}">
      <text>
        <r>
          <rPr>
            <b/>
            <sz val="9"/>
            <color indexed="81"/>
            <rFont val="Tahoma"/>
            <family val="2"/>
          </rPr>
          <t>Martha Navarro Obando:</t>
        </r>
        <r>
          <rPr>
            <sz val="9"/>
            <color indexed="81"/>
            <rFont val="Tahoma"/>
            <family val="2"/>
          </rPr>
          <t xml:space="preserve">
se reclasifica el monto original y se aumenta el monto
</t>
        </r>
      </text>
    </comment>
    <comment ref="AK187" authorId="0" shapeId="0" xr:uid="{CA61EB09-74F1-4750-925C-261057BEE6D6}">
      <text>
        <r>
          <rPr>
            <b/>
            <sz val="9"/>
            <color indexed="81"/>
            <rFont val="Tahoma"/>
            <family val="2"/>
          </rPr>
          <t>Martha Navarro Obando:</t>
        </r>
        <r>
          <rPr>
            <sz val="9"/>
            <color indexed="81"/>
            <rFont val="Tahoma"/>
            <family val="2"/>
          </rPr>
          <t xml:space="preserve">
17.5 millones costeo de camaras</t>
        </r>
      </text>
    </comment>
    <comment ref="F198" authorId="0" shapeId="0" xr:uid="{D84C722C-B574-49B7-A6E7-6E1553C55FB5}">
      <text>
        <r>
          <rPr>
            <b/>
            <sz val="9"/>
            <color indexed="81"/>
            <rFont val="Tahoma"/>
            <family val="2"/>
          </rPr>
          <t>Martha Navarro Obando:</t>
        </r>
        <r>
          <rPr>
            <sz val="9"/>
            <color indexed="81"/>
            <rFont val="Tahoma"/>
            <family val="2"/>
          </rPr>
          <t xml:space="preserve">
Reclasificación</t>
        </r>
      </text>
    </comment>
    <comment ref="I198" authorId="0" shapeId="0" xr:uid="{EC7DCB6F-517D-4F59-9F6D-850A8761E7ED}">
      <text>
        <r>
          <rPr>
            <b/>
            <sz val="9"/>
            <color indexed="81"/>
            <rFont val="Tahoma"/>
            <family val="2"/>
          </rPr>
          <t>Martha Navarro Obando:</t>
        </r>
        <r>
          <rPr>
            <sz val="9"/>
            <color indexed="81"/>
            <rFont val="Tahoma"/>
            <family val="2"/>
          </rPr>
          <t xml:space="preserve">
se rebajan las licencias de Urbanismo y se reflejan en su presupuesto
</t>
        </r>
      </text>
    </comment>
    <comment ref="Z198" authorId="0" shapeId="0" xr:uid="{AD5A119C-B09A-4DF8-BF62-39578065BDA2}">
      <text>
        <r>
          <rPr>
            <b/>
            <sz val="9"/>
            <color indexed="81"/>
            <rFont val="Tahoma"/>
            <family val="2"/>
          </rPr>
          <t>Martha Navarro Obando:</t>
        </r>
        <r>
          <rPr>
            <sz val="9"/>
            <color indexed="81"/>
            <rFont val="Tahoma"/>
            <family val="2"/>
          </rPr>
          <t xml:space="preserve">
se reclasifica
</t>
        </r>
      </text>
    </comment>
    <comment ref="AA198" authorId="0" shapeId="0" xr:uid="{9BD756A9-5B56-4E1C-98F8-5B9D97934355}">
      <text>
        <r>
          <rPr>
            <b/>
            <sz val="9"/>
            <color indexed="81"/>
            <rFont val="Tahoma"/>
            <family val="2"/>
          </rPr>
          <t>Martha Navarro Obando:</t>
        </r>
        <r>
          <rPr>
            <sz val="9"/>
            <color indexed="81"/>
            <rFont val="Tahoma"/>
            <family val="2"/>
          </rPr>
          <t xml:space="preserve">
adobe acrobat pro</t>
        </r>
      </text>
    </comment>
    <comment ref="AC198" authorId="0" shapeId="0" xr:uid="{DA5B657E-71A8-47BF-B609-7E6894B42F59}">
      <text>
        <r>
          <rPr>
            <b/>
            <sz val="9"/>
            <color indexed="81"/>
            <rFont val="Tahoma"/>
            <family val="2"/>
          </rPr>
          <t>Martha Navarro Obando:</t>
        </r>
        <r>
          <rPr>
            <sz val="9"/>
            <color indexed="81"/>
            <rFont val="Tahoma"/>
            <family val="2"/>
          </rPr>
          <t xml:space="preserve">
reclasificación y se agrega 1 acrobate</t>
        </r>
      </text>
    </comment>
    <comment ref="AD198" authorId="0" shapeId="0" xr:uid="{7D810FE3-32F3-4E10-B7D8-EE11C7B9B5F1}">
      <text>
        <r>
          <rPr>
            <b/>
            <sz val="9"/>
            <color indexed="81"/>
            <rFont val="Tahoma"/>
            <family val="2"/>
          </rPr>
          <t>Martha Navarro Obando:</t>
        </r>
        <r>
          <rPr>
            <sz val="9"/>
            <color indexed="81"/>
            <rFont val="Tahoma"/>
            <family val="2"/>
          </rPr>
          <t xml:space="preserve">
reclasificación</t>
        </r>
      </text>
    </comment>
  </commentList>
</comments>
</file>

<file path=xl/sharedStrings.xml><?xml version="1.0" encoding="utf-8"?>
<sst xmlns="http://schemas.openxmlformats.org/spreadsheetml/2006/main" count="788" uniqueCount="663">
  <si>
    <t>Gerencia General</t>
  </si>
  <si>
    <t>Jefatura de Prog, Hab,</t>
  </si>
  <si>
    <t>Proyectos habitacionales</t>
  </si>
  <si>
    <t>Mecanismos de Financiamientos</t>
  </si>
  <si>
    <t>Fondo de Inversiones</t>
  </si>
  <si>
    <t>Jefatura Gestión Programas</t>
  </si>
  <si>
    <t>Adm, Canales de Servicios</t>
  </si>
  <si>
    <t>Gestión de Servicios</t>
  </si>
  <si>
    <t>Total</t>
  </si>
  <si>
    <t>REMUNERACIONES</t>
  </si>
  <si>
    <t>0.01</t>
  </si>
  <si>
    <t>REMUNERACIONES BASICAS</t>
  </si>
  <si>
    <t>'00101'</t>
  </si>
  <si>
    <t>Sueldos para cargos fijos</t>
  </si>
  <si>
    <t>'00105'</t>
  </si>
  <si>
    <t>Suplencias</t>
  </si>
  <si>
    <t>0.02</t>
  </si>
  <si>
    <t>REMUNERACIONES EVENTUALES</t>
  </si>
  <si>
    <t>'00201'</t>
  </si>
  <si>
    <t>Tiempo extraordinario</t>
  </si>
  <si>
    <t>'00202'</t>
  </si>
  <si>
    <t>Recargo de funciones</t>
  </si>
  <si>
    <t>'00205'</t>
  </si>
  <si>
    <t>Dietas</t>
  </si>
  <si>
    <t>0.03</t>
  </si>
  <si>
    <t>INCENTIVOS SALARIALES</t>
  </si>
  <si>
    <t>0.03.01</t>
  </si>
  <si>
    <t xml:space="preserve">Retribución por años servidos  </t>
  </si>
  <si>
    <t>'0030101'</t>
  </si>
  <si>
    <t>Antigüedad</t>
  </si>
  <si>
    <t>'0030102'</t>
  </si>
  <si>
    <t>Méritos</t>
  </si>
  <si>
    <t>0.03.02</t>
  </si>
  <si>
    <t xml:space="preserve">Restricción al ejercicio liberal de la profesión  </t>
  </si>
  <si>
    <t>'0030201'</t>
  </si>
  <si>
    <t>Dedicación Exclusiva</t>
  </si>
  <si>
    <t>'0030202'</t>
  </si>
  <si>
    <t>Prohibición</t>
  </si>
  <si>
    <t>'00303'</t>
  </si>
  <si>
    <t>Decimotercer mes</t>
  </si>
  <si>
    <t>'00304'</t>
  </si>
  <si>
    <t>Salario escolar</t>
  </si>
  <si>
    <t>0.03.99</t>
  </si>
  <si>
    <t xml:space="preserve">Otros incentivos salariales </t>
  </si>
  <si>
    <t>'0039902'</t>
  </si>
  <si>
    <t>Carrera Profesional</t>
  </si>
  <si>
    <t>0.04</t>
  </si>
  <si>
    <t>Contribuciones Patronales al Desarrollo y la Seguridad Social</t>
  </si>
  <si>
    <t>'00401'</t>
  </si>
  <si>
    <t>Contribución Patronal al Seguro de Salud de la CCSS</t>
  </si>
  <si>
    <t>'00402'</t>
  </si>
  <si>
    <t xml:space="preserve">Contribución Patronal al IMAS </t>
  </si>
  <si>
    <t>'00403'</t>
  </si>
  <si>
    <t xml:space="preserve">Contribución Patronal al INA </t>
  </si>
  <si>
    <t>'00404'</t>
  </si>
  <si>
    <t>Contribución Patronal al FODESAF</t>
  </si>
  <si>
    <t>'00405'</t>
  </si>
  <si>
    <t xml:space="preserve">Contribución Patronal al Banco Popular y de Desarrollo   </t>
  </si>
  <si>
    <t>0.05</t>
  </si>
  <si>
    <t>Contrib. Patronales a Fondos de Pens. Y Otros Fondos de Capitalización</t>
  </si>
  <si>
    <t>'00501'</t>
  </si>
  <si>
    <t>Contribución Patronal al Seguro de Pensiones  de la CCSS</t>
  </si>
  <si>
    <t>'00502'</t>
  </si>
  <si>
    <t xml:space="preserve">Aporte Patronal al Régimen Obligatorio de Pensiones Complementarias </t>
  </si>
  <si>
    <t>'00503'</t>
  </si>
  <si>
    <t xml:space="preserve">Aporte Patronal al Fondo de Capitalización Laboral </t>
  </si>
  <si>
    <t>'00505'</t>
  </si>
  <si>
    <t>Contribución Patronal a fondos administrados por entes privados</t>
  </si>
  <si>
    <t>SERVICIOS</t>
  </si>
  <si>
    <t>1.01</t>
  </si>
  <si>
    <t>ALQUILERES</t>
  </si>
  <si>
    <t>'10101'</t>
  </si>
  <si>
    <t>Alquileres de edificios, locales y terrenos</t>
  </si>
  <si>
    <t>'10102'</t>
  </si>
  <si>
    <t>Alquileres de maquinaria, equipo y mobiliario</t>
  </si>
  <si>
    <t>'10103'</t>
  </si>
  <si>
    <t>Alquileres de equipo de cómputo</t>
  </si>
  <si>
    <t>'10104'</t>
  </si>
  <si>
    <t>Alquileres de Equipo y Derechos para Telecomunicaciones</t>
  </si>
  <si>
    <t>1.02</t>
  </si>
  <si>
    <t>SERVICIOS BÁSICOS</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</si>
  <si>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</si>
  <si>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</si>
  <si>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</si>
  <si>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</si>
  <si>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</si>
  <si>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</si>
  <si>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</si>
  <si>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</si>
  <si>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</si>
  <si>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</si>
  <si>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t>
  </si>
  <si>
    <t>SERVICIOS COMERCIALES Y FINANCIEROS</t>
  </si>
  <si>
    <t>'10301'</t>
  </si>
  <si>
    <t xml:space="preserve">Información                            </t>
  </si>
  <si>
    <t>'10302'</t>
  </si>
  <si>
    <t xml:space="preserve">Publicidad y propaganda         </t>
  </si>
  <si>
    <t>'10303'</t>
  </si>
  <si>
    <t>Impresiones, encuadernación y otros</t>
  </si>
  <si>
    <t>'10304'</t>
  </si>
  <si>
    <t>Transporte de bienes</t>
  </si>
  <si>
    <t>'1030601'</t>
  </si>
  <si>
    <t xml:space="preserve">Comisiones y gastos por servicios financieros y comerciales </t>
  </si>
  <si>
    <t>'1030602'</t>
  </si>
  <si>
    <t>Comisionistas del Sistema de Ahorro y Préstamo</t>
  </si>
  <si>
    <t>'10307'</t>
  </si>
  <si>
    <t>SERVICIOS DE TECNOLOGÍAS DE INFORMACIÓN</t>
  </si>
  <si>
    <t>'1030701'</t>
  </si>
  <si>
    <t>Servicios de tecnologías de información-General</t>
  </si>
  <si>
    <t>'1030702'</t>
  </si>
  <si>
    <t>Servicios de tecnologías de información-anual</t>
  </si>
  <si>
    <t>'1030703'</t>
  </si>
  <si>
    <t>Servicios de tecnologías de información-Mensual</t>
  </si>
  <si>
    <t>1.04</t>
  </si>
  <si>
    <t xml:space="preserve">SERVICIOS DE GESTIÓN Y APOYO  </t>
  </si>
  <si>
    <t>'10401'</t>
  </si>
  <si>
    <t>Servicios de Ciencias de la Salud</t>
  </si>
  <si>
    <t>1.04.02</t>
  </si>
  <si>
    <t>SERVICIOS JURÍDICOS</t>
  </si>
  <si>
    <t>'1040201'</t>
  </si>
  <si>
    <t>Servicios Jurídicos Generales</t>
  </si>
  <si>
    <t>'1040202'</t>
  </si>
  <si>
    <t>Servicios Jurídicos Gastos de Form. Aportes BFV</t>
  </si>
  <si>
    <t>1.04.02.04</t>
  </si>
  <si>
    <t>Servicios Jurídicos Gastos de Form. Art.59</t>
  </si>
  <si>
    <t>'1040205'</t>
  </si>
  <si>
    <t>Servicios Jurídicos-Cobro Judicial</t>
  </si>
  <si>
    <t>'1040208'</t>
  </si>
  <si>
    <t>Servicios Jurídicos-titulación</t>
  </si>
  <si>
    <t>1.04.03</t>
  </si>
  <si>
    <t>SERVICIOS DE INGENIERÍA Y ARQUITECTURA</t>
  </si>
  <si>
    <t>'1040301'</t>
  </si>
  <si>
    <t>Servicios de Ingeniería y Arq-General</t>
  </si>
  <si>
    <t>'1040302'</t>
  </si>
  <si>
    <t>Servicios de Ingeniería y Arq.- Gastos de Form. Aportes BFV</t>
  </si>
  <si>
    <t>1040304'</t>
  </si>
  <si>
    <t>Servicios de Ingeniería y Arq.- Gastos de Form Proyectos</t>
  </si>
  <si>
    <t>'1040308'</t>
  </si>
  <si>
    <t>Servicios de Ingeniería y Arq. Plan Reg.Vázques de Coronado</t>
  </si>
  <si>
    <t>'1040310'</t>
  </si>
  <si>
    <t xml:space="preserve">Servicios de Ingeniería y Arq. PRDU Chorotega y Huetar </t>
  </si>
  <si>
    <t>1.04.03.11</t>
  </si>
  <si>
    <t>Servicios de Ingeniería y Arq. Etapas Previas</t>
  </si>
  <si>
    <t>'1040312'</t>
  </si>
  <si>
    <t>Servicios de Ingeniería y Arq-Titulación</t>
  </si>
  <si>
    <t>'1040314'</t>
  </si>
  <si>
    <t>Servicios de Ingeniería y Arq-Brunca</t>
  </si>
  <si>
    <t>'1040316'</t>
  </si>
  <si>
    <t>Servicios de Ingeniería y Arq. PDU GAM</t>
  </si>
  <si>
    <t>'1040317'</t>
  </si>
  <si>
    <t xml:space="preserve">Servicios de Ingeniería y Arq. PRDU Huetar-Caribe </t>
  </si>
  <si>
    <t>1.04.04</t>
  </si>
  <si>
    <t>SERVICIOS EN CIENCIAS ECONOMICAS Y SOCIALES</t>
  </si>
  <si>
    <t>'1040401'</t>
  </si>
  <si>
    <t>Servicios en Ciencias Económ. y Sociales-General</t>
  </si>
  <si>
    <t>'10405'</t>
  </si>
  <si>
    <t>Servicios Informáticos</t>
  </si>
  <si>
    <t>'10406'</t>
  </si>
  <si>
    <t>Servicios Generales</t>
  </si>
  <si>
    <t>'10499'</t>
  </si>
  <si>
    <t>Otros Servicios de Gestión y Apoyo</t>
  </si>
  <si>
    <t>1.05</t>
  </si>
  <si>
    <t>GASTOS DE VIAJE Y DE TRANSPORTE</t>
  </si>
  <si>
    <t>'10501'</t>
  </si>
  <si>
    <t xml:space="preserve">Transporte dentro del país </t>
  </si>
  <si>
    <t>'10502'</t>
  </si>
  <si>
    <t xml:space="preserve">Viáticos dentro del país </t>
  </si>
  <si>
    <t>1.06</t>
  </si>
  <si>
    <t>SEGUROS, REASEGUROS Y OTRAS OBLIGACIONES</t>
  </si>
  <si>
    <t>'1060101'</t>
  </si>
  <si>
    <t>Seguros-General</t>
  </si>
  <si>
    <t>'1060102'</t>
  </si>
  <si>
    <t>Seguros Créditos</t>
  </si>
  <si>
    <t>1.06.01.04</t>
  </si>
  <si>
    <t>Seguros-Proyectos</t>
  </si>
  <si>
    <t>'10602'</t>
  </si>
  <si>
    <t>Reaseguros</t>
  </si>
  <si>
    <t>'10603'</t>
  </si>
  <si>
    <t>Obligaciones por Contratos de Seguros</t>
  </si>
  <si>
    <t>1.07</t>
  </si>
  <si>
    <t>CAPACITACION Y PROTOCOLO</t>
  </si>
  <si>
    <t>'10701'</t>
  </si>
  <si>
    <t>Actividades de capacitación</t>
  </si>
  <si>
    <t>'10702'</t>
  </si>
  <si>
    <t xml:space="preserve">Actividades protocolarias y sociales </t>
  </si>
  <si>
    <t>1.08</t>
  </si>
  <si>
    <t>MANTENIMIENTO Y REPARACIÓN</t>
  </si>
  <si>
    <t>'10801'</t>
  </si>
  <si>
    <t>Mantenimiento de Edificios, Locales y Terrenos</t>
  </si>
  <si>
    <t>'10804'</t>
  </si>
  <si>
    <t>Mantenimiento y Repar. De Maq. Y Equipo de Producción</t>
  </si>
  <si>
    <t>'10805'</t>
  </si>
  <si>
    <t>Mantenimiento y reparación de equipo de transporte</t>
  </si>
  <si>
    <t>'10806'</t>
  </si>
  <si>
    <t>Mantenimiento y reparación de equipo de comunicación</t>
  </si>
  <si>
    <t>'10807'</t>
  </si>
  <si>
    <t>Mantenimiento y reparación de equipo y mobiliario de oficina</t>
  </si>
  <si>
    <t>'10808'</t>
  </si>
  <si>
    <t>Mantenimiento y reparación de equipo de cómputo y  sistemas de información</t>
  </si>
  <si>
    <t>'10899'</t>
  </si>
  <si>
    <t>Mantenimiento y reparación de otros equipos</t>
  </si>
  <si>
    <t>1.09</t>
  </si>
  <si>
    <t>IMPUESTOS</t>
  </si>
  <si>
    <t>'10999'</t>
  </si>
  <si>
    <t>Otros impuestos</t>
  </si>
  <si>
    <t>1.99</t>
  </si>
  <si>
    <t>SERVICIOS DIVERSOS</t>
  </si>
  <si>
    <t>'19902'</t>
  </si>
  <si>
    <t>Intereses moratorios y multas</t>
  </si>
  <si>
    <t>'19905'</t>
  </si>
  <si>
    <t>Deducibles</t>
  </si>
  <si>
    <t>'19999'</t>
  </si>
  <si>
    <t>Otros servicios no especificados</t>
  </si>
  <si>
    <t>MATERIALES Y SUMINISTROS</t>
  </si>
  <si>
    <t>2.01</t>
  </si>
  <si>
    <t>PRODUCTOS QUIMICOS Y CONEXOS</t>
  </si>
  <si>
    <t>'20101'</t>
  </si>
  <si>
    <t xml:space="preserve">Combustibles y lubricantes </t>
  </si>
  <si>
    <t>'20102'</t>
  </si>
  <si>
    <t>Productos farmacéuticos y medicinales</t>
  </si>
  <si>
    <t>'20103'</t>
  </si>
  <si>
    <t>Productos Veterinarios</t>
  </si>
  <si>
    <t>'20104'</t>
  </si>
  <si>
    <t xml:space="preserve">Tintas, pinturas y diluyentes </t>
  </si>
  <si>
    <t>'20199'</t>
  </si>
  <si>
    <t>Otros productos químicos</t>
  </si>
  <si>
    <t>2.02</t>
  </si>
  <si>
    <t>ALIMENTOS Y PRODUCTOS AGROPECUARIOS</t>
  </si>
  <si>
    <t>'20203'</t>
  </si>
  <si>
    <t xml:space="preserve">Alimentos y bebidas </t>
  </si>
  <si>
    <t>'20204'</t>
  </si>
  <si>
    <t>Alimentos para animales</t>
  </si>
  <si>
    <t>2.03</t>
  </si>
  <si>
    <t>MATERIALES Y PRODUCTOS DE USO EN LA CONSTRUCCIÓN Y MANTENIMIENTO</t>
  </si>
  <si>
    <t>'20301'</t>
  </si>
  <si>
    <t xml:space="preserve">Materiales y productos metálicos </t>
  </si>
  <si>
    <t>'20302'</t>
  </si>
  <si>
    <t>Materiales y productos minerales y asfálticos</t>
  </si>
  <si>
    <t>'20303'</t>
  </si>
  <si>
    <t>Madera y sus derivados</t>
  </si>
  <si>
    <t>'20304'</t>
  </si>
  <si>
    <t>Materiales y productos eléctricos, telefónicos y de cómputo</t>
  </si>
  <si>
    <t>'20305'</t>
  </si>
  <si>
    <t>Materiales y productos de vidrio</t>
  </si>
  <si>
    <t>'20306'</t>
  </si>
  <si>
    <t>Materiales y productos de plástico</t>
  </si>
  <si>
    <t>'20399'</t>
  </si>
  <si>
    <t>Otros materiales y productos de uso en la construcción</t>
  </si>
  <si>
    <t>2.04</t>
  </si>
  <si>
    <t>HERRAMIENTAS, REPUESTOS Y ACCESORIOS</t>
  </si>
  <si>
    <t>'20401'</t>
  </si>
  <si>
    <t>Herramientas e instrumentos</t>
  </si>
  <si>
    <t>'20402'</t>
  </si>
  <si>
    <t>Repuestos y accesorios</t>
  </si>
  <si>
    <t>2.99</t>
  </si>
  <si>
    <t>UTILES, MATERIALES Y SUMINISTROS DIVERSOS</t>
  </si>
  <si>
    <t>'29901'</t>
  </si>
  <si>
    <t>Útiles y materiales de oficina y cómputo</t>
  </si>
  <si>
    <t>'29902'</t>
  </si>
  <si>
    <t>Útiles y materiales médicos,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</si>
  <si>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</si>
  <si>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</si>
  <si>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</si>
  <si>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</si>
  <si>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</si>
  <si>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</si>
  <si>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</si>
  <si>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</si>
  <si>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</si>
  <si>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Materiales de Cocina y de Comedor</t>
  </si>
  <si>
    <t>'29999'</t>
  </si>
  <si>
    <t>Otros útiles, materiales y suministros</t>
  </si>
  <si>
    <t>INTERESES Y COMISIONES</t>
  </si>
  <si>
    <t>3.02</t>
  </si>
  <si>
    <t xml:space="preserve">INTERESES SOBRE PRÉSTAMOS </t>
  </si>
  <si>
    <t>'30207'</t>
  </si>
  <si>
    <t>Intereses sobre préstamos del Sector Privado</t>
  </si>
  <si>
    <t>ACTIVOS FINANCIEROS</t>
  </si>
  <si>
    <t>'4010701'</t>
  </si>
  <si>
    <t>Préstamos al Sector Privado del Sistema de Ahorro y Préstamo</t>
  </si>
  <si>
    <t>'4010706'</t>
  </si>
  <si>
    <t>CredINVU</t>
  </si>
  <si>
    <t xml:space="preserve">BIENES DURADEROS </t>
  </si>
  <si>
    <t>5.01</t>
  </si>
  <si>
    <t>MAQUINARIA, EQUIPO Y MOBILIARIO</t>
  </si>
  <si>
    <t>'50101'</t>
  </si>
  <si>
    <t>Maquinaria y equipo para la producción</t>
  </si>
  <si>
    <t>'50102'</t>
  </si>
  <si>
    <t>Equipo de Transporte</t>
  </si>
  <si>
    <t>'50103'</t>
  </si>
  <si>
    <t>Equipo de comunicación</t>
  </si>
  <si>
    <t>'50104'</t>
  </si>
  <si>
    <t>Equipo y mobiliario de oficina</t>
  </si>
  <si>
    <t>'50105'</t>
  </si>
  <si>
    <t>Equipo y programas de  cómputo</t>
  </si>
  <si>
    <t>'50199'</t>
  </si>
  <si>
    <t>Maquinaria y equipo diverso</t>
  </si>
  <si>
    <t>5.02</t>
  </si>
  <si>
    <t>CONSTRUCCIONES, ADICIONES Y MEJORAS</t>
  </si>
  <si>
    <t>'50201'</t>
  </si>
  <si>
    <t>Edificios</t>
  </si>
  <si>
    <t>5.02.06</t>
  </si>
  <si>
    <t>Obras urbanísticas</t>
  </si>
  <si>
    <t>5.02.06.32</t>
  </si>
  <si>
    <t xml:space="preserve"> Hojancha</t>
  </si>
  <si>
    <t>5.02.06.59</t>
  </si>
  <si>
    <t>Bono Colectivo Acosta Activa</t>
  </si>
  <si>
    <t>5.99</t>
  </si>
  <si>
    <t>BIENES DURADEROS DIVERSOS</t>
  </si>
  <si>
    <t>'5990301'</t>
  </si>
  <si>
    <t>Bienes intangibles-General</t>
  </si>
  <si>
    <t>'5990302'</t>
  </si>
  <si>
    <t>Bienes Intangibles-Licencias Pago Anual</t>
  </si>
  <si>
    <t>'5990303'</t>
  </si>
  <si>
    <t>Bienes Intangibles-Licencias Pago Mensual</t>
  </si>
  <si>
    <t>'5990304'</t>
  </si>
  <si>
    <t>Bienes Intangibles-Mejoras-Mantenimientos de Sistemas</t>
  </si>
  <si>
    <t>TRANSFERENCIAS CORRIENTES</t>
  </si>
  <si>
    <t>6.01</t>
  </si>
  <si>
    <t>TRANSFERENCIAS CORRIENTES AL SECTOR PÚBLICO</t>
  </si>
  <si>
    <t>'60102'</t>
  </si>
  <si>
    <t xml:space="preserve">Transferencias corrientes a Órganos Desconcentrados </t>
  </si>
  <si>
    <t>6.02</t>
  </si>
  <si>
    <t>TRANSFERENCIAS CORRIENTES A PERSONAS</t>
  </si>
  <si>
    <t>'60201'</t>
  </si>
  <si>
    <t xml:space="preserve">Becas a funcionarios </t>
  </si>
  <si>
    <t>'60203'</t>
  </si>
  <si>
    <t>Ayudas a funcionarios (fondo enfermedad)</t>
  </si>
  <si>
    <t>6.03</t>
  </si>
  <si>
    <t>PRESTACIONES</t>
  </si>
  <si>
    <t>6.03.01</t>
  </si>
  <si>
    <t xml:space="preserve">Prestaciones legales </t>
  </si>
  <si>
    <t>'60399'</t>
  </si>
  <si>
    <t>Otras prestaciones (Incapacidades)</t>
  </si>
  <si>
    <t>6.06</t>
  </si>
  <si>
    <t xml:space="preserve">OTRAS TRANSFERENCIAS CORRIENTES AL SECTOR PRIVADO </t>
  </si>
  <si>
    <t>'60601'</t>
  </si>
  <si>
    <t>Indemnizaciones</t>
  </si>
  <si>
    <t>'60602'</t>
  </si>
  <si>
    <t>Reintegros o devoluciones</t>
  </si>
  <si>
    <t>6.07</t>
  </si>
  <si>
    <t>TRANSFERENCIAS CORRIENTES AL SECTOR EXTERNO</t>
  </si>
  <si>
    <t>'60701'</t>
  </si>
  <si>
    <t xml:space="preserve">Transferencias corrientes a organismos internacionales </t>
  </si>
  <si>
    <t>TRANSFERENCIAS DE CAPITAL</t>
  </si>
  <si>
    <t>7.01</t>
  </si>
  <si>
    <t>TRANSFERENCIAS DE CAPITAL AL SECTOR PUBLICO</t>
  </si>
  <si>
    <t>'70106'</t>
  </si>
  <si>
    <t>Transferencias de Capital a Instituciones Públicas Financieras</t>
  </si>
  <si>
    <t>7.02</t>
  </si>
  <si>
    <t>TRANSFERENCIAS DE CAPITAL A PERSONAS</t>
  </si>
  <si>
    <t>'7020101'</t>
  </si>
  <si>
    <t>Transferencias de capital a personas-Bonos Ordinarios</t>
  </si>
  <si>
    <t>'7020103'</t>
  </si>
  <si>
    <t>Casos Individuales Art.59</t>
  </si>
  <si>
    <t>'7020104'</t>
  </si>
  <si>
    <t>Transferencias de capital a personas-Aporte Beneficiario Bono</t>
  </si>
  <si>
    <t>7.02.02.01</t>
  </si>
  <si>
    <t>Proyecto Art. 59 Individual -Premio Nobel</t>
  </si>
  <si>
    <t>7.02.02.02</t>
  </si>
  <si>
    <t>Proyecto Art. 59 Individual-Juan Rafael Mora</t>
  </si>
  <si>
    <t>AMORTIZACION</t>
  </si>
  <si>
    <t>8.02</t>
  </si>
  <si>
    <t>AMORTIZACIÓN DE PRÉSTAMOS AL SECTOR PRIVADO</t>
  </si>
  <si>
    <t>'8020701'</t>
  </si>
  <si>
    <t>Amortización-Renuncias</t>
  </si>
  <si>
    <t>'8020702'</t>
  </si>
  <si>
    <t>Amortización Aplicación Créditos</t>
  </si>
  <si>
    <t>CUENTAS ESPECIALES</t>
  </si>
  <si>
    <t>9.02.02</t>
  </si>
  <si>
    <t>Sumas con destino específico sin asignación presupuestaria</t>
  </si>
  <si>
    <t>mecanismos</t>
  </si>
  <si>
    <t>bonos</t>
  </si>
  <si>
    <t>*</t>
  </si>
  <si>
    <t>%</t>
  </si>
  <si>
    <t xml:space="preserve">TOTAL </t>
  </si>
  <si>
    <t>1.0.0.0.00.00.0.0.000</t>
  </si>
  <si>
    <t>Ingresos Corrientes</t>
  </si>
  <si>
    <t>Venta de Servicios Financieros</t>
  </si>
  <si>
    <t xml:space="preserve">Venta de otros Servicios </t>
  </si>
  <si>
    <t xml:space="preserve">Intereses sobre Cuentas Corrientes </t>
  </si>
  <si>
    <t>Ingresos no Especificados (aporte beneficiarios de bonos)</t>
  </si>
  <si>
    <t>Ingresos no Especificados  (pago de seguros créditos)</t>
  </si>
  <si>
    <t>Transferencias Corrientes de Instituciones Públicas Financieras (comisión BANHVI)</t>
  </si>
  <si>
    <t>2.0.0.0.00.00.0.0.000</t>
  </si>
  <si>
    <t>Ingresos de Capital</t>
  </si>
  <si>
    <t xml:space="preserve">2.1.1.1.00.00.0.0.000 </t>
  </si>
  <si>
    <t xml:space="preserve">Venta de terrenos  </t>
  </si>
  <si>
    <t>2.3.2.1.00.00.0.0.000</t>
  </si>
  <si>
    <t>Recuperación de Préstamos del Sector Privado</t>
  </si>
  <si>
    <t>Transferencias de Capital del Gobierno Central</t>
  </si>
  <si>
    <t>2.4.1.6.00.00.0.0.000</t>
  </si>
  <si>
    <t>Financiamiento</t>
  </si>
  <si>
    <t>Recursos de Vigencias Anteriores:</t>
  </si>
  <si>
    <t>Superávit Libre</t>
  </si>
  <si>
    <t>Superávit Específico:</t>
  </si>
  <si>
    <t>Superávit Específico Ley 10103 (GAM)</t>
  </si>
  <si>
    <t>Superávit Específico Ley 10331 (PRDU-Huetar Norte y Chorotega)</t>
  </si>
  <si>
    <t>INDICADOR</t>
  </si>
  <si>
    <t>META</t>
  </si>
  <si>
    <t>DESCRIPCIÓN</t>
  </si>
  <si>
    <t>Municipalidades</t>
  </si>
  <si>
    <t>Porcentaje</t>
  </si>
  <si>
    <t xml:space="preserve">Porcentaje </t>
  </si>
  <si>
    <t>Número</t>
  </si>
  <si>
    <t>1,5 meses</t>
  </si>
  <si>
    <t>Fuente: Planificación Institucional</t>
  </si>
  <si>
    <r>
      <t xml:space="preserve">Alquiler de edificios e instalaciones  </t>
    </r>
    <r>
      <rPr>
        <b/>
        <sz val="10"/>
        <color indexed="10"/>
        <rFont val="Arial"/>
        <family val="2"/>
      </rPr>
      <t xml:space="preserve"> </t>
    </r>
  </si>
  <si>
    <t>MATRIZ DE INDICADORES DEL PLAN OPERATIVO INSTITUCIONAL (POI) 2025</t>
  </si>
  <si>
    <t>MISION: “Facilitamos a las familias el acceso a vivienda digna y somos los líderes nacionales en la gestión integral del territorio, en procura de un mayor bienestar social, ambiental y económico para Costa Rica”
VISIÓN: “Seremos reconocidos como la institución referente en vivienda y urbanismo para Costa Rica, procurando la mejora en la calidad de vida con innovación constante, un marco jurídico pertinente y los recursos idóneos”</t>
  </si>
  <si>
    <t>POLÍTICAS</t>
  </si>
  <si>
    <t>OBJETIVO 
PRODUCTO O SERVICIO</t>
  </si>
  <si>
    <t>OBJETIVO ESPECÍFICO</t>
  </si>
  <si>
    <t>PROGRAMACIÓN
CRONOGRAMA POR TRIMESTRE</t>
  </si>
  <si>
    <t>ACTIVIDADES</t>
  </si>
  <si>
    <t>RESPONSABLES</t>
  </si>
  <si>
    <t>OBSERVACIONES</t>
  </si>
  <si>
    <t>I</t>
  </si>
  <si>
    <t>II</t>
  </si>
  <si>
    <t>III</t>
  </si>
  <si>
    <t>IV</t>
  </si>
  <si>
    <t>EJE ESTRATÉGICO: GESTIÓN INSTITUCIONAL</t>
  </si>
  <si>
    <t>1, 2, 3, 6, 7, 8, 9, 10 y 11.</t>
  </si>
  <si>
    <t xml:space="preserve">
Servicio de apoyo a la producción de bienes y servicios institucionales.
</t>
  </si>
  <si>
    <t xml:space="preserve">
Gestionar las acciones que contribuyan a la mejora en el control, eficiencia y eficacia institucional</t>
  </si>
  <si>
    <t>1. Porcentaje de proyectos ejecutados para mitigar la materialización de riesgos, del total programados.</t>
  </si>
  <si>
    <t xml:space="preserve">
Ejecutar en un 100% los proyectos.
</t>
  </si>
  <si>
    <t xml:space="preserve">1. Elaborar el cartel de contratación.
2. Realizar la contratación
3. Fiscalizar los productos y/o servicios.
4. Recibir los productos y/o servicios.
</t>
  </si>
  <si>
    <t>1. Cambio del Sistema de Cámaras de Vigilancia
2. Cambio de Techos del edificio INVU
3. Estudio de análisis de vulnerabilidades de la plataforma tecnológica.
4. Implementación Marco Normativo MICITT, PETI
5. Herramienta para atender vulnerabilidades en la plataforma tecnológica.
6. Automatización de procesos mediante Inteligencia Artificial, Bots, Simulación.
7. Sistemas en línea SAAS.
8. Sistemas para control interno (Planificación, Evaluación,  SEVRI) en SAAS.
9. Contratación de procesos y procedimientos.
10. Contratación de Plan Estratégico Institucional.</t>
  </si>
  <si>
    <t>2. Porcentaje de satisfacción de los clientes con la atención brindada.</t>
  </si>
  <si>
    <t>Alcanzar como mínimo que un 85% de los clientes estén satisfechos con la atención brindada.</t>
  </si>
  <si>
    <t>1. Elaborar la encuesta.
2. Aplicar la encuesta.
3. Tabular y analizar la información.
4. Elaborar informe y propuesta de mejora.</t>
  </si>
  <si>
    <t>Gerencia General
Unidad de Comunicación,  Promoción y Prensa</t>
  </si>
  <si>
    <t>3. Porcentaje de satisfacción de los clientes con los productos ofrecidos.</t>
  </si>
  <si>
    <t>Alcanzar como mínimo que un 85% de los clientes estén satisfechos con los productos ofrecidos.</t>
  </si>
  <si>
    <t>4. Porcentaje de disminución de la cartera morosa a diciembre 2025, con respecto a diciembre 2024.</t>
  </si>
  <si>
    <t xml:space="preserve">
Disminuir en 3 puntos porcentuales la cartera morosa.</t>
  </si>
  <si>
    <t xml:space="preserve">1. Asignar la cartera de crédito por rangos.    
2. Analizar las operaciones morosas.
3. Gestionar es de recuperación. </t>
  </si>
  <si>
    <t>Dirección Administrativa Financiera</t>
  </si>
  <si>
    <t>5. Número de proyectos gestionados con participación ciudadana.</t>
  </si>
  <si>
    <t xml:space="preserve">Gestionar 3 proyectos con participación ciudadana.  </t>
  </si>
  <si>
    <t>Gerencia General
Unidad de Comunicación y Promoción
Salud Ocupacional</t>
  </si>
  <si>
    <t xml:space="preserve">Los tres proyectos a gestionar son los siguientes:
1) A un Click.
2) Plan de Gestión Ambiental. 
3) Río María Aguilar.
 </t>
  </si>
  <si>
    <t>6. Porcentaje de personal institucional capacitado según temática abordada y desagregada por sexo, región y cantón.</t>
  </si>
  <si>
    <t>Capacitar a un 40% del personal institucional.</t>
  </si>
  <si>
    <t>1. Obtener información.
2. Analizar la información.
3. Diseñar e implementar las capacitaciones.</t>
  </si>
  <si>
    <t>Comisión Institucional de Género</t>
  </si>
  <si>
    <t>7. Número de personas de población meta externa, capacitadas según temática abordada y desagregada por sexo, por grupos etario, etnia, región y cantón.</t>
  </si>
  <si>
    <t>Capacitar a 25 personas externas.</t>
  </si>
  <si>
    <t>8. Porcentaje de mantenimiento del costo operativo institucional con respecto al Presupuesto total.</t>
  </si>
  <si>
    <t xml:space="preserve">Mantener el costo operativo Institucional igual o menor al 25%.  </t>
  </si>
  <si>
    <t>1. Obtener la información sobre las variables a medir.
2. Obtener el porcentaje del costo operativo institucional en relación con el Presupuesto total.</t>
  </si>
  <si>
    <t>Departamento Administrativo Financiero.
Página Web del INVU.</t>
  </si>
  <si>
    <t>EJE ESTRATÉGICO: ORDENAMIENTO TERRITORIAL Y PLANIFICACION URBANA</t>
  </si>
  <si>
    <t>1, 4, 7, 8, 9, 10 y 11.</t>
  </si>
  <si>
    <t>Formulación, revisión y aprobación de planes regionales y planes reguladores (urbanos y costeros).</t>
  </si>
  <si>
    <t xml:space="preserve">Elaborar el Plan Regional de la Gran Área Metropolitana (GAM). </t>
  </si>
  <si>
    <t xml:space="preserve">9. Porcentaje de avance en las actividades para elaborar el Plan Regional de la GAM (variable ambiental). </t>
  </si>
  <si>
    <t>Elaborar el 55% del Plan GAM.</t>
  </si>
  <si>
    <t xml:space="preserve">    
1,Recibe, revisa y realiza observaciones (si procede) en el Informe final.
2. Entregar el Informe final del Plan de Reajuste e Incentivos (PRAI) del Plan GAM a la Secretaría Técnica Nacional Ambiental (SETENA).
3. Ajustes del documento con observaciones de SETENA, (si procede)
4. De obtenerse la Viabilidad Ambiental se da cierre al contrato</t>
  </si>
  <si>
    <t xml:space="preserve">Departamento de Urbanismo, Unidad de Criterios Técnicos y Operativos de Ordenamiento Territorial. </t>
  </si>
  <si>
    <t xml:space="preserve">El avance del plan (plurianual) por año es:
Año 2023: 25%
Año 2024: 20%
Año 2025: 55% 
La Fuente de Recursos es el Presupuesto de la República por ¢425.000.000,00, para Contratación de Servicios Profesionales.  
</t>
  </si>
  <si>
    <t>Elaborar los Planes Regionales de Chorotega y Huetar Norte.</t>
  </si>
  <si>
    <t>10. Porcentaje de avance en las actividades para elaborar los Planes Regionales de Chorotega y Huetar Norte (variable ambiental).</t>
  </si>
  <si>
    <t>Elaborar el 70% de los Planes Regionales de Chorotega y Huetar Norte (variable ambiental).</t>
  </si>
  <si>
    <t>1. Recibe, revisa y realiza las observaciones (si procede) en el primer Informe.
2. Recibe, revisa y realiza las observaciones (si procede) en el segundo Informe.
3. Entregar el Informe final de la Evaluación Ambiental a la Secretaría Técnica Nacional Ambiental (SETENA).
4. Ajustes del documento con observaciones de SETENA, (si procede)
5. De obtenerse la Viabilidad Ambiental se da cierre al contrato</t>
  </si>
  <si>
    <t xml:space="preserve">El avance de los planes (plurianual) por año es:
Año 2024: 10%
Año 2025: 70%
Año 2026: 20%
</t>
  </si>
  <si>
    <t>Elaborar el Plan Regional de Huetar Caribe.</t>
  </si>
  <si>
    <t>11. Porcentaje de avance en las actividades para elaborar el Plan Regional de Huetar Caribe.</t>
  </si>
  <si>
    <t>Elaborar el 55% del Plan Regional Huetar Caribe.</t>
  </si>
  <si>
    <t>1. Recibe, revisa y realiza las observaciones (si procede) en el primer Informe.
2. Recibe, revisa y realiza las observaciones (si procede) en el segundo Informe.
3. Entregar el Informe final de la Evaluación Ambiental a la Secretaría Técnica Nacional Ambiental (SETENA).</t>
  </si>
  <si>
    <t xml:space="preserve">La elaboración del plan (plurianual) inicia en el año 2024.
Año 2024: 25%
Año 2025: 55%
Año 2026: 20%
</t>
  </si>
  <si>
    <t>Revisar los Planes Reguladores presentados por las Municipalidades.</t>
  </si>
  <si>
    <t>12. Porcentaje de Planes Reguladores revisados en un plazo 1,5 meses, del total de planes revisados.</t>
  </si>
  <si>
    <t>Revisar el 100% de los planes reguladores recibidos en un plazo de 1,5 meses.</t>
  </si>
  <si>
    <t>1. Recibir los planes reguladores.
2. Analizar según normativa.
3. Elaborar la resolución y comunicar.
4. Aprobar los planes reguladores.</t>
  </si>
  <si>
    <t xml:space="preserve">Unidad de Criterios Técnicos y Operativos de Ordenamiento Territorial. </t>
  </si>
  <si>
    <t>Brindar acompañamiento técnico a todas las municipalidades del país en materia de elaboración de propuestas de planificación territorial (Planes Reguladores).</t>
  </si>
  <si>
    <t>13. Porcentaje de acompañamientos realizados a las municipalidades del total de solicitudes recibidas.</t>
  </si>
  <si>
    <t>Dar acompañamiento al 100% de las municipalidades que solicitan el servicio.</t>
  </si>
  <si>
    <t>1. Revisar la información recopilada.
2. Analizar la propuesta de plan regulador, de acuerdo con la normativa.
3. Coordinar las sesiones de trabajo multidisciplinaria, para evacuar consultas.
4. Elaborar el informe sobre la propuesta del Plan Regulador.</t>
  </si>
  <si>
    <t>Certificar los usos urbanos de finca presentados por los usuarios.</t>
  </si>
  <si>
    <t>14. Porcentaje de Certificados de Condición  de Uso Urbano de Finca revisados dentro del plazo establecido (GAM: 15 días y fuera de la GAM: 25 días) del total de solicitudes recibidas.</t>
  </si>
  <si>
    <t xml:space="preserve">Revisar el 100% de los certificados solicitados en el plazo definido de 15 días dentro de la GAM  y de 25 días fuera de la GAM. </t>
  </si>
  <si>
    <t>15 y 25</t>
  </si>
  <si>
    <t>1. Recibir y revisar las solicitudes.
2. Revisar según normativa.
3. Emitir la resolución, que indica si tiene o no condición urbana. 
4. Emitir el certificado.</t>
  </si>
  <si>
    <t xml:space="preserve">Dentro de la GAM 15 días y fuera de la GAM 25 días, de conformidad con el acuerdo adoptado en la Sesión Ordinaria N°6462, Artículo II, Inciso 4), del 27 de agosto del 2020. </t>
  </si>
  <si>
    <t>Revisar Planos en diferentes modalidades (Condominios, urbanizaciones, conjuntos residenciales, zona marítimo terrestre (ZMT)</t>
  </si>
  <si>
    <t xml:space="preserve">15. Porcentaje de planos constructivos que ingresan por Plataforma APC del CFIA revisados dentro del plazo de 15 días hábiles del total de planos revisados (Condominios, urbanizaciones, conjuntos residenciales, zona marítimo terrestre (ZMT). </t>
  </si>
  <si>
    <t>Revisar el 100% de los planos recibidos en un plazo de 15 días hábiles.</t>
  </si>
  <si>
    <t>1. Recibir los planos.
2. Revisar de acuerdo con la normativa.
3. Elaborar las observaciones.
4. Emitir la resolución (aprobado o rechazado).</t>
  </si>
  <si>
    <t>Departamento de Urbanismo, Unidad de Fiscalización.</t>
  </si>
  <si>
    <t xml:space="preserve">El APC (Administrador de Proyectos de Construcción) es un sistema que funciona mediante el Colegio Federado de Ingenieros y de Arquitectos de Costa Rica (CFIA).                                                          </t>
  </si>
  <si>
    <t>Revisar Planos en diferentes modalidades (Alineamiento Fluvial, Plano Catastro Individual, Plano General de Catastro de Urbanizaciones)</t>
  </si>
  <si>
    <t xml:space="preserve">16. Porcentaje de planos revisados que ingresan por la Plataforma Digital de Visados (PDV) dentro del plazo de 15 días hábiles del total de planos revisados (visado de planos, alineamiento fluvial, acceso excepcional, con fines urbanísticos, mapa oficial) .
</t>
  </si>
  <si>
    <t xml:space="preserve">La PDV (Plataforma Digital de Visados) es un sistema propio de la Institución.                                                          </t>
  </si>
  <si>
    <t>Impartir capacitaciones de acuerdo con la Ley de Planificación Urbana, para contribuir a fomentar el conocimiento especializado en la materia.</t>
  </si>
  <si>
    <t>17. Porcentaje de avance de capacitaciones impartidas a municipalidades e instituciones públicas del total de solicitudes recibidas.</t>
  </si>
  <si>
    <t xml:space="preserve">
Impartir capacitaciones al 100% de las municipalidades e instituciones públicas que solicitan el servicio.</t>
  </si>
  <si>
    <t xml:space="preserve">
1. Recibir las solicitudes.
2. Preparar la capacitación.
3. Impartir la capacitación.
4. Dar seguimiento a las recomendaciones.
</t>
  </si>
  <si>
    <t xml:space="preserve">Departamento de Urbanismo, Unidad de Asesoría y Capacitación </t>
  </si>
  <si>
    <t xml:space="preserve">Se impartirán los siguientes Módulos: 
Módulo 01. Ley de Planificación Urbana
Módulo 02. Reglamento de Construcciones
Módulo 03. Reglamento de Fraccionamiento y Urbanizaciones 
Módulo 04.  Reglamento de Renovación Urbana 
Módulo 05. Manual de Planes Reguladores como Instrumento de Ordenamiento Territorial 
Módulo 06. Cuadrantes Urbanos.
Módulo 07. Alineamientos de las Áreas de Protección según la Ley Forestal N° 7575.
</t>
  </si>
  <si>
    <t>Resolver consultas y brindar asesorías  a gobiernos locales, instituciones públicas, privadas y público en general, que requiera recomendaciones técnicas para solucionar problemas específicos, de planificación urbana.</t>
  </si>
  <si>
    <t>18. Porcentaje de consultas y asesorías realizadas y atendidas en materia de Planificación Urbana dentro de los plazos que otorga la Ley del total de solicitudes realizadas y atendidas.</t>
  </si>
  <si>
    <t>Realizar el 100% de consultas y
asesorías realizadas y atendidas en los plazos que otorga la Ley</t>
  </si>
  <si>
    <t>1. Recibir las solicitudes.
2. Analizar las solicitudes.
3. Revisar y aprobar la respuesta.
3. Redactar la respuesta y remitir al solicitante.</t>
  </si>
  <si>
    <t xml:space="preserve">Considera las consultas atendidas en la Unidad Asesoría y Capacitación y el Departamento de Urbanismo.
</t>
  </si>
  <si>
    <t>Implementar una Ventanilla Única de Inversión (VUI) de revisión de planes reguladores nuevos, con el propósito de optimizar el proceso de trámite, mediante un sistema centralizado que controle los tiempos de respuesta.</t>
  </si>
  <si>
    <t>19. Porcentaje de avance en la  implementación de la VUI para Planes Reguladores.</t>
  </si>
  <si>
    <t>Implementar al 100% la Ventanilla Única para Inversión (VUI) para Planes Reguladores.</t>
  </si>
  <si>
    <t>1. Crear accesos a funcionarios para la plataforma VUI para planes reguladores nuevos. 
2. Capacitación Funcionarios en el uso de la plataforma VUI.
3. Crear enlace en página INVU de la plataforma VUI para planes reguladores nuevos.
4. Puesta en marcha de la plataforma VUI para planes reguladores nuevos</t>
  </si>
  <si>
    <t>Implementar un módulo de capacitación virtual asincrónico en materia de planes reguladores, con el fin de proporcionar información actualizada a interesados tanto públicos como privados, mediante una alianza con una universidad pública.</t>
  </si>
  <si>
    <t>20. Porcentaje de avance en la implementación del módulo de capacitación virtual asincrónico</t>
  </si>
  <si>
    <t>Implementar al 100% un módulo capacitación virtual asincrónico en materia de Planes Reguladores.</t>
  </si>
  <si>
    <t>1. Identificación y selección de la universidad pública.
2. Negociación y formalización de la alianza con universidad. 
3. Desarrollo del contenido del módulo de capacitación.
Revisión del contenido por el DU y la UCP.
4. Implementación y pruebas del módulo</t>
  </si>
  <si>
    <t xml:space="preserve">Elaborar una estrategia de divulgación sobre ordenamiento territorial y planificación urbana, con el fin de proporcionar información a personas no técnicas, mediante el abordaje de preguntas frecuentes. </t>
  </si>
  <si>
    <t xml:space="preserve">21. Porcentaje de avance en la elaboración una estrategia de divulgación sobre ordenamiento territorial y planificación urbana.   </t>
  </si>
  <si>
    <t>Elaborar en un 100% una estrategia de divulgación sobre ordenamiento territorial y planificación urbana.</t>
  </si>
  <si>
    <t>1. Obtener información.
2.Analizar la información.
3.Diseñar la estrategia.</t>
  </si>
  <si>
    <t xml:space="preserve">EJE ESTRATÉGICO: SOLUCIONES DE VIVIENDA   </t>
  </si>
  <si>
    <t>Programas habitacionales desarrollados y subsidios.</t>
  </si>
  <si>
    <t xml:space="preserve">Realizar los términos de referencia para el pliego de condiciones para el diseño y construcción del Condominio Vertical Residencial Finca Echandi Norte e iniciar el proceso de licitación </t>
  </si>
  <si>
    <t xml:space="preserve">22. Porcentaje de avance en la elaboración del pliego de condiciones e inicio del proceso de licitación para el Condominio Vertical Residencial Finca Echandi Norte . 
</t>
  </si>
  <si>
    <t>Gestionar en un 100% los términos de referencia del proyecto Condominio Vertical Residencial Finca Echandi Norte.</t>
  </si>
  <si>
    <t xml:space="preserve">1.   Trámite de viabilidad ambiental, contratación iniciada en el 2024                                                                                                                 2 .Solventar aspectos notariales del terreno, por inmovilización de finca                                                                             3.   Elaborar los términos de referencia del pliego de condiciones.                                                                                         4.   Elaborar estudio de mercado y la decisión inicial.                                                                                         5.   Remitir recomendación a UAYC para su debido proceso.                                                                         6.  Revisiones entre unidad de adquisiciones, UPH y Asesoría legal </t>
  </si>
  <si>
    <t>Departamento de Programas Habitacionales, Unidad de
Proyectos
Habitacionales.</t>
  </si>
  <si>
    <t xml:space="preserve">Realizar los términos de referencia para el pliego de condiciones para el diseño y construcción de un 1 proyecto VUIS y efectuar proceso licitatorio. </t>
  </si>
  <si>
    <t xml:space="preserve">Gestionar en un 100% los términos de referencia de 1 proyecto VUIS en terreno INVU y efectuar proceso licitatorio. </t>
  </si>
  <si>
    <t>1. Proceso de segregación notariado - generación de las escrituras, proceso de segregación registral                                                            2. Tramites y consultas institucionales con nuevo plano generado                                                                       3. Licitación, elaboración del pliego de condiciones                                                                              4. Elaborar estudio de mercado y la decisión inicial.                                                                                    5. Remitir a UAYC la decisión inicial para su debido proceso.                                                                         6. Adjudicación                                                                      7. Inicio de diseño, trámites y permiso de construcción                                                                         8. Inicio construcción de las obras.</t>
  </si>
  <si>
    <t>Ejecutar la fase constructiva del proyecto de Bono Colectivo Acosta  Activa</t>
  </si>
  <si>
    <t>24. Porcentaje de avance en la construcción del Bono Colectivo Acosta Activa.</t>
  </si>
  <si>
    <t>Gestionar la construcción el 85% del Bono Colectivo Acosta Activa.</t>
  </si>
  <si>
    <t>1. Realizar la fiscalización del proyecto de construcción de Bono Comunal.
2. Entregar el proyecto de Bono Comunal a la Municipalidad.</t>
  </si>
  <si>
    <t xml:space="preserve">El avance del proyecto (plurianual) por año es:
Año 2024: 15%
Año 2025: 85%
El proyecto se financia con recursos BANVHI por un monto de ¢786.1 millones de colones. Su ubicación se encuentra en el cantón de Acosta, provincia de San José.
</t>
  </si>
  <si>
    <t>Realizar la postulación, sustitución, venta o formalización de 30 casos de proyectos.</t>
  </si>
  <si>
    <t>25. Porcentaje de avance en la postulación, sustitución o formalización de 30 casos de proyectos habitacionales.</t>
  </si>
  <si>
    <t>Postular,  sustituir, vender o formalizar 30 casos referentes a proyectos habitacionales.</t>
  </si>
  <si>
    <t>1. Gestionar los casos según el proyecto correspondiente.
2. Efectuar gestiones técnicas de avalúos, trabajo social, entre otros.
3. Postulación del caso. 
4.  Aprobar financiamiento por parte de la entidad.
5. Trámites y permisos.</t>
  </si>
  <si>
    <t>Unidad de Proyectos Habitacionales DPH en el caso de análisis de casos para postular a BANHVI o FODESAF</t>
  </si>
  <si>
    <t>Actualizar las propiedades de la Institución.</t>
  </si>
  <si>
    <t>26. Número de propiedades depuradas del inventario de terrenos de la Institución.</t>
  </si>
  <si>
    <t>Depurar 2040 terrenos del inventario Institucional.</t>
  </si>
  <si>
    <t>1. Identificar inmuebles.
2. Revisar el listado de terrenos contra la información catastral y registral del Registro Nacional.
3. Depurar cuando se requiera.
4. Actualizar los listados de terrenos inscritos a nombre del INVU.
5. Gestiones registrales y catastrales ante Notariado.
6. Resolución de expedientes RIM.</t>
  </si>
  <si>
    <t>Departamento de Programas Habitacionales, Unidad Fondo de Inversión en Bienes Inmuebles.</t>
  </si>
  <si>
    <t>La cantidad total de propiedades por depurar actualmente es de 9366, los cuales están clasificados como reservas, adjudicaciones, titulación por venta, decreto y áreas públicas.
Se debe dar cumplimiento a las disposiciones de la Contraloría General de la Republica en su informe N° DFOE-AE-IF-00005-2018.
Depurar: Corresponde a una labor de carácter técnica-administrativa que implica la revisión registral y catastral de cada una de las fincas, eliminando datos inconsistentes producto de manipulación incorrecta, información antigua o desactualizada, registros duplicados, así como la exclusión de fincas cerradas y tituladas dentro del inventario de bienes inmuebles del INVU.</t>
  </si>
  <si>
    <t>Vender inmuebles de la Institución.</t>
  </si>
  <si>
    <t>27. Monto (en millones de colones) de ingresos generados por propiedades vendidas.</t>
  </si>
  <si>
    <t>Monto</t>
  </si>
  <si>
    <t>Vender ¢216,0 millones en propiedades.</t>
  </si>
  <si>
    <t xml:space="preserve">1. Recibir la solicitud.
2. Conformar el expediente.
3. Realizar el trámite.
4. Formalizar la escritura de traspaso.
</t>
  </si>
  <si>
    <t>Departamento de Programas Habitacionales, Unidad Fondo de Inversión en Bienes Inmuebles</t>
  </si>
  <si>
    <t>Incluye venta de terrenos por concepto de:
      a. Venta de saldos de proyectos a través del proceso de titulación por venta.
      b. Venta directa de inmuebles, por medio de procesos de contratación administrativa, amparado en el reglamento para la venta de inmuebles del INVU, Policitación.</t>
  </si>
  <si>
    <t>Titular casos de lotes  por decreto, venta de saldos de proyectos, adjudicaciones y traspaso de áreas públicas.</t>
  </si>
  <si>
    <t>28. Número de títulos de propiedad otorgados.</t>
  </si>
  <si>
    <t>Titular 160 propiedades.</t>
  </si>
  <si>
    <t>1. Recibir la solicitud.
2. Conformar el expediente.
3. Realizar el trámite.
4. Formalizar la escritura de traspaso.</t>
  </si>
  <si>
    <t xml:space="preserve">El financiamiento es con recursos propios.
Los lotes a titular corresponden a saldos de proyectos los cuales son ocupados por familias interesadas en formalizar su situación patrimonial.
Se encuentra incluido en el PNDIP.
</t>
  </si>
  <si>
    <t>Otorgar subsidios para resolver el problema habitacional en los estratos de población de interés social.</t>
  </si>
  <si>
    <t xml:space="preserve">29. Monto (en millones de colones) de las solicitudes de bono familiar de vivienda postuladas ante el BANHVI.  </t>
  </si>
  <si>
    <t xml:space="preserve">Postular un monto total de ¢1.780 millones de colones.
</t>
  </si>
  <si>
    <t>1. Recibir las solicitudes de bono.
2. Verificar el cumplimiento de requisitos. 
3. Conformar los expedientes.
4. Analizar las solicitudes de bono.
5. Postular los casos ante el BANHVI.</t>
  </si>
  <si>
    <t>Departamento de Programas Habitacionales, Unidad Mecanismos de Financiamiento</t>
  </si>
  <si>
    <t xml:space="preserve">Bono Artículo 59: ¢ 1 380 millones.
Bono Ordinario: ¢ 400,0 millones.
</t>
  </si>
  <si>
    <t>Tramitar las solicitudes de bono familiar de vivienda.</t>
  </si>
  <si>
    <t xml:space="preserve">30. Plazo (en meses) promedio de trámite de las solicitudes de bono familiar de vivienda, a partir de la etapa de análisis hasta su postulación.  
 </t>
  </si>
  <si>
    <t xml:space="preserve">Plazo </t>
  </si>
  <si>
    <t xml:space="preserve">Tramitar en 1,5 meses las solicitudes de bono. </t>
  </si>
  <si>
    <t>1. Analizar las solicitudes de bono.
2. Aprobar la solicitud.
3. Postular los casos ante el BANHVI.</t>
  </si>
  <si>
    <t>El trámite se mide desde la etapa de análisis porque a la fecha se cuenta con un inventario de expedientes.</t>
  </si>
  <si>
    <t xml:space="preserve">Implementar el modelo establecido en el reglamento APP para agilizar el desarrollo proyectos habitacionales mediante alianzas público privadas. </t>
  </si>
  <si>
    <t>31. Porcentaje de avance en la ejecución de las  actividades programadas para implementar el modelo APP.</t>
  </si>
  <si>
    <t>Implementar el 100% del modelo  del reglamento APP.</t>
  </si>
  <si>
    <t xml:space="preserve">                                                                                                              1. Constitución de la comisión.                                                                             2. Desarrollo de roles (estructura de gobernanza).                                                                                                                                                                    4. Levantamiento de procedimientos.                                                                         5. Contratación de gestoría.                      6. Ejecución de los estudios de los primeros proyectos </t>
  </si>
  <si>
    <t>Implementar un programa para el mantenimiento y ampliación del Sistema de Información Geográfica (SIG) para que los usuarios tengan acceso a información geográfica referenciada, mediante alianzas con la Academia.</t>
  </si>
  <si>
    <t>32. Porcentaje de avance en la ejecución de las  actividades programadas para implementar un programa para el mantenimiento y ampliación del Sistema de Información Geográfica (SIG)</t>
  </si>
  <si>
    <t>Implementar en un 100% un programa para el mantenimiento y ampliación del Sistema de Información Geográfica (SIG) .</t>
  </si>
  <si>
    <t>1. Obtener información.
2.Analizar la información.
3.Diseñar e implementar el programa.</t>
  </si>
  <si>
    <t xml:space="preserve">Divulgar el modelo de Ecobarrios para fomentar ciudades sostenibles e inclusivas, mediante la realización de talleres dirigidos a diversos actores interesados. </t>
  </si>
  <si>
    <t xml:space="preserve">33. Número de asesorías y acompañamientos a las municipalidades para la divulgación de la Guía del Modelo de Ecobarrios. </t>
  </si>
  <si>
    <t xml:space="preserve">Efectuar 3 asesorías y acompañamientos a las municipalidades 
para la divulgación de la Guía del Modelo de Ecobarrios. </t>
  </si>
  <si>
    <t>1. Obtener información.
2.Analizar la información.
3.Efectuar las asesorías y acompañamientos.</t>
  </si>
  <si>
    <t>EJE ESTRATÉGICO: MECANISMOS DE FINANCIAMIENTO DE VIVIENDA</t>
  </si>
  <si>
    <t xml:space="preserve">Créditos aprobados. </t>
  </si>
  <si>
    <t>Vender contratos del SAP</t>
  </si>
  <si>
    <t>34. Monto (en millones de colones) de los contratos vendidos en el Sistema de Ahorro y Préstamo (SAP).</t>
  </si>
  <si>
    <t xml:space="preserve">Vender ¢114 858 millones en contratos del SAP.
</t>
  </si>
  <si>
    <t>1. Recibir las solicitudes.
2. Tramitar las solicitudes.
3. Formalizar la venta.</t>
  </si>
  <si>
    <t xml:space="preserve">
Gestión de Programas de Financiamiento</t>
  </si>
  <si>
    <t xml:space="preserve">Se estima vender un total de 8.387 contratos.
que corresponden a ese monto de ¢114.858  millones.
</t>
  </si>
  <si>
    <t xml:space="preserve">35. Monto en millones de colones de los ingresos obtenidos por venta de contratos en el Sistema de Ahorro y Préstamo (SAP). </t>
  </si>
  <si>
    <t>Ingresos por ¢3.946 millones obtenidos por venta de contratos en el Sistema de Ahorro y Préstamo (SAP)</t>
  </si>
  <si>
    <t>Cuotas de ingreso (4%) que pagan los clientes, cuando adquieren un contrato o lo reactivan y le permiten al Sistema de Ahorro y Préstamo cubrir todos sus gastos administrativos y Comisiones a Comisionistas</t>
  </si>
  <si>
    <t>Mantener las renuncias en un 3%.</t>
  </si>
  <si>
    <t>36. Porcentaje de mantenimiento de las renuncias de los contratos vendidos del SAP, en el año 2025.</t>
  </si>
  <si>
    <t>Mantener en un 3% las renuncias de los contratos vendidos.</t>
  </si>
  <si>
    <t xml:space="preserve">1. Persuadir al cliente para que no renuncie
2. Tabular las renuncias en forma mensual.                                                                                                                                                                                                                                                                       3. Analizar la información.
4. Elaborar el informe y Plantear acciones de mejora (si es del caso). </t>
  </si>
  <si>
    <t>Créditos aprobados.</t>
  </si>
  <si>
    <t xml:space="preserve">37. Número de créditos aprobados para clase media a través del Sistema de Ahorro y Préstamo (SAP).  </t>
  </si>
  <si>
    <t>Aprobar 807 créditos para clase media a través del SAP.</t>
  </si>
  <si>
    <t>1.  Recibir, conformar e ingresar las solicitudes de financiamiento.
2. Aprobación del informe técnico
3. Analizar el crédito.
4. Aprobar el crédito.</t>
  </si>
  <si>
    <t xml:space="preserve">Se estima aprobar un monto total de ¢25.057,23 millones, que corresponde a los 807 créditos.
Se encuentra incluido en el PNDIP.
</t>
  </si>
  <si>
    <t>Tramitar las solicitudes de crédito.</t>
  </si>
  <si>
    <t>38. Plazo (en días hábiles) promedio de trámite para la aprobación de los créditos del Sistema de Ahorro y Préstamo (SAP)</t>
  </si>
  <si>
    <t>Tramitar en 25 días hábiles los créditos del SAP.</t>
  </si>
  <si>
    <t>1. Monitoreo del proceso de conformación e ingreso de expedientes en la UACS.                                                                                                                                                                                                                      2. Seguimiento de los plazo otorgados y de respuesta del los Peritos y fiscalizadores externos.
3. Concluir de forma oportuna la revisión, validación, análisis y preaprobación de los documentos e informe técnico respectivos de la solicitud.</t>
  </si>
  <si>
    <t xml:space="preserve">39. Número de créditos aprobados para clase media a través de CREDINVU.  </t>
  </si>
  <si>
    <t>Otorgar 40 créditos para clase media a través de CREDINVU.</t>
  </si>
  <si>
    <t>1. Recibir, conformar e ingresar las solicitudes de financiamiento.
2. Aprobación del informe técnico
3. Analizar el crédito.
4. Aprobar el crédito.</t>
  </si>
  <si>
    <t xml:space="preserve">Se estima aprobar un monto total de ¢2 500 millones, que corresponde a los 40 créditos.  
Se encuentra incluido en el PNDIP.
</t>
  </si>
  <si>
    <t xml:space="preserve">Desarrollar e implementar un nuevo modelo de financiamiento basado en los contratos adquiridos por el INVU producto de las renuncias, para aumentar el acceso a una solución habitacional en la población de ingresos medios. </t>
  </si>
  <si>
    <t>40. Porcentaje de avance en las actividades para el desarrollo e implementación de un nuevo modelo de financiamiento.</t>
  </si>
  <si>
    <t>Desarrollar e implementar en un 100% un  nuevo modelo de financiamiento de contratos adquiridos por el INVU por renuncias.</t>
  </si>
  <si>
    <t>1. Definición de nuevos productos financieros y procedimientos.
2. Levantamiento del procedimiento de colocación de productos.
3. Implementación.
4. Publicidad.
5. Apertura al público.</t>
  </si>
  <si>
    <t xml:space="preserve">Establecer e implementar  alianzas con desarrolladores de vivienda para aumentar la colocación de créditos  por medio de convenios de cooperación. </t>
  </si>
  <si>
    <t>41. Número de alianzas implementadas con desarrolladores de vivienda.</t>
  </si>
  <si>
    <t xml:space="preserve">Implementar 3 alianzas con desarrolladores de vivienda para aumentar la colocación de créditos  por medio de convenios de cooperación. </t>
  </si>
  <si>
    <t xml:space="preserve">1. Presupuesto.
2. Definir Desarrolladoras
3. General citas para negociación 
4. Campaña publicitarias
5. Firmar convenios 
</t>
  </si>
  <si>
    <t xml:space="preserve">Establecer e implementar convenios con comercios asociados al perfil del cliente SAP, para incentivar ser cliente activo, mediante la creación de beneficios exclusivos  que promuevan la fidelización y el uso activo de los productos ofrecidos. </t>
  </si>
  <si>
    <t>42. Cantidad de convenios comerciales implementados para incentivar ser cliente activo.</t>
  </si>
  <si>
    <t>Implementar 3 convenios con comercios asociados al perfil del cliente SAP, para incentivar ser cliente activo.</t>
  </si>
  <si>
    <t xml:space="preserve">1.  Definir comercios
2. Generar citas para negociación.
3. Campañas publicitarias.
4. Generar ID cliente activo.
5. Firma convenios
</t>
  </si>
  <si>
    <r>
      <rPr>
        <b/>
        <sz val="10"/>
        <rFont val="Arial"/>
        <family val="2"/>
      </rPr>
      <t xml:space="preserve">23. </t>
    </r>
    <r>
      <rPr>
        <b/>
        <sz val="10"/>
        <color theme="1"/>
        <rFont val="Arial"/>
        <family val="2"/>
      </rPr>
      <t>Porcentaje de avance en la elaboración del pliego de condiciones e inicio del proceso de licitación para 1 proyecto VUIS en terreno INVU.</t>
    </r>
  </si>
  <si>
    <t>UNIDAD DE MEDIDA</t>
  </si>
  <si>
    <t>MONTO POR PROGRAMA
(MILLONES DE COLONES)</t>
  </si>
  <si>
    <t xml:space="preserve">Fuente: Planificación Institucional </t>
  </si>
  <si>
    <t>PRESUPUESTO INICIAL 2025
INGRESOS
(MONTO EN COLONES)</t>
  </si>
  <si>
    <t>RESUPUESTO INICIAL 2025
EGRESOS
(MONTO EN COLONES)</t>
  </si>
  <si>
    <t>CODIGO</t>
  </si>
  <si>
    <t>TOTAL 
GENERAL</t>
  </si>
  <si>
    <t>PROGRAMA N°1
ADMINISTRACIÓN Y
APOYO</t>
  </si>
  <si>
    <t>SECRETARIA DE JUNTA
DIRECTIVA</t>
  </si>
  <si>
    <t>AUDITORIA</t>
  </si>
  <si>
    <t xml:space="preserve">
PRESIDENCIA
EJECUTIVA</t>
  </si>
  <si>
    <t>GERENCIA
GENERAL</t>
  </si>
  <si>
    <t>SALUD OCUPACIONAL</t>
  </si>
  <si>
    <t>TECNOLOGÍAS DE INFORMACIÓN</t>
  </si>
  <si>
    <t>SUG GERENCIA GENERAL</t>
  </si>
  <si>
    <t>CONTRALORIA DE SERVICIOS</t>
  </si>
  <si>
    <t xml:space="preserve">PLANIFICACIÓN
</t>
  </si>
  <si>
    <t>ASESORÍA
   LEGAL</t>
  </si>
  <si>
    <t>JEFATURA DAF</t>
  </si>
  <si>
    <t>ADMINISTRACIÓN</t>
  </si>
  <si>
    <t>TALENTO HUMANO</t>
  </si>
  <si>
    <t>ADQUISICIONES Y CONTRATACIONES</t>
  </si>
  <si>
    <t>JEFATURA DE FINANZAS</t>
  </si>
  <si>
    <t>CONTABILIDAD</t>
  </si>
  <si>
    <t>COBROS</t>
  </si>
  <si>
    <t>TESORERIA</t>
  </si>
  <si>
    <t>ARCHIVO CENTRAL</t>
  </si>
  <si>
    <t>COMUNICACIÓN Y PROMOCIÓN</t>
  </si>
  <si>
    <t>PROGRAMA N°2
URBANISMO</t>
  </si>
  <si>
    <t>JEFATURA URBANISMO Y VIVIENDA</t>
  </si>
  <si>
    <t>JEFATURA URBANISMO</t>
  </si>
  <si>
    <t>FISCALIZACIÓN</t>
  </si>
  <si>
    <t>CRIETERIOS TÉCNICOS Y OPERATIVOS DE ORDENAMIENTO TERRITORIAL</t>
  </si>
  <si>
    <t>ASESORÍA Y CAPACITACIÓN</t>
  </si>
  <si>
    <t>PROGRAMA N°3
PROGRAMAS HABITACIONALES</t>
  </si>
  <si>
    <t>PROGRAMA Nª 4
GESTIÓN DE PROGRAMAS DE FINANCIAMIENTO</t>
  </si>
  <si>
    <t>SUBPROGRAMA 1-GESTIÓN DE PRODUCTOS DEL SISTEMA DE AHORRO Y PRÉSTAMO</t>
  </si>
  <si>
    <t>SUBPROGRAMA 2-GESTIÓN DE PRODUCTOS CON DIVERSAS FUENTES DE INGRESOS</t>
  </si>
  <si>
    <t>INGRESOS INVU (NO INCLUYE SAP)</t>
  </si>
  <si>
    <t>PRESUPUESTADO</t>
  </si>
  <si>
    <t>INGRESOS SISTEMA DE AHORRO Y PRESTAMO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</si>
</sst>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00\ _€_-;\-* #,##0.00\ _€_-;_-* &quot;-&quot;??\ _€_-;_-@_-"/>
    <numFmt numFmtId="166" formatCode="#,##0.0"/>
    <numFmt numFmtId="167" formatCode="#,##0.0;[Red]\-#,##0.0"/>
  </numFmts>
  <fonts count="20" x14ac:knownFonts="1">
    <font>
      <sz val="11"/>
      <color theme="1"/>
      <name val="Aptos Narrow"/>
      <family val="2"/>
      <scheme val="minor"/>
    </font>
    <font>
      <sz val="11"/>
      <color theme="1"/>
      <name val="Aptos Narrow"/>
      <family val="2"/>
      <scheme val="minor"/>
    </font>
    <font>
      <sz val="10"/>
      <name val="Courier"/>
      <family val="3"/>
    </font>
    <font>
      <b/>
      <sz val="9"/>
      <color indexed="81"/>
      <name val="Tahoma"/>
      <family val="2"/>
    </font>
    <font>
      <sz val="9"/>
      <color indexed="81"/>
      <name val="Tahoma"/>
      <family val="2"/>
    </font>
    <font>
      <sz val="10"/>
      <name val="Times New Roman"/>
      <family val="1"/>
    </font>
    <font>
      <sz val="10"/>
      <name val="Arial"/>
      <family val="2"/>
    </font>
    <font>
      <b/>
      <sz val="10"/>
      <name val="Arial"/>
      <family val="2"/>
    </font>
    <font>
      <b/>
      <sz val="10"/>
      <color theme="0"/>
      <name val="Arial"/>
      <family val="2"/>
    </font>
    <font>
      <b/>
      <u/>
      <sz val="10"/>
      <name val="Arial"/>
      <family val="2"/>
    </font>
    <font>
      <sz val="10"/>
      <color indexed="8"/>
      <name val="Arial"/>
      <family val="2"/>
    </font>
    <font>
      <b/>
      <sz val="10"/>
      <color indexed="10"/>
      <name val="Arial"/>
      <family val="2"/>
    </font>
    <font>
      <b/>
      <u/>
      <sz val="10"/>
      <color indexed="8"/>
      <name val="Arial"/>
      <family val="2"/>
    </font>
    <font>
      <b/>
      <sz val="10"/>
      <color indexed="8"/>
      <name val="Arial"/>
      <family val="2"/>
    </font>
    <font>
      <b/>
      <sz val="10"/>
      <color theme="1"/>
      <name val="Arial"/>
      <family val="2"/>
    </font>
    <font>
      <sz val="10"/>
      <color theme="1"/>
      <name val="Arial"/>
      <family val="2"/>
    </font>
    <font>
      <b/>
      <u/>
      <sz val="10"/>
      <color theme="1"/>
      <name val="Arial"/>
      <family val="2"/>
    </font>
    <font>
      <b/>
      <sz val="10"/>
      <color rgb="FF000000"/>
      <name val="Arial"/>
      <family val="2"/>
    </font>
    <font>
      <sz val="12"/>
      <color theme="1"/>
      <name val="Aptos Narrow"/>
      <family val="2"/>
      <scheme val="minor"/>
    </font>
    <font>
      <b/>
      <sz val="10"/>
      <color rgb="FFFF0000"/>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5" tint="-0.249977111117893"/>
        <bgColor indexed="64"/>
      </patternFill>
    </fill>
    <fill>
      <patternFill patternType="solid">
        <fgColor theme="0"/>
        <bgColor indexed="64"/>
      </patternFill>
    </fill>
    <fill>
      <patternFill patternType="solid">
        <fgColor theme="3" tint="0.499984740745262"/>
        <bgColor indexed="64"/>
      </patternFill>
    </fill>
  </fills>
  <borders count="5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auto="1"/>
      </bottom>
      <diagonal/>
    </border>
    <border>
      <left style="medium">
        <color indexed="64"/>
      </left>
      <right/>
      <top style="thin">
        <color auto="1"/>
      </top>
      <bottom/>
      <diagonal/>
    </border>
    <border>
      <left/>
      <right/>
      <top/>
      <bottom style="thin">
        <color auto="1"/>
      </bottom>
      <diagonal/>
    </border>
    <border>
      <left style="medium">
        <color indexed="64"/>
      </left>
      <right style="thin">
        <color auto="1"/>
      </right>
      <top/>
      <bottom style="thin">
        <color auto="1"/>
      </bottom>
      <diagonal/>
    </border>
    <border>
      <left/>
      <right/>
      <top style="thin">
        <color indexed="64"/>
      </top>
      <bottom/>
      <diagonal/>
    </border>
    <border>
      <left style="thin">
        <color auto="1"/>
      </left>
      <right style="medium">
        <color indexed="64"/>
      </right>
      <top/>
      <bottom style="thin">
        <color auto="1"/>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37" fontId="2" fillId="0" borderId="0" applyBorder="0"/>
    <xf numFmtId="0" fontId="5" fillId="0" borderId="0"/>
    <xf numFmtId="0" fontId="18" fillId="0" borderId="0"/>
  </cellStyleXfs>
  <cellXfs count="254">
    <xf numFmtId="0" fontId="0" fillId="0" borderId="0" xfId="0"/>
    <xf numFmtId="0" fontId="6" fillId="4" borderId="11" xfId="4" applyFont="1" applyFill="1" applyBorder="1"/>
    <xf numFmtId="0" fontId="6" fillId="4" borderId="0" xfId="4" applyFont="1" applyFill="1"/>
    <xf numFmtId="9" fontId="8" fillId="5" borderId="2" xfId="2" applyFont="1" applyFill="1" applyBorder="1" applyAlignment="1">
      <alignment horizontal="center" vertical="center" wrapText="1"/>
    </xf>
    <xf numFmtId="9" fontId="8" fillId="5" borderId="2" xfId="2" applyFont="1" applyFill="1" applyBorder="1" applyAlignment="1">
      <alignment horizontal="center" vertical="center"/>
    </xf>
    <xf numFmtId="0" fontId="6" fillId="4" borderId="0" xfId="4" applyFont="1" applyFill="1" applyAlignment="1">
      <alignment vertical="center"/>
    </xf>
    <xf numFmtId="43" fontId="6" fillId="4" borderId="6" xfId="1" applyFont="1" applyFill="1" applyBorder="1"/>
    <xf numFmtId="0" fontId="7" fillId="4" borderId="7" xfId="4" applyFont="1" applyFill="1" applyBorder="1" applyAlignment="1">
      <alignment horizontal="left"/>
    </xf>
    <xf numFmtId="4" fontId="9" fillId="4" borderId="3" xfId="4" applyNumberFormat="1" applyFont="1" applyFill="1" applyBorder="1"/>
    <xf numFmtId="9" fontId="7" fillId="4" borderId="3" xfId="2" applyFont="1" applyFill="1" applyBorder="1" applyAlignment="1">
      <alignment horizontal="center"/>
    </xf>
    <xf numFmtId="4" fontId="9" fillId="4" borderId="6" xfId="4" applyNumberFormat="1" applyFont="1" applyFill="1" applyBorder="1"/>
    <xf numFmtId="9" fontId="7" fillId="4" borderId="4" xfId="2" applyFont="1" applyFill="1" applyBorder="1" applyAlignment="1">
      <alignment horizontal="center"/>
    </xf>
    <xf numFmtId="43" fontId="6" fillId="4" borderId="0" xfId="1" applyFont="1" applyFill="1"/>
    <xf numFmtId="9" fontId="6" fillId="4" borderId="6" xfId="2" applyFont="1" applyFill="1" applyBorder="1" applyAlignment="1">
      <alignment horizontal="center"/>
    </xf>
    <xf numFmtId="9" fontId="6" fillId="4" borderId="4" xfId="2" applyFont="1" applyFill="1" applyBorder="1" applyAlignment="1">
      <alignment horizontal="center"/>
    </xf>
    <xf numFmtId="4" fontId="6" fillId="4" borderId="4" xfId="4" applyNumberFormat="1" applyFont="1" applyFill="1" applyBorder="1"/>
    <xf numFmtId="4" fontId="10" fillId="4" borderId="6" xfId="4" applyNumberFormat="1" applyFont="1" applyFill="1" applyBorder="1"/>
    <xf numFmtId="4" fontId="6" fillId="4" borderId="0" xfId="4" applyNumberFormat="1" applyFont="1" applyFill="1"/>
    <xf numFmtId="43" fontId="7" fillId="4" borderId="6" xfId="1" applyFont="1" applyFill="1" applyBorder="1"/>
    <xf numFmtId="0" fontId="9" fillId="4" borderId="6" xfId="4" quotePrefix="1" applyFont="1" applyFill="1" applyBorder="1" applyAlignment="1">
      <alignment horizontal="left"/>
    </xf>
    <xf numFmtId="4" fontId="7" fillId="4" borderId="6" xfId="4" applyNumberFormat="1" applyFont="1" applyFill="1" applyBorder="1"/>
    <xf numFmtId="4" fontId="7" fillId="4" borderId="4" xfId="4" applyNumberFormat="1" applyFont="1" applyFill="1" applyBorder="1"/>
    <xf numFmtId="9" fontId="6" fillId="4" borderId="0" xfId="2" applyFont="1" applyFill="1"/>
    <xf numFmtId="0" fontId="6" fillId="4" borderId="6" xfId="4" quotePrefix="1" applyFont="1" applyFill="1" applyBorder="1" applyAlignment="1">
      <alignment horizontal="left"/>
    </xf>
    <xf numFmtId="4" fontId="6" fillId="4" borderId="4" xfId="4" quotePrefix="1" applyNumberFormat="1" applyFont="1" applyFill="1" applyBorder="1" applyAlignment="1">
      <alignment horizontal="right"/>
    </xf>
    <xf numFmtId="4" fontId="6" fillId="4" borderId="6" xfId="4" applyNumberFormat="1" applyFont="1" applyFill="1" applyBorder="1"/>
    <xf numFmtId="43" fontId="6" fillId="4" borderId="6" xfId="1" applyFont="1" applyFill="1" applyBorder="1" applyAlignment="1">
      <alignment horizontal="left"/>
    </xf>
    <xf numFmtId="43" fontId="6" fillId="4" borderId="6" xfId="1" applyFont="1" applyFill="1" applyBorder="1" applyAlignment="1">
      <alignment wrapText="1"/>
    </xf>
    <xf numFmtId="4" fontId="10" fillId="4" borderId="6" xfId="4" applyNumberFormat="1" applyFont="1" applyFill="1" applyBorder="1" applyAlignment="1">
      <alignment horizontal="right"/>
    </xf>
    <xf numFmtId="4" fontId="7" fillId="4" borderId="4" xfId="4" quotePrefix="1" applyNumberFormat="1" applyFont="1" applyFill="1" applyBorder="1" applyAlignment="1">
      <alignment horizontal="right"/>
    </xf>
    <xf numFmtId="43" fontId="9" fillId="4" borderId="6" xfId="1" applyFont="1" applyFill="1" applyBorder="1"/>
    <xf numFmtId="4" fontId="12" fillId="4" borderId="6" xfId="4" applyNumberFormat="1" applyFont="1" applyFill="1" applyBorder="1"/>
    <xf numFmtId="0" fontId="7" fillId="4" borderId="0" xfId="4" applyFont="1" applyFill="1"/>
    <xf numFmtId="4" fontId="10" fillId="4" borderId="4" xfId="4" quotePrefix="1" applyNumberFormat="1" applyFont="1" applyFill="1" applyBorder="1" applyAlignment="1">
      <alignment horizontal="right"/>
    </xf>
    <xf numFmtId="4" fontId="6" fillId="4" borderId="6" xfId="1" applyNumberFormat="1" applyFont="1" applyFill="1" applyBorder="1"/>
    <xf numFmtId="4" fontId="13" fillId="4" borderId="4" xfId="4" quotePrefix="1" applyNumberFormat="1" applyFont="1" applyFill="1" applyBorder="1" applyAlignment="1">
      <alignment horizontal="right"/>
    </xf>
    <xf numFmtId="4" fontId="7" fillId="4" borderId="6" xfId="1" applyNumberFormat="1" applyFont="1" applyFill="1" applyBorder="1"/>
    <xf numFmtId="43" fontId="6" fillId="4" borderId="8" xfId="1" applyFont="1" applyFill="1" applyBorder="1"/>
    <xf numFmtId="4" fontId="6" fillId="4" borderId="5" xfId="4" quotePrefix="1" applyNumberFormat="1" applyFont="1" applyFill="1" applyBorder="1" applyAlignment="1">
      <alignment horizontal="right"/>
    </xf>
    <xf numFmtId="9" fontId="6" fillId="4" borderId="5" xfId="2" applyFont="1" applyFill="1" applyBorder="1" applyAlignment="1">
      <alignment horizontal="center"/>
    </xf>
    <xf numFmtId="4" fontId="10" fillId="4" borderId="8" xfId="4" applyNumberFormat="1" applyFont="1" applyFill="1" applyBorder="1"/>
    <xf numFmtId="0" fontId="6" fillId="4" borderId="6" xfId="4" applyFont="1" applyFill="1" applyBorder="1"/>
    <xf numFmtId="0" fontId="6" fillId="4" borderId="4" xfId="4" applyFont="1" applyFill="1" applyBorder="1"/>
    <xf numFmtId="4" fontId="10" fillId="4" borderId="4" xfId="4" applyNumberFormat="1" applyFont="1" applyFill="1" applyBorder="1"/>
    <xf numFmtId="165" fontId="6" fillId="4" borderId="0" xfId="4" applyNumberFormat="1" applyFont="1" applyFill="1"/>
    <xf numFmtId="43" fontId="14" fillId="4" borderId="4" xfId="1" applyFont="1" applyFill="1" applyBorder="1"/>
    <xf numFmtId="9" fontId="7" fillId="4" borderId="0" xfId="2" applyFont="1" applyFill="1" applyBorder="1"/>
    <xf numFmtId="43" fontId="6" fillId="4" borderId="4" xfId="1" applyFont="1" applyFill="1" applyBorder="1"/>
    <xf numFmtId="4" fontId="6" fillId="4" borderId="4" xfId="1" applyNumberFormat="1" applyFont="1" applyFill="1" applyBorder="1"/>
    <xf numFmtId="4" fontId="7" fillId="4" borderId="0" xfId="4" applyNumberFormat="1" applyFont="1" applyFill="1"/>
    <xf numFmtId="43" fontId="7" fillId="4" borderId="4" xfId="1" applyFont="1" applyFill="1" applyBorder="1"/>
    <xf numFmtId="4" fontId="10" fillId="4" borderId="4" xfId="1" applyNumberFormat="1" applyFont="1" applyFill="1" applyBorder="1"/>
    <xf numFmtId="0" fontId="6" fillId="4" borderId="8" xfId="4" applyFont="1" applyFill="1" applyBorder="1"/>
    <xf numFmtId="43" fontId="6" fillId="4" borderId="5" xfId="1" applyFont="1" applyFill="1" applyBorder="1"/>
    <xf numFmtId="4" fontId="10" fillId="4" borderId="5" xfId="4" applyNumberFormat="1" applyFont="1" applyFill="1" applyBorder="1"/>
    <xf numFmtId="4" fontId="6" fillId="4" borderId="0" xfId="4" applyNumberFormat="1" applyFont="1" applyFill="1" applyAlignment="1">
      <alignment horizontal="center"/>
    </xf>
    <xf numFmtId="4" fontId="10" fillId="4" borderId="0" xfId="4" applyNumberFormat="1" applyFont="1" applyFill="1"/>
    <xf numFmtId="10" fontId="10" fillId="4" borderId="0" xfId="4" applyNumberFormat="1" applyFont="1" applyFill="1" applyAlignment="1">
      <alignment horizontal="center"/>
    </xf>
    <xf numFmtId="43" fontId="6" fillId="4" borderId="0" xfId="1" applyFont="1" applyFill="1" applyBorder="1"/>
    <xf numFmtId="43" fontId="6" fillId="4" borderId="0" xfId="4" applyNumberFormat="1" applyFont="1" applyFill="1"/>
    <xf numFmtId="9" fontId="6" fillId="4" borderId="0" xfId="2" applyFont="1" applyFill="1" applyBorder="1"/>
    <xf numFmtId="4" fontId="6" fillId="4" borderId="9" xfId="4" applyNumberFormat="1" applyFont="1" applyFill="1" applyBorder="1"/>
    <xf numFmtId="4" fontId="6" fillId="4" borderId="9" xfId="4" applyNumberFormat="1" applyFont="1" applyFill="1" applyBorder="1" applyAlignment="1">
      <alignment horizontal="center"/>
    </xf>
    <xf numFmtId="4" fontId="10" fillId="4" borderId="9" xfId="4" applyNumberFormat="1" applyFont="1" applyFill="1" applyBorder="1"/>
    <xf numFmtId="4" fontId="15" fillId="4" borderId="0" xfId="0" applyNumberFormat="1" applyFont="1" applyFill="1"/>
    <xf numFmtId="4" fontId="8" fillId="5" borderId="2" xfId="0" applyNumberFormat="1" applyFont="1" applyFill="1" applyBorder="1" applyAlignment="1">
      <alignment vertical="center"/>
    </xf>
    <xf numFmtId="4" fontId="8" fillId="5" borderId="2" xfId="0" applyNumberFormat="1" applyFont="1" applyFill="1" applyBorder="1" applyAlignment="1">
      <alignment horizontal="center" vertical="center" wrapText="1"/>
    </xf>
    <xf numFmtId="4" fontId="15" fillId="4" borderId="0" xfId="0" applyNumberFormat="1" applyFont="1" applyFill="1" applyAlignment="1">
      <alignment vertical="center"/>
    </xf>
    <xf numFmtId="4" fontId="15" fillId="4" borderId="3" xfId="0" applyNumberFormat="1" applyFont="1" applyFill="1" applyBorder="1"/>
    <xf numFmtId="4" fontId="14" fillId="4" borderId="3" xfId="0" applyNumberFormat="1" applyFont="1" applyFill="1" applyBorder="1"/>
    <xf numFmtId="4" fontId="14" fillId="4" borderId="3" xfId="0" applyNumberFormat="1" applyFont="1" applyFill="1" applyBorder="1" applyAlignment="1">
      <alignment horizontal="right" wrapText="1"/>
    </xf>
    <xf numFmtId="4" fontId="14" fillId="4" borderId="3" xfId="0" applyNumberFormat="1" applyFont="1" applyFill="1" applyBorder="1" applyAlignment="1">
      <alignment horizontal="center" wrapText="1"/>
    </xf>
    <xf numFmtId="4" fontId="7" fillId="4" borderId="3" xfId="0" applyNumberFormat="1" applyFont="1" applyFill="1" applyBorder="1" applyAlignment="1">
      <alignment horizontal="center" wrapText="1"/>
    </xf>
    <xf numFmtId="4" fontId="14" fillId="4" borderId="4" xfId="0" applyNumberFormat="1" applyFont="1" applyFill="1" applyBorder="1" applyAlignment="1">
      <alignment horizontal="center" wrapText="1"/>
    </xf>
    <xf numFmtId="4" fontId="7" fillId="4" borderId="4" xfId="0" applyNumberFormat="1" applyFont="1" applyFill="1" applyBorder="1" applyAlignment="1">
      <alignment horizontal="center" wrapText="1"/>
    </xf>
    <xf numFmtId="4" fontId="15" fillId="4" borderId="4" xfId="0" applyNumberFormat="1" applyFont="1" applyFill="1" applyBorder="1"/>
    <xf numFmtId="0" fontId="14" fillId="4" borderId="4" xfId="0" applyFont="1" applyFill="1" applyBorder="1" applyAlignment="1">
      <alignment horizontal="left"/>
    </xf>
    <xf numFmtId="4" fontId="14" fillId="4" borderId="4" xfId="0" applyNumberFormat="1" applyFont="1" applyFill="1" applyBorder="1"/>
    <xf numFmtId="4" fontId="14" fillId="4" borderId="0" xfId="0" applyNumberFormat="1" applyFont="1" applyFill="1"/>
    <xf numFmtId="39" fontId="14" fillId="4" borderId="4" xfId="3" applyNumberFormat="1" applyFont="1" applyFill="1" applyBorder="1" applyAlignment="1" applyProtection="1">
      <alignment horizontal="left"/>
      <protection locked="0"/>
    </xf>
    <xf numFmtId="39" fontId="14" fillId="4" borderId="4" xfId="3" applyNumberFormat="1" applyFont="1" applyFill="1" applyBorder="1" applyAlignment="1" applyProtection="1">
      <alignment horizontal="left" wrapText="1"/>
      <protection locked="0"/>
    </xf>
    <xf numFmtId="43" fontId="15" fillId="4" borderId="4" xfId="1" applyFont="1" applyFill="1" applyBorder="1" applyAlignment="1">
      <alignment horizontal="left" wrapText="1"/>
    </xf>
    <xf numFmtId="43" fontId="14" fillId="4" borderId="4" xfId="1" applyFont="1" applyFill="1" applyBorder="1" applyAlignment="1">
      <alignment horizontal="left" wrapText="1"/>
    </xf>
    <xf numFmtId="43" fontId="14" fillId="4" borderId="4" xfId="1" applyFont="1" applyFill="1" applyBorder="1" applyAlignment="1" applyProtection="1">
      <alignment horizontal="left"/>
      <protection locked="0"/>
    </xf>
    <xf numFmtId="43" fontId="14" fillId="4" borderId="4" xfId="1" applyFont="1" applyFill="1" applyBorder="1" applyAlignment="1">
      <alignment horizontal="left"/>
    </xf>
    <xf numFmtId="39" fontId="14" fillId="4" borderId="4" xfId="3" applyNumberFormat="1" applyFont="1" applyFill="1" applyBorder="1" applyAlignment="1">
      <alignment horizontal="left"/>
    </xf>
    <xf numFmtId="2" fontId="14" fillId="4" borderId="4" xfId="0" applyNumberFormat="1" applyFont="1" applyFill="1" applyBorder="1" applyAlignment="1">
      <alignment horizontal="left"/>
    </xf>
    <xf numFmtId="0" fontId="15" fillId="4" borderId="4" xfId="0" applyFont="1" applyFill="1" applyBorder="1" applyAlignment="1">
      <alignment horizontal="left"/>
    </xf>
    <xf numFmtId="4" fontId="15" fillId="4" borderId="4" xfId="0" quotePrefix="1" applyNumberFormat="1" applyFont="1" applyFill="1" applyBorder="1"/>
    <xf numFmtId="0" fontId="15" fillId="4" borderId="6" xfId="0" applyFont="1" applyFill="1" applyBorder="1" applyAlignment="1">
      <alignment horizontal="left"/>
    </xf>
    <xf numFmtId="1" fontId="14" fillId="4" borderId="4" xfId="0" applyNumberFormat="1" applyFont="1" applyFill="1" applyBorder="1" applyAlignment="1">
      <alignment horizontal="left"/>
    </xf>
    <xf numFmtId="37" fontId="14" fillId="4" borderId="4" xfId="3" applyFont="1" applyFill="1" applyBorder="1" applyAlignment="1">
      <alignment horizontal="left"/>
    </xf>
    <xf numFmtId="39" fontId="16" fillId="4" borderId="4" xfId="3" applyNumberFormat="1" applyFont="1" applyFill="1" applyBorder="1" applyAlignment="1" applyProtection="1">
      <alignment horizontal="left" wrapText="1"/>
      <protection locked="0"/>
    </xf>
    <xf numFmtId="2" fontId="15" fillId="4" borderId="6" xfId="0" applyNumberFormat="1" applyFont="1" applyFill="1" applyBorder="1" applyAlignment="1">
      <alignment horizontal="left"/>
    </xf>
    <xf numFmtId="164" fontId="14" fillId="4" borderId="4" xfId="1" applyNumberFormat="1" applyFont="1" applyFill="1" applyBorder="1" applyAlignment="1">
      <alignment horizontal="left" wrapText="1"/>
    </xf>
    <xf numFmtId="4" fontId="15" fillId="4" borderId="5" xfId="0" applyNumberFormat="1" applyFont="1" applyFill="1" applyBorder="1"/>
    <xf numFmtId="0" fontId="15" fillId="4" borderId="5" xfId="0" applyFont="1" applyFill="1" applyBorder="1" applyAlignment="1">
      <alignment horizontal="left"/>
    </xf>
    <xf numFmtId="10" fontId="15" fillId="4" borderId="0" xfId="2" applyNumberFormat="1" applyFont="1" applyFill="1"/>
    <xf numFmtId="4" fontId="17" fillId="4" borderId="0" xfId="0" applyNumberFormat="1" applyFont="1" applyFill="1"/>
    <xf numFmtId="0" fontId="7" fillId="4" borderId="0" xfId="0" applyFont="1" applyFill="1" applyAlignment="1">
      <alignment horizontal="center" vertical="center" wrapText="1"/>
    </xf>
    <xf numFmtId="0" fontId="7" fillId="4" borderId="0" xfId="0" applyFont="1" applyFill="1" applyAlignment="1">
      <alignment vertical="center" wrapText="1"/>
    </xf>
    <xf numFmtId="0" fontId="7" fillId="4" borderId="18" xfId="0" applyFont="1" applyFill="1" applyBorder="1" applyAlignment="1">
      <alignment horizontal="center" vertical="center" wrapText="1"/>
    </xf>
    <xf numFmtId="0" fontId="7" fillId="4" borderId="14" xfId="0" applyFont="1" applyFill="1" applyBorder="1" applyAlignment="1">
      <alignment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left" vertical="center" wrapText="1"/>
    </xf>
    <xf numFmtId="0" fontId="7" fillId="4" borderId="23" xfId="0" applyFont="1" applyFill="1" applyBorder="1" applyAlignment="1">
      <alignment vertical="center" wrapText="1"/>
    </xf>
    <xf numFmtId="0" fontId="7" fillId="4" borderId="23" xfId="0" applyFont="1" applyFill="1" applyBorder="1" applyAlignment="1">
      <alignment horizontal="center" vertical="center" wrapText="1"/>
    </xf>
    <xf numFmtId="9" fontId="7" fillId="4" borderId="23" xfId="2" applyFont="1" applyFill="1" applyBorder="1" applyAlignment="1">
      <alignment horizontal="left" vertical="center" wrapText="1"/>
    </xf>
    <xf numFmtId="9" fontId="7" fillId="4" borderId="23" xfId="2" applyFont="1" applyFill="1" applyBorder="1" applyAlignment="1">
      <alignment horizontal="center" vertical="center" wrapText="1"/>
    </xf>
    <xf numFmtId="0" fontId="7" fillId="4" borderId="24"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25" xfId="0" applyFont="1" applyFill="1" applyBorder="1" applyAlignment="1">
      <alignment vertical="center" wrapText="1"/>
    </xf>
    <xf numFmtId="0" fontId="7" fillId="4" borderId="25"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18" xfId="0" applyFont="1" applyFill="1" applyBorder="1" applyAlignment="1">
      <alignment vertical="center" wrapText="1"/>
    </xf>
    <xf numFmtId="0" fontId="7" fillId="4" borderId="1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4" xfId="0" applyFont="1" applyFill="1" applyBorder="1" applyAlignment="1">
      <alignment horizontal="left" vertical="center" wrapText="1"/>
    </xf>
    <xf numFmtId="0" fontId="7" fillId="4" borderId="14" xfId="5" applyFont="1" applyFill="1" applyBorder="1" applyAlignment="1">
      <alignment vertical="center" wrapText="1"/>
    </xf>
    <xf numFmtId="0" fontId="7" fillId="4" borderId="14" xfId="5" applyFont="1" applyFill="1" applyBorder="1" applyAlignment="1">
      <alignment horizontal="center" vertical="center" wrapText="1"/>
    </xf>
    <xf numFmtId="9" fontId="7" fillId="4" borderId="14" xfId="5" applyNumberFormat="1" applyFont="1" applyFill="1" applyBorder="1" applyAlignment="1">
      <alignment horizontal="left" vertical="center" wrapText="1"/>
    </xf>
    <xf numFmtId="9" fontId="7" fillId="4" borderId="14" xfId="5" applyNumberFormat="1" applyFont="1" applyFill="1" applyBorder="1" applyAlignment="1">
      <alignment horizontal="left" vertical="center" wrapText="1" indent="2"/>
    </xf>
    <xf numFmtId="0" fontId="7" fillId="4" borderId="14" xfId="5" applyFont="1" applyFill="1" applyBorder="1" applyAlignment="1">
      <alignment horizontal="left" vertical="center" wrapText="1"/>
    </xf>
    <xf numFmtId="0" fontId="7" fillId="4" borderId="15" xfId="5" applyFont="1" applyFill="1" applyBorder="1" applyAlignment="1">
      <alignment horizontal="left" vertical="center" wrapText="1"/>
    </xf>
    <xf numFmtId="0" fontId="7" fillId="4" borderId="23" xfId="5" applyFont="1" applyFill="1" applyBorder="1" applyAlignment="1">
      <alignment vertical="center" wrapText="1"/>
    </xf>
    <xf numFmtId="0" fontId="7" fillId="4" borderId="23" xfId="5" applyFont="1" applyFill="1" applyBorder="1" applyAlignment="1">
      <alignment horizontal="center" vertical="center" wrapText="1"/>
    </xf>
    <xf numFmtId="9" fontId="7" fillId="4" borderId="23" xfId="5" applyNumberFormat="1" applyFont="1" applyFill="1" applyBorder="1" applyAlignment="1">
      <alignment horizontal="left" vertical="center" wrapText="1"/>
    </xf>
    <xf numFmtId="9" fontId="7" fillId="4" borderId="23" xfId="5" applyNumberFormat="1" applyFont="1" applyFill="1" applyBorder="1" applyAlignment="1">
      <alignment horizontal="left" vertical="center" wrapText="1" indent="2"/>
    </xf>
    <xf numFmtId="0" fontId="7" fillId="4" borderId="24" xfId="5" applyFont="1" applyFill="1" applyBorder="1" applyAlignment="1">
      <alignment horizontal="left" vertical="center" wrapText="1"/>
    </xf>
    <xf numFmtId="10" fontId="7" fillId="4" borderId="23" xfId="5" applyNumberFormat="1" applyFont="1" applyFill="1" applyBorder="1" applyAlignment="1">
      <alignment horizontal="left" vertical="center" wrapText="1" indent="2"/>
    </xf>
    <xf numFmtId="0" fontId="7" fillId="4" borderId="23" xfId="5" applyFont="1" applyFill="1" applyBorder="1" applyAlignment="1">
      <alignment horizontal="left" vertical="center" wrapText="1"/>
    </xf>
    <xf numFmtId="9" fontId="7" fillId="4" borderId="23" xfId="0" applyNumberFormat="1" applyFont="1" applyFill="1" applyBorder="1" applyAlignment="1">
      <alignment horizontal="center" vertical="center" wrapText="1"/>
    </xf>
    <xf numFmtId="9" fontId="7" fillId="4" borderId="23" xfId="0" applyNumberFormat="1" applyFont="1" applyFill="1" applyBorder="1" applyAlignment="1">
      <alignment horizontal="left" vertical="center" wrapText="1"/>
    </xf>
    <xf numFmtId="0" fontId="7" fillId="4" borderId="29" xfId="0" applyFont="1" applyFill="1" applyBorder="1" applyAlignment="1">
      <alignment vertical="center" wrapText="1"/>
    </xf>
    <xf numFmtId="0" fontId="7" fillId="4" borderId="29" xfId="5" applyFont="1" applyFill="1" applyBorder="1" applyAlignment="1">
      <alignment vertical="center" wrapText="1"/>
    </xf>
    <xf numFmtId="0" fontId="7" fillId="4" borderId="29" xfId="5" applyFont="1" applyFill="1" applyBorder="1" applyAlignment="1">
      <alignment horizontal="center" vertical="center" wrapText="1"/>
    </xf>
    <xf numFmtId="9" fontId="7" fillId="4" borderId="29" xfId="5" applyNumberFormat="1" applyFont="1" applyFill="1" applyBorder="1" applyAlignment="1">
      <alignment horizontal="left" vertical="center" wrapText="1"/>
    </xf>
    <xf numFmtId="9" fontId="7" fillId="4" borderId="29" xfId="5" applyNumberFormat="1" applyFont="1" applyFill="1" applyBorder="1" applyAlignment="1">
      <alignment horizontal="left" vertical="center" wrapText="1" indent="2"/>
    </xf>
    <xf numFmtId="0" fontId="14" fillId="4" borderId="23" xfId="0" applyFont="1" applyFill="1" applyBorder="1" applyAlignment="1">
      <alignment vertical="center" wrapText="1"/>
    </xf>
    <xf numFmtId="0" fontId="14" fillId="4" borderId="23" xfId="0" applyFont="1" applyFill="1" applyBorder="1" applyAlignment="1">
      <alignment horizontal="center" vertical="center" wrapText="1"/>
    </xf>
    <xf numFmtId="9" fontId="14" fillId="4" borderId="23" xfId="0" applyNumberFormat="1" applyFont="1" applyFill="1" applyBorder="1" applyAlignment="1">
      <alignment horizontal="left" vertical="center" wrapText="1"/>
    </xf>
    <xf numFmtId="9" fontId="7" fillId="4" borderId="23" xfId="1" applyNumberFormat="1" applyFont="1" applyFill="1" applyBorder="1" applyAlignment="1">
      <alignment horizontal="center" vertical="center" wrapText="1"/>
    </xf>
    <xf numFmtId="9" fontId="7" fillId="4" borderId="18" xfId="2" applyFont="1" applyFill="1" applyBorder="1" applyAlignment="1">
      <alignment horizontal="center" vertical="center" wrapText="1"/>
    </xf>
    <xf numFmtId="9" fontId="7" fillId="4" borderId="31" xfId="0" applyNumberFormat="1" applyFont="1" applyFill="1" applyBorder="1" applyAlignment="1">
      <alignment horizontal="center" vertical="center" wrapText="1"/>
    </xf>
    <xf numFmtId="10" fontId="7" fillId="4" borderId="31" xfId="0" applyNumberFormat="1" applyFont="1" applyFill="1" applyBorder="1" applyAlignment="1">
      <alignment horizontal="center" vertical="center" wrapText="1"/>
    </xf>
    <xf numFmtId="0" fontId="14" fillId="4" borderId="25" xfId="0" applyFont="1" applyFill="1" applyBorder="1" applyAlignment="1">
      <alignment vertical="center" wrapText="1"/>
    </xf>
    <xf numFmtId="0" fontId="19" fillId="4" borderId="25" xfId="0" applyFont="1" applyFill="1" applyBorder="1" applyAlignment="1">
      <alignment vertical="center" wrapText="1"/>
    </xf>
    <xf numFmtId="9" fontId="7" fillId="4" borderId="32" xfId="0" applyNumberFormat="1" applyFont="1" applyFill="1" applyBorder="1" applyAlignment="1">
      <alignment horizontal="center" vertical="center" wrapText="1"/>
    </xf>
    <xf numFmtId="0" fontId="14" fillId="4" borderId="23" xfId="0" applyFont="1" applyFill="1" applyBorder="1" applyAlignment="1">
      <alignment horizontal="left" vertical="center" wrapText="1"/>
    </xf>
    <xf numFmtId="0" fontId="7" fillId="4" borderId="23" xfId="0" applyFont="1" applyFill="1" applyBorder="1" applyAlignment="1">
      <alignment horizontal="left" vertical="center" wrapText="1" readingOrder="1"/>
    </xf>
    <xf numFmtId="9" fontId="7" fillId="4" borderId="24" xfId="0" applyNumberFormat="1" applyFont="1" applyFill="1" applyBorder="1" applyAlignment="1">
      <alignment horizontal="left" vertical="center" wrapText="1"/>
    </xf>
    <xf numFmtId="1" fontId="7" fillId="4" borderId="23" xfId="0" applyNumberFormat="1" applyFont="1" applyFill="1" applyBorder="1" applyAlignment="1">
      <alignment horizontal="center" vertical="center" wrapText="1"/>
    </xf>
    <xf numFmtId="1" fontId="14" fillId="4" borderId="23" xfId="0" applyNumberFormat="1" applyFont="1" applyFill="1" applyBorder="1" applyAlignment="1">
      <alignment horizontal="center" vertical="center" wrapText="1"/>
    </xf>
    <xf numFmtId="3" fontId="7" fillId="4" borderId="23" xfId="0" applyNumberFormat="1" applyFont="1" applyFill="1" applyBorder="1" applyAlignment="1">
      <alignment horizontal="left" vertical="center" wrapText="1"/>
    </xf>
    <xf numFmtId="0" fontId="7" fillId="4" borderId="21" xfId="0" applyFont="1" applyFill="1" applyBorder="1" applyAlignment="1">
      <alignment vertical="center" wrapText="1"/>
    </xf>
    <xf numFmtId="0" fontId="7" fillId="4" borderId="21" xfId="0" applyFont="1" applyFill="1" applyBorder="1" applyAlignment="1">
      <alignment horizontal="center" vertical="center" wrapText="1"/>
    </xf>
    <xf numFmtId="3" fontId="7" fillId="4" borderId="21" xfId="0" applyNumberFormat="1" applyFont="1" applyFill="1" applyBorder="1" applyAlignment="1">
      <alignment horizontal="left" vertical="center" wrapText="1"/>
    </xf>
    <xf numFmtId="9" fontId="7" fillId="4" borderId="33" xfId="0" applyNumberFormat="1" applyFont="1" applyFill="1" applyBorder="1" applyAlignment="1">
      <alignment horizontal="center" vertical="center" wrapText="1"/>
    </xf>
    <xf numFmtId="3" fontId="7" fillId="4" borderId="25" xfId="0" applyNumberFormat="1" applyFont="1" applyFill="1" applyBorder="1" applyAlignment="1">
      <alignment horizontal="left" vertical="center" wrapText="1"/>
    </xf>
    <xf numFmtId="1" fontId="7" fillId="4" borderId="25" xfId="0" applyNumberFormat="1" applyFont="1" applyFill="1" applyBorder="1" applyAlignment="1">
      <alignment horizontal="center" vertical="center" wrapText="1"/>
    </xf>
    <xf numFmtId="0" fontId="7" fillId="4" borderId="34" xfId="0" applyFont="1" applyFill="1" applyBorder="1" applyAlignment="1">
      <alignment horizontal="left" vertical="top" wrapText="1"/>
    </xf>
    <xf numFmtId="3" fontId="7" fillId="4" borderId="23" xfId="0" applyNumberFormat="1" applyFont="1" applyFill="1" applyBorder="1" applyAlignment="1">
      <alignment horizontal="center" vertical="center" wrapText="1"/>
    </xf>
    <xf numFmtId="0" fontId="7" fillId="4" borderId="35" xfId="0" applyFont="1" applyFill="1" applyBorder="1" applyAlignment="1">
      <alignment horizontal="left" vertical="top" wrapText="1"/>
    </xf>
    <xf numFmtId="0" fontId="7" fillId="4" borderId="0" xfId="0" applyFont="1" applyFill="1" applyAlignment="1">
      <alignment horizontal="left" vertical="top" wrapText="1"/>
    </xf>
    <xf numFmtId="0" fontId="7" fillId="4" borderId="23" xfId="2" applyNumberFormat="1" applyFont="1" applyFill="1" applyBorder="1" applyAlignment="1">
      <alignment horizontal="center" vertical="center" wrapText="1"/>
    </xf>
    <xf numFmtId="0" fontId="7" fillId="4" borderId="36" xfId="0" applyFont="1" applyFill="1" applyBorder="1" applyAlignment="1">
      <alignment horizontal="left" vertical="top" wrapText="1"/>
    </xf>
    <xf numFmtId="3" fontId="7" fillId="4" borderId="18" xfId="0" applyNumberFormat="1" applyFont="1" applyFill="1" applyBorder="1" applyAlignment="1">
      <alignment horizontal="left" vertical="center" wrapText="1"/>
    </xf>
    <xf numFmtId="0" fontId="7" fillId="4" borderId="18" xfId="2" applyNumberFormat="1" applyFont="1" applyFill="1" applyBorder="1" applyAlignment="1">
      <alignment horizontal="center" vertical="center" wrapText="1"/>
    </xf>
    <xf numFmtId="9" fontId="7" fillId="4" borderId="0" xfId="0" applyNumberFormat="1" applyFont="1" applyFill="1" applyAlignment="1">
      <alignment horizontal="center" vertical="center" wrapText="1"/>
    </xf>
    <xf numFmtId="4" fontId="7" fillId="4" borderId="0" xfId="0" applyNumberFormat="1" applyFont="1" applyFill="1" applyAlignment="1">
      <alignment horizontal="center" vertical="top" wrapText="1"/>
    </xf>
    <xf numFmtId="1" fontId="7" fillId="4" borderId="23" xfId="0" applyNumberFormat="1" applyFont="1" applyFill="1" applyBorder="1" applyAlignment="1">
      <alignment horizontal="left" vertical="center" wrapText="1"/>
    </xf>
    <xf numFmtId="0" fontId="8" fillId="5" borderId="18" xfId="0" applyFont="1" applyFill="1" applyBorder="1" applyAlignment="1">
      <alignment horizontal="center" vertical="center" wrapText="1"/>
    </xf>
    <xf numFmtId="0" fontId="7" fillId="4" borderId="0" xfId="0" applyFont="1" applyFill="1" applyAlignment="1">
      <alignment horizontal="center" vertical="top" wrapText="1"/>
    </xf>
    <xf numFmtId="166" fontId="7" fillId="4" borderId="0" xfId="0" applyNumberFormat="1" applyFont="1" applyFill="1" applyAlignment="1">
      <alignment horizontal="center" vertical="top" wrapText="1"/>
    </xf>
    <xf numFmtId="0" fontId="7" fillId="4" borderId="38" xfId="0" applyFont="1" applyFill="1" applyBorder="1" applyAlignment="1">
      <alignment horizontal="left" vertical="top" wrapText="1"/>
    </xf>
    <xf numFmtId="0" fontId="7" fillId="4" borderId="6" xfId="0" applyFont="1" applyFill="1" applyBorder="1" applyAlignment="1">
      <alignment horizontal="center" vertical="center" wrapText="1"/>
    </xf>
    <xf numFmtId="0" fontId="7" fillId="4" borderId="29" xfId="0" applyFont="1" applyFill="1" applyBorder="1" applyAlignment="1">
      <alignment horizontal="left" vertical="center" wrapText="1"/>
    </xf>
    <xf numFmtId="3" fontId="7" fillId="4" borderId="29" xfId="0" applyNumberFormat="1" applyFont="1" applyFill="1" applyBorder="1" applyAlignment="1">
      <alignment horizontal="left" vertical="center" wrapText="1"/>
    </xf>
    <xf numFmtId="3" fontId="7" fillId="4" borderId="29" xfId="0" applyNumberFormat="1" applyFont="1" applyFill="1" applyBorder="1" applyAlignment="1">
      <alignment horizontal="center" vertical="center" wrapText="1"/>
    </xf>
    <xf numFmtId="0" fontId="14" fillId="4" borderId="29" xfId="0" applyFont="1" applyFill="1" applyBorder="1" applyAlignment="1">
      <alignment vertical="top" wrapText="1"/>
    </xf>
    <xf numFmtId="0" fontId="14" fillId="4" borderId="39" xfId="0" applyFont="1" applyFill="1" applyBorder="1" applyAlignment="1">
      <alignment horizontal="left" vertical="center" wrapText="1"/>
    </xf>
    <xf numFmtId="0" fontId="7" fillId="4" borderId="6" xfId="0" applyFont="1" applyFill="1" applyBorder="1" applyAlignment="1">
      <alignment horizontal="left" vertical="top" wrapText="1"/>
    </xf>
    <xf numFmtId="0" fontId="8" fillId="5" borderId="25" xfId="0" applyFont="1" applyFill="1" applyBorder="1" applyAlignment="1">
      <alignment horizontal="center" vertical="center" wrapText="1"/>
    </xf>
    <xf numFmtId="4" fontId="8" fillId="5" borderId="2" xfId="0" applyNumberFormat="1" applyFont="1" applyFill="1" applyBorder="1" applyAlignment="1">
      <alignment horizontal="center" vertical="center"/>
    </xf>
    <xf numFmtId="37" fontId="8" fillId="5" borderId="2" xfId="3" applyFont="1" applyFill="1" applyBorder="1" applyAlignment="1">
      <alignment horizontal="center" vertical="center" wrapText="1"/>
    </xf>
    <xf numFmtId="167" fontId="8" fillId="5" borderId="42" xfId="0" applyNumberFormat="1" applyFont="1" applyFill="1" applyBorder="1" applyAlignment="1" applyProtection="1">
      <alignment horizontal="center" vertical="center" wrapText="1"/>
      <protection locked="0"/>
    </xf>
    <xf numFmtId="40" fontId="8" fillId="5" borderId="43" xfId="0" applyNumberFormat="1" applyFont="1" applyFill="1" applyBorder="1" applyAlignment="1" applyProtection="1">
      <alignment horizontal="center" vertical="center" wrapText="1"/>
      <protection locked="0"/>
    </xf>
    <xf numFmtId="4" fontId="8" fillId="5" borderId="43" xfId="3" applyNumberFormat="1" applyFont="1" applyFill="1" applyBorder="1" applyAlignment="1">
      <alignment horizontal="center" vertical="center" wrapText="1"/>
    </xf>
    <xf numFmtId="4" fontId="8" fillId="5" borderId="44" xfId="3" applyNumberFormat="1" applyFont="1" applyFill="1" applyBorder="1" applyAlignment="1">
      <alignment horizontal="center" vertical="center" wrapText="1"/>
    </xf>
    <xf numFmtId="4" fontId="8" fillId="5" borderId="2" xfId="3" applyNumberFormat="1" applyFont="1" applyFill="1" applyBorder="1" applyAlignment="1">
      <alignment horizontal="center" vertical="center" wrapText="1"/>
    </xf>
    <xf numFmtId="4" fontId="8" fillId="5" borderId="42" xfId="3" applyNumberFormat="1" applyFont="1" applyFill="1" applyBorder="1" applyAlignment="1">
      <alignment horizontal="center" vertical="center" wrapText="1"/>
    </xf>
    <xf numFmtId="167" fontId="8" fillId="5" borderId="45" xfId="3" applyNumberFormat="1" applyFont="1" applyFill="1" applyBorder="1" applyAlignment="1">
      <alignment horizontal="center" vertical="center" wrapText="1"/>
    </xf>
    <xf numFmtId="0" fontId="8" fillId="5" borderId="2" xfId="3" applyNumberFormat="1" applyFont="1" applyFill="1" applyBorder="1" applyAlignment="1">
      <alignment horizontal="center" vertical="center" wrapText="1"/>
    </xf>
    <xf numFmtId="0" fontId="8" fillId="5" borderId="42" xfId="3" applyNumberFormat="1" applyFont="1" applyFill="1" applyBorder="1" applyAlignment="1">
      <alignment horizontal="center" vertical="center" wrapText="1"/>
    </xf>
    <xf numFmtId="0" fontId="8" fillId="5" borderId="43" xfId="3" applyNumberFormat="1" applyFont="1" applyFill="1" applyBorder="1" applyAlignment="1">
      <alignment horizontal="center" vertical="center" wrapText="1"/>
    </xf>
    <xf numFmtId="0" fontId="8" fillId="5" borderId="44" xfId="3" applyNumberFormat="1" applyFont="1" applyFill="1" applyBorder="1" applyAlignment="1">
      <alignment horizontal="center" vertical="center" wrapText="1"/>
    </xf>
    <xf numFmtId="167" fontId="8" fillId="5" borderId="2" xfId="3" applyNumberFormat="1" applyFont="1" applyFill="1" applyBorder="1" applyAlignment="1">
      <alignment horizontal="center" vertical="center" wrapText="1"/>
    </xf>
    <xf numFmtId="167" fontId="8" fillId="5" borderId="10" xfId="3" applyNumberFormat="1" applyFont="1" applyFill="1" applyBorder="1" applyAlignment="1">
      <alignment horizontal="center" vertical="center" wrapText="1"/>
    </xf>
    <xf numFmtId="10" fontId="8" fillId="5" borderId="49" xfId="2" applyNumberFormat="1" applyFont="1" applyFill="1" applyBorder="1" applyAlignment="1">
      <alignment horizontal="center" vertical="center"/>
    </xf>
    <xf numFmtId="0" fontId="7" fillId="4" borderId="0" xfId="4" applyFont="1" applyFill="1" applyAlignment="1">
      <alignment horizontal="center" vertical="center"/>
    </xf>
    <xf numFmtId="0" fontId="7" fillId="4" borderId="0" xfId="4" applyFont="1" applyFill="1" applyAlignment="1">
      <alignment horizontal="center"/>
    </xf>
    <xf numFmtId="0" fontId="8" fillId="5" borderId="26" xfId="4" applyFont="1" applyFill="1" applyBorder="1" applyAlignment="1">
      <alignment horizontal="center" vertical="center" wrapText="1"/>
    </xf>
    <xf numFmtId="0" fontId="8" fillId="5" borderId="41" xfId="4" applyFont="1" applyFill="1" applyBorder="1" applyAlignment="1">
      <alignment horizontal="center" vertical="center" wrapText="1"/>
    </xf>
    <xf numFmtId="0" fontId="8" fillId="5" borderId="40" xfId="4" applyFont="1" applyFill="1" applyBorder="1" applyAlignment="1">
      <alignment horizontal="center" vertical="center"/>
    </xf>
    <xf numFmtId="0" fontId="8" fillId="5" borderId="5" xfId="4" applyFont="1" applyFill="1" applyBorder="1" applyAlignment="1">
      <alignment horizontal="center" vertical="center"/>
    </xf>
    <xf numFmtId="0" fontId="8" fillId="5" borderId="40" xfId="4" applyFont="1" applyFill="1" applyBorder="1" applyAlignment="1">
      <alignment horizontal="center" vertical="center" wrapText="1"/>
    </xf>
    <xf numFmtId="0" fontId="8" fillId="5" borderId="5" xfId="4" applyFont="1" applyFill="1" applyBorder="1" applyAlignment="1">
      <alignment horizontal="center" vertical="center" wrapText="1"/>
    </xf>
    <xf numFmtId="0" fontId="8" fillId="5" borderId="46" xfId="4" applyFont="1" applyFill="1" applyBorder="1" applyAlignment="1">
      <alignment horizontal="center" vertical="center" wrapText="1"/>
    </xf>
    <xf numFmtId="0" fontId="8" fillId="5" borderId="47" xfId="4" applyFont="1" applyFill="1" applyBorder="1" applyAlignment="1">
      <alignment horizontal="center" vertical="center" wrapText="1"/>
    </xf>
    <xf numFmtId="0" fontId="7" fillId="4" borderId="0" xfId="4" applyFont="1" applyFill="1" applyAlignment="1">
      <alignment horizontal="center" vertical="center" wrapText="1"/>
    </xf>
    <xf numFmtId="0" fontId="7" fillId="4" borderId="1" xfId="4" applyFont="1" applyFill="1" applyBorder="1" applyAlignment="1">
      <alignment horizontal="center" vertical="center"/>
    </xf>
    <xf numFmtId="0" fontId="8" fillId="5" borderId="48" xfId="4" applyFont="1" applyFill="1" applyBorder="1" applyAlignment="1">
      <alignment horizontal="center" vertical="center" wrapText="1"/>
    </xf>
    <xf numFmtId="4" fontId="14" fillId="4" borderId="0" xfId="0" applyNumberFormat="1" applyFont="1" applyFill="1" applyAlignment="1">
      <alignment horizontal="center"/>
    </xf>
    <xf numFmtId="4" fontId="14" fillId="4" borderId="0" xfId="0" applyNumberFormat="1" applyFont="1" applyFill="1" applyAlignment="1">
      <alignment horizontal="center" vertical="center" wrapText="1"/>
    </xf>
    <xf numFmtId="4" fontId="14" fillId="4" borderId="0" xfId="0" applyNumberFormat="1" applyFont="1" applyFill="1" applyAlignment="1">
      <alignment horizontal="center" vertical="center"/>
    </xf>
    <xf numFmtId="4" fontId="14" fillId="4" borderId="1" xfId="0" applyNumberFormat="1" applyFont="1" applyFill="1" applyBorder="1" applyAlignment="1">
      <alignment horizontal="center" vertical="center"/>
    </xf>
    <xf numFmtId="0" fontId="7" fillId="4" borderId="16" xfId="0" applyFont="1" applyFill="1" applyBorder="1" applyAlignment="1">
      <alignment horizontal="left" vertical="top" wrapText="1"/>
    </xf>
    <xf numFmtId="0" fontId="7" fillId="4" borderId="23" xfId="0" applyFont="1" applyFill="1" applyBorder="1" applyAlignment="1">
      <alignment horizontal="left" vertical="top" wrapText="1"/>
    </xf>
    <xf numFmtId="4" fontId="7" fillId="2" borderId="23" xfId="0" applyNumberFormat="1" applyFont="1" applyFill="1" applyBorder="1" applyAlignment="1">
      <alignment horizontal="center" vertical="top" wrapText="1"/>
    </xf>
    <xf numFmtId="0" fontId="7" fillId="4" borderId="0" xfId="0" applyFont="1" applyFill="1" applyAlignment="1">
      <alignment horizontal="center" vertical="center" wrapText="1"/>
    </xf>
    <xf numFmtId="0" fontId="7" fillId="4" borderId="1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34" xfId="0" applyFont="1" applyFill="1" applyBorder="1" applyAlignment="1">
      <alignment horizontal="left" vertical="top" wrapText="1"/>
    </xf>
    <xf numFmtId="0" fontId="7" fillId="4" borderId="35" xfId="0" applyFont="1" applyFill="1" applyBorder="1" applyAlignment="1">
      <alignment horizontal="left" vertical="top" wrapText="1"/>
    </xf>
    <xf numFmtId="166" fontId="7" fillId="2" borderId="21" xfId="0" applyNumberFormat="1" applyFont="1" applyFill="1" applyBorder="1" applyAlignment="1">
      <alignment horizontal="center" vertical="top" wrapText="1"/>
    </xf>
    <xf numFmtId="0" fontId="8" fillId="3" borderId="37" xfId="0" applyFont="1" applyFill="1" applyBorder="1" applyAlignment="1">
      <alignment horizontal="center" vertical="center" wrapText="1"/>
    </xf>
    <xf numFmtId="0" fontId="7" fillId="4" borderId="27" xfId="0"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37" xfId="0" applyFont="1" applyFill="1" applyBorder="1" applyAlignment="1">
      <alignment horizontal="center" vertical="top" wrapText="1"/>
    </xf>
    <xf numFmtId="166" fontId="7" fillId="2" borderId="14" xfId="0" applyNumberFormat="1" applyFont="1" applyFill="1" applyBorder="1" applyAlignment="1">
      <alignment horizontal="center" vertical="top" wrapText="1"/>
    </xf>
    <xf numFmtId="166" fontId="7" fillId="2" borderId="23" xfId="0" applyNumberFormat="1" applyFont="1" applyFill="1" applyBorder="1" applyAlignment="1">
      <alignment horizontal="center" vertical="top" wrapText="1"/>
    </xf>
    <xf numFmtId="166" fontId="7" fillId="2" borderId="25" xfId="0" applyNumberFormat="1" applyFont="1" applyFill="1" applyBorder="1" applyAlignment="1">
      <alignment horizontal="center" vertical="top" wrapText="1"/>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166" fontId="7" fillId="2" borderId="11" xfId="0" applyNumberFormat="1" applyFont="1" applyFill="1" applyBorder="1" applyAlignment="1">
      <alignment horizontal="center" vertical="top" wrapText="1"/>
    </xf>
    <xf numFmtId="166" fontId="7" fillId="2" borderId="0" xfId="0" applyNumberFormat="1" applyFont="1" applyFill="1" applyAlignment="1">
      <alignment horizontal="center" vertical="top" wrapText="1"/>
    </xf>
    <xf numFmtId="166" fontId="7" fillId="2" borderId="36" xfId="0" applyNumberFormat="1" applyFont="1" applyFill="1" applyBorder="1" applyAlignment="1">
      <alignment horizontal="center" vertical="top" wrapText="1"/>
    </xf>
    <xf numFmtId="4" fontId="7" fillId="4" borderId="0" xfId="0" applyNumberFormat="1" applyFont="1" applyFill="1" applyAlignment="1">
      <alignment horizontal="center" vertical="center" wrapText="1"/>
    </xf>
    <xf numFmtId="166" fontId="7" fillId="2" borderId="50" xfId="0" applyNumberFormat="1" applyFont="1" applyFill="1" applyBorder="1" applyAlignment="1">
      <alignment horizontal="center" vertical="top" wrapText="1"/>
    </xf>
    <xf numFmtId="166" fontId="7" fillId="2" borderId="29" xfId="0" applyNumberFormat="1" applyFont="1" applyFill="1" applyBorder="1" applyAlignment="1">
      <alignment horizontal="center" vertical="top" wrapText="1"/>
    </xf>
  </cellXfs>
  <cellStyles count="6">
    <cellStyle name="Millares" xfId="1" builtinId="3"/>
    <cellStyle name="Normal" xfId="0" builtinId="0"/>
    <cellStyle name="Normal 4" xfId="5" xr:uid="{ACD13459-1760-41D4-A07C-0B2A23BFB00A}"/>
    <cellStyle name="Normal_Estiming2000ajustado" xfId="4" xr:uid="{8EC2D6E8-8077-4531-9601-569808CCFD1E}"/>
    <cellStyle name="Normal_presup2000ajustado" xfId="3" xr:uid="{795D58BC-7B6F-42EC-8BC1-09C414EC9B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153670</xdr:colOff>
      <xdr:row>0</xdr:row>
      <xdr:rowOff>85725</xdr:rowOff>
    </xdr:from>
    <xdr:to>
      <xdr:col>1</xdr:col>
      <xdr:colOff>470919</xdr:colOff>
      <xdr:row>3</xdr:row>
      <xdr:rowOff>271145</xdr:rowOff>
    </xdr:to>
    <xdr:pic>
      <xdr:nvPicPr>
        <xdr:cNvPr id="2" name="Imagen 1">
          <a:extLst>
            <a:ext uri="{FF2B5EF4-FFF2-40B4-BE49-F238E27FC236}">
              <a16:creationId xmlns:a16="http://schemas.microsoft.com/office/drawing/2014/main" id="{575EAE37-4ACA-404F-B663-09B3EB913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670" y="85725"/>
          <a:ext cx="1965074" cy="699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248181</xdr:colOff>
      <xdr:row>0</xdr:row>
      <xdr:rowOff>133231</xdr:rowOff>
    </xdr:from>
    <xdr:to>
      <xdr:col>1</xdr:col>
      <xdr:colOff>1871246</xdr:colOff>
      <xdr:row>3</xdr:row>
      <xdr:rowOff>237066</xdr:rowOff>
    </xdr:to>
    <xdr:pic>
      <xdr:nvPicPr>
        <xdr:cNvPr id="2" name="Imagen 1">
          <a:extLst>
            <a:ext uri="{FF2B5EF4-FFF2-40B4-BE49-F238E27FC236}">
              <a16:creationId xmlns:a16="http://schemas.microsoft.com/office/drawing/2014/main" id="{114AB6BD-512A-4AF4-90D9-372B24FBB7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181" y="133231"/>
          <a:ext cx="2342732" cy="84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261257</xdr:colOff>
      <xdr:row>0</xdr:row>
      <xdr:rowOff>130629</xdr:rowOff>
    </xdr:from>
    <xdr:to>
      <xdr:col>2</xdr:col>
      <xdr:colOff>849085</xdr:colOff>
      <xdr:row>4</xdr:row>
      <xdr:rowOff>55152</xdr:rowOff>
    </xdr:to>
    <xdr:pic>
      <xdr:nvPicPr>
        <xdr:cNvPr id="2" name="Imagen 1">
          <a:extLst>
            <a:ext uri="{FF2B5EF4-FFF2-40B4-BE49-F238E27FC236}">
              <a16:creationId xmlns:a16="http://schemas.microsoft.com/office/drawing/2014/main" id="{EC682DBB-B34F-4F82-A772-9BA620E9F4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257" y="130629"/>
          <a:ext cx="2884714" cy="1034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navarro\Documents\Presupuesto%202025\Formulaci&#243;n%20Presup%202025\Aprobaci&#243;n\Presupuesto%20Inicial%202025-Aprobado%20y%20ajustado%20final.xlsx" TargetMode="External"/><Relationship Id="rId1" Type="http://schemas.openxmlformats.org/officeDocument/2006/relationships/externalLinkPath" Target="/Users/Mnavarro/Documents/Presupuesto%202025/Formulaci&#243;n%20Presup%202025/Aprobaci&#243;n/Presupuesto%20Inicial%202025-Aprobado%20y%20ajustado%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navarro/Documents/Presupuesto%202024/formulaci&#243;n%202024/Doc%20a%20la%20Contralor&#237;a/Presupuesto%20Inicial%202024%20(justificaci&#243;n%20d%20eingresos%20y%20egresos)%20STA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navarro\Documents\Presupuesto%202023\Formulaci&#243;n%20Presup-2023\Aprobaciones\Presupuesto%20Inicial%202023-%20ajustado%20STAP.xlsx" TargetMode="External"/><Relationship Id="rId1" Type="http://schemas.openxmlformats.org/officeDocument/2006/relationships/externalLinkPath" Target="/Users/Mnavarro/Documents/Presupuesto%202023/Formulaci&#243;n%20Presup-2023/Aprobaciones/Presupuesto%20Inicial%202023-%20ajustado%20STAP.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navarro\Documents\Presupuesto%202025\Formulaci&#243;n%20Presup%202025\ultimo%20avance\Presupuesto%20Inicial%202025.xlsx" TargetMode="External"/><Relationship Id="rId1" Type="http://schemas.openxmlformats.org/officeDocument/2006/relationships/externalLinkPath" Target="/Users/Mnavarro/Documents/Presupuesto%202025/Formulaci&#243;n%20Presup%202025/ultimo%20avance/Presupuesto%20Inicial%20202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Mnavarro\Documents\Presupuesto%202025\Formulaci&#243;n%20Presup%202025\Egresos\SAP\Matriz%20Presupuesto%20de%20Egresos%202025%20SAP.xlsx" TargetMode="External"/><Relationship Id="rId1" Type="http://schemas.openxmlformats.org/officeDocument/2006/relationships/externalLinkPath" Target="/Users/Mnavarro/Documents/Presupuesto%202025/Formulaci&#243;n%20Presup%202025/Egresos/SAP/Matriz%20Presupuesto%20de%20Egresos%202025%20SAP.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Mnavarro\Documents\Presupuesto%202024\formulaci&#243;n%202024\Aprobaciones\Presupuesto%20Inicial%202024-aprobado.xlsx" TargetMode="External"/><Relationship Id="rId1" Type="http://schemas.openxmlformats.org/officeDocument/2006/relationships/externalLinkPath" Target="/Users/Mnavarro/Documents/Presupuesto%202024/formulaci&#243;n%202024/Aprobaciones/Presupuesto%20Inicial%202024-aprob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2025"/>
      <sheetName val="Detalle de ingresos"/>
      <sheetName val="Egresos por programa"/>
      <sheetName val="Egresos 2025"/>
      <sheetName val="Egresos 2025 por programa"/>
      <sheetName val="Variación Ingre 2024-025"/>
      <sheetName val="Variación de egresos 2024-2025"/>
      <sheetName val="Estado de Origen y Aplicación"/>
      <sheetName val="Aplicación Recursos Superávit"/>
      <sheetName val="Presupuesto plurianual"/>
      <sheetName val="Clasificación Económica"/>
      <sheetName val="Límite del gasto"/>
      <sheetName val="Detalle de Superávit"/>
    </sheetNames>
    <sheetDataSet>
      <sheetData sheetId="0">
        <row r="15">
          <cell r="A15" t="str">
            <v>1.3.1.2.03.01.0.0.000</v>
          </cell>
          <cell r="I15">
            <v>3946830130</v>
          </cell>
        </row>
        <row r="18">
          <cell r="A18" t="str">
            <v>1.3.1.2.04.01.0.0.000</v>
          </cell>
          <cell r="D18">
            <v>2368800</v>
          </cell>
        </row>
        <row r="20">
          <cell r="A20" t="str">
            <v>1.3.1.2.09.09.0.0.000</v>
          </cell>
          <cell r="D20">
            <v>820438946.70525002</v>
          </cell>
        </row>
        <row r="23">
          <cell r="I23">
            <v>278724340.13</v>
          </cell>
        </row>
        <row r="31">
          <cell r="A31" t="str">
            <v>1.3.2.3.01.06.0.0.000</v>
          </cell>
        </row>
        <row r="34">
          <cell r="I34">
            <v>10733845095</v>
          </cell>
        </row>
        <row r="39">
          <cell r="D39">
            <v>1238389957.8286939</v>
          </cell>
        </row>
        <row r="41">
          <cell r="I41">
            <v>7129205877.5900002</v>
          </cell>
        </row>
        <row r="44">
          <cell r="A44" t="str">
            <v>1.3.2.3.03.01.0.0.000</v>
          </cell>
        </row>
        <row r="47">
          <cell r="I47">
            <v>251948805.86000001</v>
          </cell>
        </row>
        <row r="50">
          <cell r="A50" t="str">
            <v xml:space="preserve">1.3.9.9.00.00.0.0.000 </v>
          </cell>
        </row>
        <row r="51">
          <cell r="D51">
            <v>183722427.00302708</v>
          </cell>
        </row>
        <row r="52">
          <cell r="D52">
            <v>10500000</v>
          </cell>
        </row>
        <row r="53">
          <cell r="I53">
            <v>780826400</v>
          </cell>
        </row>
        <row r="58">
          <cell r="D58">
            <v>48417126</v>
          </cell>
        </row>
        <row r="65">
          <cell r="D65">
            <v>216000000</v>
          </cell>
        </row>
        <row r="70">
          <cell r="D70">
            <v>328467089.93231028</v>
          </cell>
        </row>
        <row r="71">
          <cell r="I71">
            <v>15165872097.440001</v>
          </cell>
        </row>
        <row r="75">
          <cell r="D75">
            <v>500000000</v>
          </cell>
        </row>
        <row r="76">
          <cell r="D76">
            <v>2941967916</v>
          </cell>
        </row>
        <row r="83">
          <cell r="I83">
            <v>5859151744.2799997</v>
          </cell>
        </row>
        <row r="87">
          <cell r="D87">
            <v>2500000000</v>
          </cell>
        </row>
        <row r="90">
          <cell r="D90">
            <v>97000000</v>
          </cell>
        </row>
        <row r="91">
          <cell r="D91">
            <v>15500000</v>
          </cell>
        </row>
        <row r="95">
          <cell r="D95">
            <v>425000000</v>
          </cell>
        </row>
        <row r="96">
          <cell r="D96">
            <v>490000000</v>
          </cell>
        </row>
        <row r="97">
          <cell r="B97" t="str">
            <v>Superávit Específico Ley 10427 (PRDU-Caribe)</v>
          </cell>
          <cell r="D97">
            <v>350000000</v>
          </cell>
        </row>
        <row r="99">
          <cell r="D99">
            <v>20000000</v>
          </cell>
        </row>
        <row r="102">
          <cell r="E102">
            <v>4107701500.48</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s 2024"/>
      <sheetName val="Estado de Origen y aplicación"/>
      <sheetName val="Detalle Ingresos 2024"/>
      <sheetName val="tablad e ingresos"/>
      <sheetName val="ingresos"/>
      <sheetName val="Historico ing 5 años"/>
      <sheetName val="Historico ejecución 2022-2024"/>
      <sheetName val="Hoja2"/>
      <sheetName val="Detalle Ingresos en miles"/>
      <sheetName val="Costeo SAP 2024"/>
      <sheetName val="detalle ley 8448"/>
      <sheetName val="Límite del Gasto"/>
      <sheetName val="Hoja7"/>
      <sheetName val="Egresos 2024 CC"/>
      <sheetName val="Clasificación Económica"/>
      <sheetName val="cert STAP"/>
      <sheetName val="detalle para junta"/>
      <sheetName val="Egreso por programa 23 (set)"/>
      <sheetName val="cuadros"/>
      <sheetName val="Ley 8448"/>
      <sheetName val="distribución ley 8448"/>
      <sheetName val="Proyectos"/>
      <sheetName val="Hoja6"/>
      <sheetName val="Amortización"/>
      <sheetName val="Plan Presupuesto 2024"/>
      <sheetName val="Servicios"/>
      <sheetName val="Materiales"/>
      <sheetName val="bienes duraderos"/>
      <sheetName val="Obras Urbanísticas"/>
      <sheetName val="cuadros de serv de gestión"/>
      <sheetName val="transf de capital"/>
      <sheetName val="Remuneraciones"/>
      <sheetName val="Egresos INVU SAP"/>
      <sheetName val="Hoja4"/>
      <sheetName val="ingresos y egresos pendi"/>
      <sheetName val="Egresos INVU SAP en miles"/>
      <sheetName val="composición"/>
      <sheetName val="gráfico de participación"/>
      <sheetName val="Historico de egresos 5 años"/>
      <sheetName val="Ejecución 2022-2024"/>
      <sheetName val="Hoja3"/>
      <sheetName val="Ejecución 2022-Pres 2024"/>
      <sheetName val="Variación Ingresos SAP"/>
      <sheetName val="Variación egresos sap"/>
      <sheetName val="productos"/>
      <sheetName val="Egresos 2021"/>
      <sheetName val="Recursos BANHVI"/>
      <sheetName val="Detalle de equilibrio"/>
      <sheetName val="cuadro de equilibrio"/>
      <sheetName val="Var  de egresos 2024-2023 just "/>
      <sheetName val="Variación 2023-2024"/>
      <sheetName val="Variación de ingresos 23-22"/>
      <sheetName val="Variación ingre 2024-2023"/>
      <sheetName val="superavit Banvhi"/>
      <sheetName val="Costeo SAP"/>
      <sheetName val="Resumen de Ingresos"/>
      <sheetName val="Estruc de egresos por programa"/>
      <sheetName val="Hoja11"/>
      <sheetName val="estructura"/>
      <sheetName val="Detalle de Superávit"/>
      <sheetName val="Clasificador Funcional"/>
      <sheetName val="Hoja1"/>
    </sheetNames>
    <sheetDataSet>
      <sheetData sheetId="0">
        <row r="31">
          <cell r="B31" t="str">
            <v>Intereses sobre títulos valores de Inst.Pub.Financieras</v>
          </cell>
        </row>
        <row r="38">
          <cell r="B38" t="str">
            <v>Intereses y comisiones sobre préstamos al Sector Privado</v>
          </cell>
        </row>
        <row r="76">
          <cell r="B76" t="str">
            <v>Transferencias de Capital de Instituciones Públicas financieras</v>
          </cell>
        </row>
        <row r="82">
          <cell r="B82" t="str">
            <v>Préstamos directos del Sector Privado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2023"/>
      <sheetName val="Egresos 2023 por Centro de cos "/>
      <sheetName val="Egresos pro programa"/>
      <sheetName val="Detalle de superávit"/>
      <sheetName val="Egresos 2021"/>
      <sheetName val="Recursos BANHVI"/>
      <sheetName val="Límite del Gasto"/>
      <sheetName val="Detalle de equilibrio"/>
      <sheetName val="Estado de Origen y Aplicación"/>
      <sheetName val="Variación de ingresos 23-22"/>
      <sheetName val="Variación de egresos 2023-2022"/>
      <sheetName val="superavit Banvhi"/>
      <sheetName val="Costeo SAP"/>
      <sheetName val="Resumen de Ingresos"/>
      <sheetName val="Resumen de Egresos"/>
      <sheetName val="Clasificación Económica"/>
      <sheetName val="Clasificador Funcional"/>
      <sheetName val="Hoja1"/>
    </sheetNames>
    <sheetDataSet>
      <sheetData sheetId="0">
        <row r="83">
          <cell r="B83" t="str">
            <v>Superávit libre</v>
          </cell>
        </row>
        <row r="84">
          <cell r="B84"/>
        </row>
        <row r="86">
          <cell r="B86" t="str">
            <v>Superávit BANHVI</v>
          </cell>
        </row>
        <row r="87">
          <cell r="B87" t="str">
            <v>Superávit Específico Aporte Clientes BFV</v>
          </cell>
        </row>
        <row r="91">
          <cell r="B91" t="str">
            <v>Superávit Específico  Ley 9344</v>
          </cell>
        </row>
        <row r="94">
          <cell r="B94" t="str">
            <v>Superávit Específico Ley 8448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2025"/>
      <sheetName val="detalle de ingresos"/>
      <sheetName val="Egresos 2025"/>
      <sheetName val="Variación Ingre 2024-025"/>
      <sheetName val="Variación de egresos 2024-2025"/>
      <sheetName val="Hoja3"/>
      <sheetName val="Ingresos por Programa"/>
      <sheetName val="Ing-Informe"/>
      <sheetName val="Ing por partida"/>
      <sheetName val="Estado de Origen y aplicación"/>
      <sheetName val="Hoja2"/>
      <sheetName val="Aplicación Recursos Superávit"/>
      <sheetName val="Presupuesto Plurianual"/>
      <sheetName val="Clasificación económica"/>
      <sheetName val="Equilibrio Presupuestario"/>
      <sheetName val="Egresos PP"/>
      <sheetName val="Egresos por porgrama"/>
      <sheetName val="Detalle de Egres por Prog"/>
      <sheetName val="Hoja5"/>
      <sheetName val="proyectos admi"/>
      <sheetName val="amortización"/>
      <sheetName val="resumens de egrsos por porgrama"/>
      <sheetName val="bienes duraderos"/>
      <sheetName val="Materiales"/>
      <sheetName val="deta egre infor"/>
      <sheetName val="cuadros informe"/>
      <sheetName val="Hoja4"/>
      <sheetName val="det serv de Gesti y apoy"/>
      <sheetName val="Costeo SAP"/>
      <sheetName val="Detalle de Egresos"/>
      <sheetName val="egresos para informe"/>
      <sheetName val="Límite del gasto"/>
      <sheetName val="Tranferencias de egresos"/>
      <sheetName val="Variación de Egresos 2023-2024"/>
      <sheetName val="Variación de Ingresos 2023-2024"/>
      <sheetName val="Detalle de Superávit"/>
      <sheetName val="Hoja1"/>
      <sheetName val="Variación Ing 2024-2025"/>
    </sheetNames>
    <sheetDataSet>
      <sheetData sheetId="0">
        <row r="6">
          <cell r="I6">
            <v>44146404490.300003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7">
          <cell r="P7">
            <v>41250000</v>
          </cell>
        </row>
        <row r="8">
          <cell r="P8">
            <v>2587500</v>
          </cell>
        </row>
        <row r="9">
          <cell r="P9">
            <v>12500000</v>
          </cell>
        </row>
        <row r="10">
          <cell r="P10">
            <v>3750000</v>
          </cell>
        </row>
        <row r="11">
          <cell r="P11">
            <v>10000000</v>
          </cell>
        </row>
        <row r="12">
          <cell r="P12">
            <v>55302.25</v>
          </cell>
        </row>
        <row r="13">
          <cell r="P13">
            <v>3750000</v>
          </cell>
        </row>
        <row r="14">
          <cell r="P14">
            <v>3569506.5</v>
          </cell>
        </row>
        <row r="15">
          <cell r="P15">
            <v>16250000</v>
          </cell>
        </row>
        <row r="17">
          <cell r="P17">
            <v>65570000</v>
          </cell>
        </row>
        <row r="18">
          <cell r="P18">
            <v>20000000</v>
          </cell>
        </row>
        <row r="19">
          <cell r="P19">
            <v>11750000</v>
          </cell>
        </row>
        <row r="20">
          <cell r="P20">
            <v>47350000</v>
          </cell>
        </row>
        <row r="21">
          <cell r="P21">
            <v>1417000</v>
          </cell>
        </row>
        <row r="22">
          <cell r="P22">
            <v>2087500</v>
          </cell>
        </row>
        <row r="23">
          <cell r="P23">
            <v>5000000</v>
          </cell>
        </row>
        <row r="24">
          <cell r="P24">
            <v>2875000</v>
          </cell>
        </row>
        <row r="25">
          <cell r="P25">
            <v>8250000</v>
          </cell>
        </row>
        <row r="26">
          <cell r="P26">
            <v>1800000</v>
          </cell>
        </row>
        <row r="27">
          <cell r="P27">
            <v>6993750.25</v>
          </cell>
        </row>
        <row r="28">
          <cell r="P28">
            <v>1000000</v>
          </cell>
        </row>
        <row r="29">
          <cell r="P29">
            <v>725000</v>
          </cell>
        </row>
        <row r="30">
          <cell r="P30">
            <v>725000</v>
          </cell>
        </row>
        <row r="31">
          <cell r="P31">
            <v>2125000</v>
          </cell>
        </row>
        <row r="32">
          <cell r="P32">
            <v>1250000</v>
          </cell>
        </row>
        <row r="33">
          <cell r="P33">
            <v>45000000</v>
          </cell>
        </row>
        <row r="34">
          <cell r="P34">
            <v>13918500</v>
          </cell>
        </row>
        <row r="35">
          <cell r="P35">
            <v>8750000</v>
          </cell>
        </row>
        <row r="38">
          <cell r="P38">
            <v>8750000</v>
          </cell>
        </row>
        <row r="39">
          <cell r="P39">
            <v>1375000</v>
          </cell>
        </row>
      </sheetData>
      <sheetData sheetId="29"/>
      <sheetData sheetId="30"/>
      <sheetData sheetId="31"/>
      <sheetData sheetId="32"/>
      <sheetData sheetId="33"/>
      <sheetData sheetId="34"/>
      <sheetData sheetId="35"/>
      <sheetData sheetId="36"/>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sheetName val="Lineas de Acción PE"/>
    </sheetNames>
    <sheetDataSet>
      <sheetData sheetId="0">
        <row r="8">
          <cell r="H8">
            <v>3000000</v>
          </cell>
        </row>
        <row r="9">
          <cell r="H9">
            <v>550000000</v>
          </cell>
        </row>
        <row r="10">
          <cell r="H10">
            <v>3000000</v>
          </cell>
        </row>
        <row r="11">
          <cell r="H11">
            <v>300000000</v>
          </cell>
        </row>
        <row r="12">
          <cell r="H12">
            <v>10000000</v>
          </cell>
        </row>
        <row r="13">
          <cell r="H13">
            <v>1500000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2024"/>
      <sheetName val="detalle de ingresos"/>
      <sheetName val="Estado de Origen y aplicación"/>
      <sheetName val="Límite del gasto"/>
      <sheetName val="Egresos por programa"/>
      <sheetName val="Tranferencias de egresos"/>
      <sheetName val="Clasificación económica"/>
      <sheetName val="Variación de Egresos 2023-2024"/>
      <sheetName val="Variación de Ingresos 2023-2024"/>
      <sheetName val="Detalle de Superávit"/>
    </sheetNames>
    <sheetDataSet>
      <sheetData sheetId="0"/>
      <sheetData sheetId="1"/>
      <sheetData sheetId="2"/>
      <sheetData sheetId="3"/>
      <sheetData sheetId="4">
        <row r="246">
          <cell r="C246">
            <v>11315166767</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DEE9-05A0-4EB0-8FC7-93CEF400B665}">
  <sheetPr>
    <tabColor theme="4"/>
  </sheetPr>
  <dimension ref="A1:Q732"/>
  <sheetViews>
    <sheetView zoomScale="80" zoomScaleNormal="80" workbookViewId="0">
      <selection activeCell="F5" sqref="F5:G6"/>
    </sheetView>
  </sheetViews>
  <sheetFormatPr baseColWidth="10" defaultColWidth="11.21875" defaultRowHeight="13.2" x14ac:dyDescent="0.25"/>
  <cols>
    <col min="1" max="1" width="24" style="2" customWidth="1"/>
    <col min="2" max="2" width="53.5546875" style="2" customWidth="1"/>
    <col min="3" max="3" width="19.6640625" style="2" customWidth="1"/>
    <col min="4" max="4" width="19.6640625" style="61" customWidth="1"/>
    <col min="5" max="5" width="11.21875" style="62" customWidth="1"/>
    <col min="6" max="6" width="19.6640625" style="63" customWidth="1"/>
    <col min="7" max="7" width="8.21875" style="57" customWidth="1"/>
    <col min="8" max="16384" width="11.21875" style="2"/>
  </cols>
  <sheetData>
    <row r="1" spans="1:17" x14ac:dyDescent="0.25">
      <c r="B1" s="201"/>
      <c r="C1" s="201"/>
      <c r="D1" s="201"/>
      <c r="E1" s="201"/>
      <c r="F1" s="201"/>
      <c r="G1" s="201"/>
    </row>
    <row r="2" spans="1:17" x14ac:dyDescent="0.25">
      <c r="A2" s="211" t="s">
        <v>625</v>
      </c>
      <c r="B2" s="201"/>
      <c r="C2" s="201"/>
      <c r="D2" s="201"/>
      <c r="E2" s="201"/>
      <c r="F2" s="201"/>
      <c r="G2" s="201"/>
    </row>
    <row r="3" spans="1:17" x14ac:dyDescent="0.25">
      <c r="A3" s="201"/>
      <c r="B3" s="201"/>
      <c r="C3" s="201"/>
      <c r="D3" s="201"/>
      <c r="E3" s="201"/>
      <c r="F3" s="201"/>
      <c r="G3" s="201"/>
    </row>
    <row r="4" spans="1:17" ht="32.4" customHeight="1" thickBot="1" x14ac:dyDescent="0.3">
      <c r="A4" s="212"/>
      <c r="B4" s="212"/>
      <c r="C4" s="212"/>
      <c r="D4" s="212"/>
      <c r="E4" s="212"/>
      <c r="F4" s="212"/>
      <c r="G4" s="212"/>
    </row>
    <row r="5" spans="1:17" ht="36.75" customHeight="1" thickBot="1" x14ac:dyDescent="0.3">
      <c r="A5" s="203" t="s">
        <v>627</v>
      </c>
      <c r="B5" s="205" t="s">
        <v>400</v>
      </c>
      <c r="C5" s="207" t="s">
        <v>628</v>
      </c>
      <c r="D5" s="209" t="s">
        <v>660</v>
      </c>
      <c r="E5" s="210"/>
      <c r="F5" s="209" t="s">
        <v>662</v>
      </c>
      <c r="G5" s="213"/>
    </row>
    <row r="6" spans="1:17" s="5" customFormat="1" ht="29.25" customHeight="1" thickBot="1" x14ac:dyDescent="0.35">
      <c r="A6" s="204"/>
      <c r="B6" s="206"/>
      <c r="C6" s="208"/>
      <c r="D6" s="3" t="s">
        <v>661</v>
      </c>
      <c r="E6" s="4" t="s">
        <v>374</v>
      </c>
      <c r="F6" s="3" t="s">
        <v>661</v>
      </c>
      <c r="G6" s="200" t="s">
        <v>374</v>
      </c>
    </row>
    <row r="7" spans="1:17" ht="21" customHeight="1" x14ac:dyDescent="0.25">
      <c r="A7" s="6"/>
      <c r="B7" s="7" t="s">
        <v>375</v>
      </c>
      <c r="C7" s="8">
        <f>+C9+C20+C26</f>
        <v>58441878254.249283</v>
      </c>
      <c r="D7" s="8">
        <f>SUM(D9+D20+D26)</f>
        <v>14295473763.94928</v>
      </c>
      <c r="E7" s="9">
        <f>D7/C7</f>
        <v>0.24461010136870237</v>
      </c>
      <c r="F7" s="10">
        <f>+F9+F20+F26</f>
        <v>44146404490.300003</v>
      </c>
      <c r="G7" s="11">
        <f>F7/C7</f>
        <v>0.75538989863129768</v>
      </c>
      <c r="H7" s="12"/>
      <c r="I7" s="202"/>
      <c r="J7" s="202"/>
      <c r="K7" s="202"/>
      <c r="L7" s="202"/>
      <c r="M7" s="202"/>
      <c r="N7" s="202"/>
    </row>
    <row r="8" spans="1:17" x14ac:dyDescent="0.25">
      <c r="A8" s="13"/>
      <c r="B8" s="13"/>
      <c r="C8" s="14"/>
      <c r="D8" s="15"/>
      <c r="E8" s="14"/>
      <c r="F8" s="16"/>
      <c r="G8" s="14"/>
      <c r="H8" s="17"/>
      <c r="I8" s="17"/>
      <c r="K8" s="202"/>
      <c r="L8" s="202"/>
      <c r="M8" s="202"/>
      <c r="N8" s="202"/>
      <c r="O8" s="202"/>
      <c r="P8" s="202"/>
    </row>
    <row r="9" spans="1:17" x14ac:dyDescent="0.25">
      <c r="A9" s="18" t="s">
        <v>376</v>
      </c>
      <c r="B9" s="19" t="s">
        <v>377</v>
      </c>
      <c r="C9" s="20">
        <f>SUM(C10:C18)</f>
        <v>25425217906.116974</v>
      </c>
      <c r="D9" s="21">
        <f>SUM(D10:D18)</f>
        <v>2303837257.5369711</v>
      </c>
      <c r="E9" s="11">
        <f>D9/$C$7</f>
        <v>3.9420999570106391E-2</v>
      </c>
      <c r="F9" s="20">
        <f>SUM(F10:F17)</f>
        <v>23121380648.580002</v>
      </c>
      <c r="G9" s="11">
        <f>F9/$C$7</f>
        <v>0.39563034829221727</v>
      </c>
      <c r="H9" s="12"/>
      <c r="I9" s="22"/>
      <c r="K9" s="202"/>
      <c r="L9" s="202"/>
      <c r="M9" s="202"/>
      <c r="N9" s="202"/>
      <c r="O9" s="202"/>
      <c r="P9" s="202"/>
      <c r="Q9" s="202"/>
    </row>
    <row r="10" spans="1:17" x14ac:dyDescent="0.25">
      <c r="A10" s="18" t="str">
        <f>+'[1]Ingresos 2025'!A15</f>
        <v>1.3.1.2.03.01.0.0.000</v>
      </c>
      <c r="B10" s="23" t="s">
        <v>378</v>
      </c>
      <c r="C10" s="24">
        <f>+D10+F10</f>
        <v>3946830130</v>
      </c>
      <c r="D10" s="15"/>
      <c r="E10" s="14"/>
      <c r="F10" s="25">
        <f>+'[1]Ingresos 2025'!I15</f>
        <v>3946830130</v>
      </c>
      <c r="G10" s="14">
        <f t="shared" ref="G10:G17" si="0">F10/$C$7</f>
        <v>6.7534279319864735E-2</v>
      </c>
      <c r="H10" s="17"/>
    </row>
    <row r="11" spans="1:17" x14ac:dyDescent="0.25">
      <c r="A11" s="6" t="str">
        <f>+'[1]Ingresos 2025'!A18</f>
        <v>1.3.1.2.04.01.0.0.000</v>
      </c>
      <c r="B11" s="26" t="s">
        <v>407</v>
      </c>
      <c r="C11" s="24">
        <f>+D11+F11</f>
        <v>2368800</v>
      </c>
      <c r="D11" s="15">
        <f>+'[1]Ingresos 2025'!D18</f>
        <v>2368800</v>
      </c>
      <c r="E11" s="14">
        <f t="shared" ref="E11:E40" si="1">D11/$C$7</f>
        <v>4.0532578191525966E-5</v>
      </c>
      <c r="F11" s="25"/>
      <c r="G11" s="14"/>
      <c r="H11" s="17"/>
    </row>
    <row r="12" spans="1:17" x14ac:dyDescent="0.25">
      <c r="A12" s="6" t="str">
        <f>+'[1]Ingresos 2025'!A20</f>
        <v>1.3.1.2.09.09.0.0.000</v>
      </c>
      <c r="B12" s="26" t="s">
        <v>379</v>
      </c>
      <c r="C12" s="24">
        <f>+D12+F12</f>
        <v>1099163286.8352499</v>
      </c>
      <c r="D12" s="15">
        <f>+'[1]Ingresos 2025'!D20</f>
        <v>820438946.70525002</v>
      </c>
      <c r="E12" s="14">
        <f t="shared" si="1"/>
        <v>1.4038545153117084E-2</v>
      </c>
      <c r="F12" s="25">
        <f>+'[1]Ingresos 2025'!I23</f>
        <v>278724340.13</v>
      </c>
      <c r="G12" s="14">
        <f t="shared" si="0"/>
        <v>4.7692570542893879E-3</v>
      </c>
      <c r="H12" s="17"/>
    </row>
    <row r="13" spans="1:17" x14ac:dyDescent="0.25">
      <c r="A13" s="6" t="str">
        <f>+'[1]Ingresos 2025'!A31</f>
        <v>1.3.2.3.01.06.0.0.000</v>
      </c>
      <c r="B13" s="6" t="str">
        <f>+'[2]Ingresos 2024'!B31</f>
        <v>Intereses sobre títulos valores de Inst.Pub.Financieras</v>
      </c>
      <c r="C13" s="24">
        <f t="shared" ref="C13:C18" si="2">+D13+F13</f>
        <v>10733845095</v>
      </c>
      <c r="D13" s="15"/>
      <c r="E13" s="14"/>
      <c r="F13" s="16">
        <f>+'[1]Ingresos 2025'!I34</f>
        <v>10733845095</v>
      </c>
      <c r="G13" s="14">
        <f t="shared" si="0"/>
        <v>0.18366701097974289</v>
      </c>
    </row>
    <row r="14" spans="1:17" x14ac:dyDescent="0.25">
      <c r="A14" s="6" t="str">
        <f>+'[1]Ingresos 2025'!A31</f>
        <v>1.3.2.3.01.06.0.0.000</v>
      </c>
      <c r="B14" s="6" t="str">
        <f>+'[2]Ingresos 2024'!B38</f>
        <v>Intereses y comisiones sobre préstamos al Sector Privado</v>
      </c>
      <c r="C14" s="24">
        <f t="shared" si="2"/>
        <v>8367595835.4186935</v>
      </c>
      <c r="D14" s="15">
        <f>+'[1]Ingresos 2025'!D39</f>
        <v>1238389957.8286939</v>
      </c>
      <c r="E14" s="14">
        <f t="shared" si="1"/>
        <v>2.1190112207570111E-2</v>
      </c>
      <c r="F14" s="16">
        <f>+'[1]Ingresos 2025'!I41</f>
        <v>7129205877.5900002</v>
      </c>
      <c r="G14" s="14">
        <f t="shared" si="0"/>
        <v>0.12198796634452178</v>
      </c>
      <c r="H14" s="17"/>
    </row>
    <row r="15" spans="1:17" x14ac:dyDescent="0.25">
      <c r="A15" s="6" t="str">
        <f>+'[1]Ingresos 2025'!A44</f>
        <v>1.3.2.3.03.01.0.0.000</v>
      </c>
      <c r="B15" s="6" t="s">
        <v>380</v>
      </c>
      <c r="C15" s="24">
        <f t="shared" si="2"/>
        <v>251948805.86000001</v>
      </c>
      <c r="D15" s="15"/>
      <c r="E15" s="14">
        <f t="shared" si="1"/>
        <v>0</v>
      </c>
      <c r="F15" s="16">
        <f>+'[1]Ingresos 2025'!I47</f>
        <v>251948805.86000001</v>
      </c>
      <c r="G15" s="14">
        <f t="shared" si="0"/>
        <v>4.3111004195297391E-3</v>
      </c>
    </row>
    <row r="16" spans="1:17" ht="15" customHeight="1" x14ac:dyDescent="0.25">
      <c r="A16" s="6" t="str">
        <f>+'[1]Ingresos 2025'!A50</f>
        <v xml:space="preserve">1.3.9.9.00.00.0.0.000 </v>
      </c>
      <c r="B16" s="27" t="s">
        <v>381</v>
      </c>
      <c r="C16" s="24">
        <f t="shared" si="2"/>
        <v>10500000</v>
      </c>
      <c r="D16" s="15">
        <f>+'[1]Ingresos 2025'!D52</f>
        <v>10500000</v>
      </c>
      <c r="E16" s="14">
        <f t="shared" si="1"/>
        <v>1.7966568347307609E-4</v>
      </c>
      <c r="F16" s="25"/>
      <c r="G16" s="14"/>
      <c r="H16" s="17"/>
    </row>
    <row r="17" spans="1:8" ht="15" customHeight="1" x14ac:dyDescent="0.25">
      <c r="A17" s="6"/>
      <c r="B17" s="27" t="s">
        <v>382</v>
      </c>
      <c r="C17" s="24">
        <f t="shared" si="2"/>
        <v>964548827.00302708</v>
      </c>
      <c r="D17" s="15">
        <f>+'[1]Ingresos 2025'!D51</f>
        <v>183722427.00302708</v>
      </c>
      <c r="E17" s="14">
        <f t="shared" si="1"/>
        <v>3.1436776587458275E-3</v>
      </c>
      <c r="F17" s="28">
        <f>+'[1]Ingresos 2025'!I53</f>
        <v>780826400</v>
      </c>
      <c r="G17" s="14">
        <f t="shared" si="0"/>
        <v>1.3360734174268713E-2</v>
      </c>
      <c r="H17" s="17"/>
    </row>
    <row r="18" spans="1:8" ht="26.4" x14ac:dyDescent="0.25">
      <c r="A18" s="6"/>
      <c r="B18" s="27" t="s">
        <v>383</v>
      </c>
      <c r="C18" s="24">
        <f t="shared" si="2"/>
        <v>48417126</v>
      </c>
      <c r="D18" s="24">
        <f>+'[1]Ingresos 2025'!D58</f>
        <v>48417126</v>
      </c>
      <c r="E18" s="14">
        <f t="shared" si="1"/>
        <v>8.2846628900876595E-4</v>
      </c>
      <c r="F18" s="25"/>
      <c r="G18" s="14"/>
    </row>
    <row r="19" spans="1:8" x14ac:dyDescent="0.25">
      <c r="A19" s="6"/>
      <c r="B19" s="6"/>
      <c r="C19" s="11"/>
      <c r="D19" s="29"/>
      <c r="E19" s="14"/>
      <c r="F19" s="25"/>
      <c r="G19" s="14"/>
    </row>
    <row r="20" spans="1:8" x14ac:dyDescent="0.25">
      <c r="A20" s="30" t="s">
        <v>384</v>
      </c>
      <c r="B20" s="30" t="s">
        <v>385</v>
      </c>
      <c r="C20" s="29">
        <f>SUM(C21:C24)</f>
        <v>19152307103.372311</v>
      </c>
      <c r="D20" s="29">
        <f>SUM(D21:D24)</f>
        <v>3986435005.9323101</v>
      </c>
      <c r="E20" s="11">
        <f t="shared" si="1"/>
        <v>6.8211959043983292E-2</v>
      </c>
      <c r="F20" s="31">
        <f>SUM(F21:F22)</f>
        <v>15165872097.440001</v>
      </c>
      <c r="G20" s="11">
        <f>F20/$C$7</f>
        <v>0.25950350246207732</v>
      </c>
      <c r="H20" s="12"/>
    </row>
    <row r="21" spans="1:8" x14ac:dyDescent="0.25">
      <c r="A21" s="6" t="s">
        <v>386</v>
      </c>
      <c r="B21" s="6" t="s">
        <v>387</v>
      </c>
      <c r="C21" s="24">
        <f>+D21+F21</f>
        <v>216000000</v>
      </c>
      <c r="D21" s="15">
        <f>+'[1]Ingresos 2025'!D65</f>
        <v>216000000</v>
      </c>
      <c r="E21" s="14">
        <f t="shared" si="1"/>
        <v>3.6959797743032793E-3</v>
      </c>
      <c r="F21" s="16"/>
      <c r="G21" s="14"/>
    </row>
    <row r="22" spans="1:8" x14ac:dyDescent="0.25">
      <c r="A22" s="6" t="s">
        <v>388</v>
      </c>
      <c r="B22" s="6" t="s">
        <v>389</v>
      </c>
      <c r="C22" s="24">
        <f>+D22+F22</f>
        <v>15494339187.372311</v>
      </c>
      <c r="D22" s="15">
        <f>+'[1]Ingresos 2025'!D70</f>
        <v>328467089.93231028</v>
      </c>
      <c r="E22" s="14">
        <f t="shared" si="1"/>
        <v>5.6204061153429406E-3</v>
      </c>
      <c r="F22" s="16">
        <f>+'[1]Ingresos 2025'!I71</f>
        <v>15165872097.440001</v>
      </c>
      <c r="G22" s="14">
        <f>F22/$C$7</f>
        <v>0.25950350246207732</v>
      </c>
      <c r="H22" s="17"/>
    </row>
    <row r="23" spans="1:8" x14ac:dyDescent="0.25">
      <c r="A23" s="6"/>
      <c r="B23" s="6" t="s">
        <v>390</v>
      </c>
      <c r="C23" s="24">
        <f>+D23</f>
        <v>500000000</v>
      </c>
      <c r="D23" s="15">
        <f>+'[1]Ingresos 2025'!D75</f>
        <v>500000000</v>
      </c>
      <c r="E23" s="14">
        <f t="shared" si="1"/>
        <v>8.5555087368131468E-3</v>
      </c>
      <c r="F23" s="25"/>
      <c r="G23" s="14"/>
    </row>
    <row r="24" spans="1:8" s="32" customFormat="1" ht="12.75" customHeight="1" x14ac:dyDescent="0.25">
      <c r="A24" s="6" t="s">
        <v>391</v>
      </c>
      <c r="B24" s="27" t="str">
        <f>+'[2]Ingresos 2024'!B76</f>
        <v>Transferencias de Capital de Instituciones Públicas financieras</v>
      </c>
      <c r="C24" s="24">
        <f>+D24+F24</f>
        <v>2941967916</v>
      </c>
      <c r="D24" s="15">
        <f>+'[1]Ingresos 2025'!D76</f>
        <v>2941967916</v>
      </c>
      <c r="E24" s="14">
        <f t="shared" si="1"/>
        <v>5.0340064417523936E-2</v>
      </c>
      <c r="F24" s="24"/>
      <c r="G24" s="14"/>
    </row>
    <row r="25" spans="1:8" s="32" customFormat="1" x14ac:dyDescent="0.25">
      <c r="A25" s="6"/>
      <c r="B25" s="6"/>
      <c r="C25" s="33"/>
      <c r="D25" s="15"/>
      <c r="E25" s="14"/>
      <c r="F25" s="34"/>
      <c r="G25" s="14"/>
    </row>
    <row r="26" spans="1:8" s="32" customFormat="1" x14ac:dyDescent="0.25">
      <c r="A26" s="18"/>
      <c r="B26" s="30" t="s">
        <v>392</v>
      </c>
      <c r="C26" s="35">
        <f>C27+C29</f>
        <v>13864353244.759998</v>
      </c>
      <c r="D26" s="35">
        <f>D27+D29</f>
        <v>8005201500.4799995</v>
      </c>
      <c r="E26" s="11">
        <f t="shared" si="1"/>
        <v>0.1369771427546127</v>
      </c>
      <c r="F26" s="36">
        <f>SUM(F27)</f>
        <v>5859151744.2799997</v>
      </c>
      <c r="G26" s="11">
        <f>F26/$C$7</f>
        <v>0.10025604787700305</v>
      </c>
      <c r="H26" s="12"/>
    </row>
    <row r="27" spans="1:8" ht="13.5" customHeight="1" thickBot="1" x14ac:dyDescent="0.3">
      <c r="A27" s="6"/>
      <c r="B27" s="37" t="str">
        <f>+'[2]Ingresos 2024'!B82</f>
        <v>Préstamos directos del Sector Privado</v>
      </c>
      <c r="C27" s="38">
        <f>+D27+F27</f>
        <v>5859151744.2799997</v>
      </c>
      <c r="D27" s="38">
        <v>0</v>
      </c>
      <c r="E27" s="39"/>
      <c r="F27" s="40">
        <f>+'[1]Ingresos 2025'!I83</f>
        <v>5859151744.2799997</v>
      </c>
      <c r="G27" s="39">
        <f>F27/$C$7</f>
        <v>0.10025604787700305</v>
      </c>
    </row>
    <row r="28" spans="1:8" x14ac:dyDescent="0.25">
      <c r="A28" s="41"/>
      <c r="B28" s="42"/>
      <c r="C28" s="42"/>
      <c r="D28" s="15"/>
      <c r="E28" s="14"/>
      <c r="F28" s="43"/>
      <c r="G28" s="14"/>
      <c r="H28" s="44"/>
    </row>
    <row r="29" spans="1:8" s="32" customFormat="1" x14ac:dyDescent="0.25">
      <c r="A29" s="18"/>
      <c r="B29" s="45" t="s">
        <v>393</v>
      </c>
      <c r="C29" s="29">
        <f>C31+C33</f>
        <v>8005201500.4799995</v>
      </c>
      <c r="D29" s="29">
        <f>D31+D33</f>
        <v>8005201500.4799995</v>
      </c>
      <c r="E29" s="11">
        <f t="shared" si="1"/>
        <v>0.1369771427546127</v>
      </c>
      <c r="F29" s="24"/>
      <c r="G29" s="14"/>
      <c r="H29" s="46"/>
    </row>
    <row r="30" spans="1:8" s="32" customFormat="1" hidden="1" x14ac:dyDescent="0.25">
      <c r="A30" s="6"/>
      <c r="B30" s="47" t="s">
        <v>394</v>
      </c>
      <c r="C30" s="24">
        <f>+C31</f>
        <v>2500000000</v>
      </c>
      <c r="D30" s="24">
        <f>+D31</f>
        <v>2500000000</v>
      </c>
      <c r="E30" s="14">
        <f t="shared" si="1"/>
        <v>4.2777543684065736E-2</v>
      </c>
      <c r="F30" s="48"/>
      <c r="G30" s="14"/>
    </row>
    <row r="31" spans="1:8" s="32" customFormat="1" x14ac:dyDescent="0.25">
      <c r="A31" s="6"/>
      <c r="B31" s="47" t="str">
        <f>+'[3]Ingresos 2023'!B83</f>
        <v>Superávit libre</v>
      </c>
      <c r="C31" s="33">
        <f>+D31</f>
        <v>2500000000</v>
      </c>
      <c r="D31" s="33">
        <f>+'[1]Ingresos 2025'!D87</f>
        <v>2500000000</v>
      </c>
      <c r="E31" s="14">
        <f t="shared" si="1"/>
        <v>4.2777543684065736E-2</v>
      </c>
      <c r="F31" s="48"/>
      <c r="G31" s="14"/>
      <c r="H31" s="49"/>
    </row>
    <row r="32" spans="1:8" s="32" customFormat="1" x14ac:dyDescent="0.25">
      <c r="A32" s="6"/>
      <c r="B32" s="50">
        <f>+'[3]Ingresos 2023'!B84</f>
        <v>0</v>
      </c>
      <c r="C32" s="35"/>
      <c r="D32" s="35"/>
      <c r="E32" s="14"/>
      <c r="F32" s="51"/>
      <c r="G32" s="14"/>
    </row>
    <row r="33" spans="1:8" s="32" customFormat="1" x14ac:dyDescent="0.25">
      <c r="A33" s="6"/>
      <c r="B33" s="50" t="s">
        <v>395</v>
      </c>
      <c r="C33" s="29">
        <f>SUM(C34:C40)</f>
        <v>5505201500.4799995</v>
      </c>
      <c r="D33" s="29">
        <f>SUM(D34:D40)</f>
        <v>5505201500.4799995</v>
      </c>
      <c r="E33" s="14">
        <f t="shared" si="1"/>
        <v>9.4199599070546966E-2</v>
      </c>
      <c r="F33" s="51"/>
      <c r="G33" s="14"/>
      <c r="H33" s="49"/>
    </row>
    <row r="34" spans="1:8" s="32" customFormat="1" x14ac:dyDescent="0.25">
      <c r="A34" s="6"/>
      <c r="B34" s="47" t="str">
        <f>+'[3]Ingresos 2023'!B86</f>
        <v>Superávit BANHVI</v>
      </c>
      <c r="C34" s="24">
        <f>D34</f>
        <v>97000000</v>
      </c>
      <c r="D34" s="24">
        <f>+'[1]Ingresos 2025'!D90</f>
        <v>97000000</v>
      </c>
      <c r="E34" s="14">
        <f t="shared" si="1"/>
        <v>1.6597686949417505E-3</v>
      </c>
      <c r="F34" s="48"/>
      <c r="G34" s="14"/>
      <c r="H34" s="49"/>
    </row>
    <row r="35" spans="1:8" s="32" customFormat="1" x14ac:dyDescent="0.25">
      <c r="A35" s="6"/>
      <c r="B35" s="47" t="str">
        <f>+'[3]Ingresos 2023'!B87</f>
        <v>Superávit Específico Aporte Clientes BFV</v>
      </c>
      <c r="C35" s="24">
        <f t="shared" ref="C35:C40" si="3">D35</f>
        <v>15500000</v>
      </c>
      <c r="D35" s="24">
        <f>+'[1]Ingresos 2025'!D91</f>
        <v>15500000</v>
      </c>
      <c r="E35" s="14">
        <f t="shared" si="1"/>
        <v>2.6522077084120753E-4</v>
      </c>
      <c r="F35" s="48"/>
      <c r="G35" s="14"/>
    </row>
    <row r="36" spans="1:8" s="32" customFormat="1" x14ac:dyDescent="0.25">
      <c r="A36" s="6"/>
      <c r="B36" s="47" t="s">
        <v>396</v>
      </c>
      <c r="C36" s="24">
        <f t="shared" si="3"/>
        <v>425000000</v>
      </c>
      <c r="D36" s="24">
        <f>+'[1]Ingresos 2025'!D95</f>
        <v>425000000</v>
      </c>
      <c r="E36" s="14">
        <f t="shared" si="1"/>
        <v>7.2721824262911745E-3</v>
      </c>
      <c r="F36" s="48"/>
      <c r="G36" s="14"/>
    </row>
    <row r="37" spans="1:8" s="32" customFormat="1" x14ac:dyDescent="0.25">
      <c r="A37" s="6"/>
      <c r="B37" s="47" t="s">
        <v>397</v>
      </c>
      <c r="C37" s="24">
        <f t="shared" si="3"/>
        <v>490000000</v>
      </c>
      <c r="D37" s="24">
        <f>+'[1]Ingresos 2025'!D96</f>
        <v>490000000</v>
      </c>
      <c r="E37" s="14">
        <f t="shared" si="1"/>
        <v>8.3843985620768845E-3</v>
      </c>
      <c r="F37" s="48"/>
      <c r="G37" s="14"/>
    </row>
    <row r="38" spans="1:8" s="32" customFormat="1" x14ac:dyDescent="0.25">
      <c r="A38" s="6"/>
      <c r="B38" s="47" t="str">
        <f>+'[1]Ingresos 2025'!B97</f>
        <v>Superávit Específico Ley 10427 (PRDU-Caribe)</v>
      </c>
      <c r="C38" s="24">
        <f t="shared" si="3"/>
        <v>350000000</v>
      </c>
      <c r="D38" s="24">
        <f>+'[1]Ingresos 2025'!D97</f>
        <v>350000000</v>
      </c>
      <c r="E38" s="14">
        <f t="shared" si="1"/>
        <v>5.9888561157692031E-3</v>
      </c>
      <c r="F38" s="48"/>
      <c r="G38" s="14"/>
    </row>
    <row r="39" spans="1:8" s="32" customFormat="1" x14ac:dyDescent="0.25">
      <c r="A39" s="6"/>
      <c r="B39" s="47" t="str">
        <f>+'[3]Ingresos 2023'!B91</f>
        <v>Superávit Específico  Ley 9344</v>
      </c>
      <c r="C39" s="24">
        <f t="shared" si="3"/>
        <v>20000000</v>
      </c>
      <c r="D39" s="24">
        <f>+'[1]Ingresos 2025'!D99</f>
        <v>20000000</v>
      </c>
      <c r="E39" s="14">
        <f t="shared" si="1"/>
        <v>3.4222034947252586E-4</v>
      </c>
      <c r="F39" s="48"/>
      <c r="G39" s="14"/>
      <c r="H39" s="49"/>
    </row>
    <row r="40" spans="1:8" ht="13.8" thickBot="1" x14ac:dyDescent="0.3">
      <c r="A40" s="52"/>
      <c r="B40" s="53" t="str">
        <f>+'[3]Ingresos 2023'!B94</f>
        <v>Superávit Específico Ley 8448</v>
      </c>
      <c r="C40" s="38">
        <f t="shared" si="3"/>
        <v>4107701500.48</v>
      </c>
      <c r="D40" s="38">
        <f>+'[1]Ingresos 2025'!E102</f>
        <v>4107701500.48</v>
      </c>
      <c r="E40" s="39">
        <f t="shared" si="1"/>
        <v>7.0286952151154228E-2</v>
      </c>
      <c r="F40" s="54"/>
      <c r="G40" s="39"/>
    </row>
    <row r="41" spans="1:8" x14ac:dyDescent="0.25">
      <c r="A41" s="1"/>
      <c r="B41" s="1"/>
      <c r="D41" s="17"/>
      <c r="E41" s="55"/>
      <c r="F41" s="56"/>
    </row>
    <row r="42" spans="1:8" x14ac:dyDescent="0.25">
      <c r="A42" s="32" t="s">
        <v>624</v>
      </c>
      <c r="D42" s="17"/>
      <c r="E42" s="55"/>
      <c r="F42" s="56"/>
    </row>
    <row r="43" spans="1:8" x14ac:dyDescent="0.25">
      <c r="C43" s="58"/>
      <c r="D43" s="17"/>
      <c r="E43" s="55"/>
      <c r="F43" s="56"/>
    </row>
    <row r="44" spans="1:8" x14ac:dyDescent="0.25">
      <c r="C44" s="59"/>
      <c r="D44" s="17"/>
      <c r="E44" s="55"/>
      <c r="F44" s="56"/>
    </row>
    <row r="45" spans="1:8" x14ac:dyDescent="0.25">
      <c r="D45" s="17"/>
      <c r="E45" s="55"/>
      <c r="F45" s="56"/>
    </row>
    <row r="46" spans="1:8" x14ac:dyDescent="0.25">
      <c r="D46" s="17"/>
      <c r="E46" s="55"/>
      <c r="F46" s="56"/>
    </row>
    <row r="47" spans="1:8" x14ac:dyDescent="0.25">
      <c r="D47" s="17"/>
      <c r="E47" s="55"/>
      <c r="F47" s="56"/>
    </row>
    <row r="48" spans="1:8" x14ac:dyDescent="0.25">
      <c r="D48" s="17"/>
      <c r="E48" s="55"/>
      <c r="F48" s="56"/>
    </row>
    <row r="49" spans="3:6" x14ac:dyDescent="0.25">
      <c r="C49" s="60"/>
      <c r="D49" s="17"/>
      <c r="E49" s="55"/>
      <c r="F49" s="56"/>
    </row>
    <row r="50" spans="3:6" x14ac:dyDescent="0.25">
      <c r="D50" s="17"/>
      <c r="E50" s="55"/>
      <c r="F50" s="56"/>
    </row>
    <row r="51" spans="3:6" x14ac:dyDescent="0.25">
      <c r="D51" s="17"/>
      <c r="E51" s="55"/>
      <c r="F51" s="56"/>
    </row>
    <row r="52" spans="3:6" x14ac:dyDescent="0.25">
      <c r="D52" s="17"/>
      <c r="E52" s="55"/>
      <c r="F52" s="56"/>
    </row>
    <row r="53" spans="3:6" x14ac:dyDescent="0.25">
      <c r="D53" s="17"/>
      <c r="E53" s="55"/>
      <c r="F53" s="56"/>
    </row>
    <row r="54" spans="3:6" x14ac:dyDescent="0.25">
      <c r="D54" s="17"/>
      <c r="E54" s="55"/>
      <c r="F54" s="56"/>
    </row>
    <row r="55" spans="3:6" x14ac:dyDescent="0.25">
      <c r="D55" s="17"/>
      <c r="E55" s="55"/>
      <c r="F55" s="56"/>
    </row>
    <row r="56" spans="3:6" x14ac:dyDescent="0.25">
      <c r="D56" s="17"/>
      <c r="E56" s="55"/>
      <c r="F56" s="56"/>
    </row>
    <row r="57" spans="3:6" x14ac:dyDescent="0.25">
      <c r="D57" s="17"/>
      <c r="E57" s="55"/>
      <c r="F57" s="56"/>
    </row>
    <row r="58" spans="3:6" x14ac:dyDescent="0.25">
      <c r="D58" s="17"/>
      <c r="E58" s="55"/>
      <c r="F58" s="56"/>
    </row>
    <row r="59" spans="3:6" x14ac:dyDescent="0.25">
      <c r="D59" s="17"/>
      <c r="E59" s="55"/>
      <c r="F59" s="56"/>
    </row>
    <row r="60" spans="3:6" x14ac:dyDescent="0.25">
      <c r="D60" s="17"/>
      <c r="E60" s="55"/>
      <c r="F60" s="56"/>
    </row>
    <row r="61" spans="3:6" x14ac:dyDescent="0.25">
      <c r="D61" s="17"/>
      <c r="E61" s="55"/>
      <c r="F61" s="56"/>
    </row>
    <row r="62" spans="3:6" x14ac:dyDescent="0.25">
      <c r="D62" s="17"/>
      <c r="E62" s="55"/>
      <c r="F62" s="56"/>
    </row>
    <row r="63" spans="3:6" x14ac:dyDescent="0.25">
      <c r="D63" s="17"/>
      <c r="E63" s="55"/>
      <c r="F63" s="56"/>
    </row>
    <row r="64" spans="3:6" x14ac:dyDescent="0.25">
      <c r="D64" s="17"/>
      <c r="E64" s="55"/>
      <c r="F64" s="56"/>
    </row>
    <row r="65" spans="4:6" x14ac:dyDescent="0.25">
      <c r="D65" s="17"/>
      <c r="E65" s="55"/>
      <c r="F65" s="56"/>
    </row>
    <row r="66" spans="4:6" x14ac:dyDescent="0.25">
      <c r="D66" s="17"/>
      <c r="E66" s="55"/>
      <c r="F66" s="56"/>
    </row>
    <row r="67" spans="4:6" x14ac:dyDescent="0.25">
      <c r="D67" s="17"/>
      <c r="E67" s="55"/>
      <c r="F67" s="56"/>
    </row>
    <row r="68" spans="4:6" x14ac:dyDescent="0.25">
      <c r="D68" s="17"/>
      <c r="E68" s="55"/>
      <c r="F68" s="56"/>
    </row>
    <row r="69" spans="4:6" x14ac:dyDescent="0.25">
      <c r="D69" s="17"/>
      <c r="E69" s="55"/>
      <c r="F69" s="56"/>
    </row>
    <row r="70" spans="4:6" x14ac:dyDescent="0.25">
      <c r="D70" s="17"/>
      <c r="E70" s="55"/>
      <c r="F70" s="56"/>
    </row>
    <row r="71" spans="4:6" x14ac:dyDescent="0.25">
      <c r="D71" s="17"/>
      <c r="E71" s="55"/>
      <c r="F71" s="56"/>
    </row>
    <row r="72" spans="4:6" x14ac:dyDescent="0.25">
      <c r="D72" s="17"/>
      <c r="E72" s="55"/>
      <c r="F72" s="56"/>
    </row>
    <row r="73" spans="4:6" x14ac:dyDescent="0.25">
      <c r="D73" s="17"/>
      <c r="E73" s="55"/>
      <c r="F73" s="56"/>
    </row>
    <row r="74" spans="4:6" x14ac:dyDescent="0.25">
      <c r="D74" s="17"/>
      <c r="E74" s="55"/>
      <c r="F74" s="56"/>
    </row>
    <row r="75" spans="4:6" x14ac:dyDescent="0.25">
      <c r="D75" s="17"/>
      <c r="E75" s="55"/>
      <c r="F75" s="56"/>
    </row>
    <row r="76" spans="4:6" x14ac:dyDescent="0.25">
      <c r="D76" s="17"/>
      <c r="E76" s="55"/>
      <c r="F76" s="56"/>
    </row>
    <row r="77" spans="4:6" x14ac:dyDescent="0.25">
      <c r="D77" s="17"/>
      <c r="E77" s="55"/>
      <c r="F77" s="56"/>
    </row>
    <row r="78" spans="4:6" x14ac:dyDescent="0.25">
      <c r="D78" s="17"/>
      <c r="E78" s="55"/>
      <c r="F78" s="56"/>
    </row>
    <row r="79" spans="4:6" x14ac:dyDescent="0.25">
      <c r="D79" s="17"/>
      <c r="E79" s="55"/>
      <c r="F79" s="56"/>
    </row>
    <row r="80" spans="4:6" x14ac:dyDescent="0.25">
      <c r="D80" s="17"/>
      <c r="E80" s="55"/>
      <c r="F80" s="56"/>
    </row>
    <row r="81" spans="4:6" x14ac:dyDescent="0.25">
      <c r="D81" s="17"/>
      <c r="E81" s="55"/>
      <c r="F81" s="56"/>
    </row>
    <row r="82" spans="4:6" x14ac:dyDescent="0.25">
      <c r="D82" s="17"/>
      <c r="E82" s="55"/>
      <c r="F82" s="56"/>
    </row>
    <row r="83" spans="4:6" x14ac:dyDescent="0.25">
      <c r="D83" s="17"/>
      <c r="E83" s="55"/>
      <c r="F83" s="56"/>
    </row>
    <row r="84" spans="4:6" x14ac:dyDescent="0.25">
      <c r="D84" s="17"/>
      <c r="E84" s="55"/>
      <c r="F84" s="56"/>
    </row>
    <row r="85" spans="4:6" x14ac:dyDescent="0.25">
      <c r="D85" s="17"/>
      <c r="E85" s="55"/>
      <c r="F85" s="56"/>
    </row>
    <row r="86" spans="4:6" x14ac:dyDescent="0.25">
      <c r="D86" s="17"/>
      <c r="E86" s="55"/>
      <c r="F86" s="56"/>
    </row>
    <row r="87" spans="4:6" x14ac:dyDescent="0.25">
      <c r="D87" s="17"/>
      <c r="E87" s="55"/>
      <c r="F87" s="56"/>
    </row>
    <row r="88" spans="4:6" x14ac:dyDescent="0.25">
      <c r="D88" s="17"/>
      <c r="E88" s="55"/>
      <c r="F88" s="56"/>
    </row>
    <row r="89" spans="4:6" x14ac:dyDescent="0.25">
      <c r="D89" s="17"/>
      <c r="E89" s="55"/>
      <c r="F89" s="56"/>
    </row>
    <row r="90" spans="4:6" x14ac:dyDescent="0.25">
      <c r="D90" s="17"/>
      <c r="E90" s="55"/>
      <c r="F90" s="56"/>
    </row>
    <row r="91" spans="4:6" x14ac:dyDescent="0.25">
      <c r="D91" s="17"/>
      <c r="E91" s="55"/>
      <c r="F91" s="56"/>
    </row>
    <row r="92" spans="4:6" x14ac:dyDescent="0.25">
      <c r="D92" s="17"/>
      <c r="E92" s="55"/>
      <c r="F92" s="56"/>
    </row>
    <row r="93" spans="4:6" x14ac:dyDescent="0.25">
      <c r="D93" s="17"/>
      <c r="E93" s="55"/>
      <c r="F93" s="56"/>
    </row>
    <row r="94" spans="4:6" x14ac:dyDescent="0.25">
      <c r="D94" s="17"/>
      <c r="E94" s="55"/>
      <c r="F94" s="56"/>
    </row>
    <row r="95" spans="4:6" x14ac:dyDescent="0.25">
      <c r="D95" s="17"/>
      <c r="E95" s="55"/>
      <c r="F95" s="56"/>
    </row>
    <row r="96" spans="4:6" x14ac:dyDescent="0.25">
      <c r="D96" s="17"/>
      <c r="E96" s="55"/>
      <c r="F96" s="56"/>
    </row>
    <row r="97" spans="4:6" x14ac:dyDescent="0.25">
      <c r="D97" s="17"/>
      <c r="E97" s="55"/>
      <c r="F97" s="56"/>
    </row>
    <row r="98" spans="4:6" x14ac:dyDescent="0.25">
      <c r="D98" s="17"/>
      <c r="E98" s="55"/>
      <c r="F98" s="56"/>
    </row>
    <row r="99" spans="4:6" x14ac:dyDescent="0.25">
      <c r="D99" s="17"/>
      <c r="E99" s="55"/>
      <c r="F99" s="56"/>
    </row>
    <row r="100" spans="4:6" x14ac:dyDescent="0.25">
      <c r="D100" s="17"/>
      <c r="E100" s="55"/>
      <c r="F100" s="56"/>
    </row>
    <row r="101" spans="4:6" x14ac:dyDescent="0.25">
      <c r="D101" s="17"/>
      <c r="E101" s="55"/>
      <c r="F101" s="56"/>
    </row>
    <row r="102" spans="4:6" x14ac:dyDescent="0.25">
      <c r="D102" s="17"/>
      <c r="E102" s="55"/>
      <c r="F102" s="56"/>
    </row>
    <row r="103" spans="4:6" x14ac:dyDescent="0.25">
      <c r="D103" s="17"/>
      <c r="E103" s="55"/>
      <c r="F103" s="56"/>
    </row>
    <row r="104" spans="4:6" x14ac:dyDescent="0.25">
      <c r="D104" s="17"/>
      <c r="E104" s="55"/>
      <c r="F104" s="56"/>
    </row>
    <row r="105" spans="4:6" x14ac:dyDescent="0.25">
      <c r="D105" s="17"/>
      <c r="E105" s="55"/>
      <c r="F105" s="56"/>
    </row>
    <row r="106" spans="4:6" x14ac:dyDescent="0.25">
      <c r="D106" s="17"/>
      <c r="E106" s="55"/>
      <c r="F106" s="56"/>
    </row>
    <row r="107" spans="4:6" x14ac:dyDescent="0.25">
      <c r="D107" s="17"/>
      <c r="E107" s="55"/>
      <c r="F107" s="56"/>
    </row>
    <row r="108" spans="4:6" x14ac:dyDescent="0.25">
      <c r="D108" s="17"/>
      <c r="E108" s="55"/>
      <c r="F108" s="56"/>
    </row>
    <row r="109" spans="4:6" x14ac:dyDescent="0.25">
      <c r="D109" s="17"/>
      <c r="E109" s="55"/>
      <c r="F109" s="56"/>
    </row>
    <row r="110" spans="4:6" x14ac:dyDescent="0.25">
      <c r="D110" s="17"/>
      <c r="E110" s="55"/>
      <c r="F110" s="56"/>
    </row>
    <row r="111" spans="4:6" x14ac:dyDescent="0.25">
      <c r="D111" s="17"/>
      <c r="E111" s="55"/>
      <c r="F111" s="56"/>
    </row>
    <row r="112" spans="4:6" x14ac:dyDescent="0.25">
      <c r="D112" s="17"/>
      <c r="E112" s="55"/>
      <c r="F112" s="56"/>
    </row>
    <row r="113" spans="4:6" x14ac:dyDescent="0.25">
      <c r="D113" s="17"/>
      <c r="E113" s="55"/>
      <c r="F113" s="56"/>
    </row>
    <row r="114" spans="4:6" x14ac:dyDescent="0.25">
      <c r="D114" s="17"/>
      <c r="E114" s="55"/>
      <c r="F114" s="56"/>
    </row>
    <row r="115" spans="4:6" x14ac:dyDescent="0.25">
      <c r="D115" s="17"/>
      <c r="E115" s="55"/>
      <c r="F115" s="56"/>
    </row>
    <row r="116" spans="4:6" x14ac:dyDescent="0.25">
      <c r="D116" s="17"/>
      <c r="E116" s="55"/>
      <c r="F116" s="56"/>
    </row>
    <row r="117" spans="4:6" x14ac:dyDescent="0.25">
      <c r="D117" s="17"/>
      <c r="E117" s="55"/>
      <c r="F117" s="56"/>
    </row>
    <row r="118" spans="4:6" x14ac:dyDescent="0.25">
      <c r="D118" s="17"/>
      <c r="E118" s="55"/>
      <c r="F118" s="56"/>
    </row>
    <row r="119" spans="4:6" x14ac:dyDescent="0.25">
      <c r="D119" s="17"/>
      <c r="E119" s="55"/>
      <c r="F119" s="56"/>
    </row>
    <row r="120" spans="4:6" x14ac:dyDescent="0.25">
      <c r="D120" s="17"/>
      <c r="E120" s="55"/>
      <c r="F120" s="56"/>
    </row>
    <row r="121" spans="4:6" x14ac:dyDescent="0.25">
      <c r="D121" s="17"/>
      <c r="E121" s="55"/>
      <c r="F121" s="56"/>
    </row>
    <row r="122" spans="4:6" x14ac:dyDescent="0.25">
      <c r="D122" s="17"/>
      <c r="E122" s="55"/>
      <c r="F122" s="56"/>
    </row>
    <row r="123" spans="4:6" x14ac:dyDescent="0.25">
      <c r="D123" s="17"/>
      <c r="E123" s="55"/>
      <c r="F123" s="56"/>
    </row>
    <row r="124" spans="4:6" x14ac:dyDescent="0.25">
      <c r="D124" s="17"/>
      <c r="E124" s="55"/>
      <c r="F124" s="56"/>
    </row>
    <row r="125" spans="4:6" x14ac:dyDescent="0.25">
      <c r="D125" s="17"/>
      <c r="E125" s="55"/>
      <c r="F125" s="56"/>
    </row>
    <row r="126" spans="4:6" x14ac:dyDescent="0.25">
      <c r="D126" s="17"/>
      <c r="E126" s="55"/>
      <c r="F126" s="56"/>
    </row>
    <row r="127" spans="4:6" x14ac:dyDescent="0.25">
      <c r="D127" s="17"/>
      <c r="E127" s="55"/>
      <c r="F127" s="56"/>
    </row>
    <row r="128" spans="4:6" x14ac:dyDescent="0.25">
      <c r="D128" s="17"/>
      <c r="E128" s="55"/>
      <c r="F128" s="56"/>
    </row>
    <row r="129" spans="4:6" x14ac:dyDescent="0.25">
      <c r="D129" s="17"/>
      <c r="E129" s="55"/>
      <c r="F129" s="56"/>
    </row>
    <row r="130" spans="4:6" x14ac:dyDescent="0.25">
      <c r="D130" s="17"/>
      <c r="E130" s="55"/>
      <c r="F130" s="56"/>
    </row>
    <row r="131" spans="4:6" x14ac:dyDescent="0.25">
      <c r="D131" s="17"/>
      <c r="E131" s="55"/>
      <c r="F131" s="56"/>
    </row>
    <row r="132" spans="4:6" x14ac:dyDescent="0.25">
      <c r="D132" s="17"/>
      <c r="E132" s="55"/>
      <c r="F132" s="56"/>
    </row>
    <row r="133" spans="4:6" x14ac:dyDescent="0.25">
      <c r="D133" s="17"/>
      <c r="E133" s="55"/>
      <c r="F133" s="56"/>
    </row>
    <row r="134" spans="4:6" x14ac:dyDescent="0.25">
      <c r="D134" s="17"/>
      <c r="E134" s="55"/>
      <c r="F134" s="56"/>
    </row>
    <row r="135" spans="4:6" x14ac:dyDescent="0.25">
      <c r="D135" s="17"/>
      <c r="E135" s="55"/>
      <c r="F135" s="56"/>
    </row>
    <row r="136" spans="4:6" x14ac:dyDescent="0.25">
      <c r="D136" s="17"/>
      <c r="E136" s="55"/>
      <c r="F136" s="56"/>
    </row>
    <row r="137" spans="4:6" x14ac:dyDescent="0.25">
      <c r="D137" s="17"/>
      <c r="E137" s="55"/>
      <c r="F137" s="56"/>
    </row>
    <row r="138" spans="4:6" x14ac:dyDescent="0.25">
      <c r="D138" s="17"/>
      <c r="E138" s="55"/>
      <c r="F138" s="56"/>
    </row>
    <row r="139" spans="4:6" x14ac:dyDescent="0.25">
      <c r="D139" s="17"/>
      <c r="E139" s="55"/>
      <c r="F139" s="56"/>
    </row>
    <row r="140" spans="4:6" x14ac:dyDescent="0.25">
      <c r="D140" s="17"/>
      <c r="E140" s="55"/>
      <c r="F140" s="56"/>
    </row>
    <row r="141" spans="4:6" x14ac:dyDescent="0.25">
      <c r="D141" s="17"/>
      <c r="E141" s="55"/>
      <c r="F141" s="56"/>
    </row>
    <row r="142" spans="4:6" x14ac:dyDescent="0.25">
      <c r="D142" s="17"/>
      <c r="E142" s="55"/>
      <c r="F142" s="56"/>
    </row>
    <row r="143" spans="4:6" x14ac:dyDescent="0.25">
      <c r="D143" s="17"/>
      <c r="E143" s="55"/>
      <c r="F143" s="56"/>
    </row>
    <row r="144" spans="4:6" x14ac:dyDescent="0.25">
      <c r="D144" s="17"/>
      <c r="E144" s="55"/>
      <c r="F144" s="56"/>
    </row>
    <row r="145" spans="4:6" x14ac:dyDescent="0.25">
      <c r="D145" s="17"/>
      <c r="E145" s="55"/>
      <c r="F145" s="56"/>
    </row>
    <row r="146" spans="4:6" x14ac:dyDescent="0.25">
      <c r="D146" s="17"/>
      <c r="E146" s="55"/>
      <c r="F146" s="56"/>
    </row>
    <row r="147" spans="4:6" x14ac:dyDescent="0.25">
      <c r="D147" s="17"/>
      <c r="E147" s="55"/>
      <c r="F147" s="56"/>
    </row>
    <row r="148" spans="4:6" x14ac:dyDescent="0.25">
      <c r="D148" s="17"/>
      <c r="E148" s="55"/>
      <c r="F148" s="56"/>
    </row>
    <row r="149" spans="4:6" x14ac:dyDescent="0.25">
      <c r="D149" s="17"/>
      <c r="E149" s="55"/>
      <c r="F149" s="56"/>
    </row>
    <row r="150" spans="4:6" x14ac:dyDescent="0.25">
      <c r="D150" s="17"/>
      <c r="E150" s="55"/>
      <c r="F150" s="56"/>
    </row>
    <row r="151" spans="4:6" x14ac:dyDescent="0.25">
      <c r="D151" s="17"/>
      <c r="E151" s="55"/>
      <c r="F151" s="56"/>
    </row>
    <row r="152" spans="4:6" x14ac:dyDescent="0.25">
      <c r="D152" s="17"/>
      <c r="E152" s="55"/>
      <c r="F152" s="56"/>
    </row>
    <row r="153" spans="4:6" x14ac:dyDescent="0.25">
      <c r="D153" s="17"/>
      <c r="E153" s="55"/>
      <c r="F153" s="56"/>
    </row>
    <row r="154" spans="4:6" x14ac:dyDescent="0.25">
      <c r="D154" s="17"/>
      <c r="E154" s="55"/>
      <c r="F154" s="56"/>
    </row>
    <row r="155" spans="4:6" x14ac:dyDescent="0.25">
      <c r="D155" s="17"/>
      <c r="E155" s="55"/>
      <c r="F155" s="56"/>
    </row>
    <row r="156" spans="4:6" x14ac:dyDescent="0.25">
      <c r="D156" s="17"/>
      <c r="E156" s="55"/>
      <c r="F156" s="56"/>
    </row>
    <row r="157" spans="4:6" x14ac:dyDescent="0.25">
      <c r="D157" s="17"/>
      <c r="E157" s="55"/>
      <c r="F157" s="56"/>
    </row>
    <row r="158" spans="4:6" x14ac:dyDescent="0.25">
      <c r="D158" s="17"/>
      <c r="E158" s="55"/>
      <c r="F158" s="56"/>
    </row>
    <row r="159" spans="4:6" x14ac:dyDescent="0.25">
      <c r="D159" s="17"/>
      <c r="E159" s="55"/>
      <c r="F159" s="56"/>
    </row>
    <row r="160" spans="4:6" x14ac:dyDescent="0.25">
      <c r="D160" s="17"/>
      <c r="E160" s="55"/>
      <c r="F160" s="56"/>
    </row>
    <row r="161" spans="4:6" x14ac:dyDescent="0.25">
      <c r="D161" s="17"/>
      <c r="E161" s="55"/>
      <c r="F161" s="56"/>
    </row>
    <row r="162" spans="4:6" x14ac:dyDescent="0.25">
      <c r="D162" s="17"/>
      <c r="E162" s="55"/>
      <c r="F162" s="56"/>
    </row>
    <row r="163" spans="4:6" x14ac:dyDescent="0.25">
      <c r="D163" s="17"/>
      <c r="E163" s="55"/>
      <c r="F163" s="56"/>
    </row>
    <row r="164" spans="4:6" x14ac:dyDescent="0.25">
      <c r="D164" s="17"/>
      <c r="E164" s="55"/>
      <c r="F164" s="56"/>
    </row>
    <row r="165" spans="4:6" x14ac:dyDescent="0.25">
      <c r="D165" s="17"/>
      <c r="E165" s="55"/>
      <c r="F165" s="56"/>
    </row>
    <row r="166" spans="4:6" x14ac:dyDescent="0.25">
      <c r="D166" s="17"/>
      <c r="E166" s="55"/>
      <c r="F166" s="56"/>
    </row>
    <row r="167" spans="4:6" x14ac:dyDescent="0.25">
      <c r="D167" s="17"/>
      <c r="E167" s="55"/>
      <c r="F167" s="56"/>
    </row>
    <row r="168" spans="4:6" x14ac:dyDescent="0.25">
      <c r="D168" s="17"/>
      <c r="E168" s="55"/>
      <c r="F168" s="56"/>
    </row>
    <row r="169" spans="4:6" x14ac:dyDescent="0.25">
      <c r="D169" s="17"/>
      <c r="E169" s="55"/>
      <c r="F169" s="56"/>
    </row>
    <row r="170" spans="4:6" x14ac:dyDescent="0.25">
      <c r="D170" s="17"/>
      <c r="E170" s="55"/>
      <c r="F170" s="56"/>
    </row>
    <row r="171" spans="4:6" x14ac:dyDescent="0.25">
      <c r="D171" s="17"/>
      <c r="E171" s="55"/>
      <c r="F171" s="56"/>
    </row>
    <row r="172" spans="4:6" x14ac:dyDescent="0.25">
      <c r="D172" s="17"/>
      <c r="E172" s="55"/>
      <c r="F172" s="56"/>
    </row>
    <row r="173" spans="4:6" x14ac:dyDescent="0.25">
      <c r="D173" s="17"/>
      <c r="E173" s="55"/>
      <c r="F173" s="56"/>
    </row>
    <row r="174" spans="4:6" x14ac:dyDescent="0.25">
      <c r="D174" s="17"/>
      <c r="E174" s="55"/>
      <c r="F174" s="56"/>
    </row>
    <row r="175" spans="4:6" x14ac:dyDescent="0.25">
      <c r="D175" s="17"/>
      <c r="E175" s="55"/>
      <c r="F175" s="56"/>
    </row>
    <row r="176" spans="4:6" x14ac:dyDescent="0.25">
      <c r="D176" s="17"/>
      <c r="E176" s="55"/>
      <c r="F176" s="56"/>
    </row>
    <row r="177" spans="4:6" x14ac:dyDescent="0.25">
      <c r="D177" s="17"/>
      <c r="E177" s="55"/>
      <c r="F177" s="56"/>
    </row>
    <row r="178" spans="4:6" x14ac:dyDescent="0.25">
      <c r="D178" s="17"/>
      <c r="E178" s="55"/>
      <c r="F178" s="56"/>
    </row>
    <row r="179" spans="4:6" x14ac:dyDescent="0.25">
      <c r="D179" s="17"/>
      <c r="E179" s="55"/>
      <c r="F179" s="56"/>
    </row>
    <row r="180" spans="4:6" x14ac:dyDescent="0.25">
      <c r="D180" s="17"/>
      <c r="E180" s="55"/>
      <c r="F180" s="56"/>
    </row>
    <row r="181" spans="4:6" x14ac:dyDescent="0.25">
      <c r="D181" s="17"/>
      <c r="E181" s="55"/>
      <c r="F181" s="56"/>
    </row>
    <row r="182" spans="4:6" x14ac:dyDescent="0.25">
      <c r="D182" s="17"/>
      <c r="E182" s="55"/>
      <c r="F182" s="56"/>
    </row>
    <row r="183" spans="4:6" x14ac:dyDescent="0.25">
      <c r="D183" s="17"/>
      <c r="E183" s="55"/>
      <c r="F183" s="56"/>
    </row>
    <row r="184" spans="4:6" x14ac:dyDescent="0.25">
      <c r="D184" s="17"/>
      <c r="E184" s="55"/>
      <c r="F184" s="56"/>
    </row>
    <row r="185" spans="4:6" x14ac:dyDescent="0.25">
      <c r="D185" s="17"/>
      <c r="E185" s="55"/>
      <c r="F185" s="56"/>
    </row>
    <row r="186" spans="4:6" x14ac:dyDescent="0.25">
      <c r="D186" s="17"/>
      <c r="E186" s="55"/>
      <c r="F186" s="56"/>
    </row>
    <row r="187" spans="4:6" x14ac:dyDescent="0.25">
      <c r="D187" s="17"/>
      <c r="E187" s="55"/>
      <c r="F187" s="56"/>
    </row>
    <row r="188" spans="4:6" x14ac:dyDescent="0.25">
      <c r="D188" s="17"/>
      <c r="E188" s="55"/>
      <c r="F188" s="56"/>
    </row>
    <row r="189" spans="4:6" x14ac:dyDescent="0.25">
      <c r="D189" s="17"/>
      <c r="E189" s="55"/>
      <c r="F189" s="56"/>
    </row>
    <row r="190" spans="4:6" x14ac:dyDescent="0.25">
      <c r="D190" s="17"/>
      <c r="E190" s="55"/>
      <c r="F190" s="56"/>
    </row>
    <row r="191" spans="4:6" x14ac:dyDescent="0.25">
      <c r="D191" s="17"/>
      <c r="E191" s="55"/>
      <c r="F191" s="56"/>
    </row>
    <row r="192" spans="4:6" x14ac:dyDescent="0.25">
      <c r="D192" s="17"/>
      <c r="E192" s="55"/>
      <c r="F192" s="56"/>
    </row>
    <row r="193" spans="4:6" x14ac:dyDescent="0.25">
      <c r="D193" s="17"/>
      <c r="E193" s="55"/>
      <c r="F193" s="56"/>
    </row>
    <row r="194" spans="4:6" x14ac:dyDescent="0.25">
      <c r="D194" s="17"/>
      <c r="E194" s="55"/>
      <c r="F194" s="56"/>
    </row>
    <row r="195" spans="4:6" x14ac:dyDescent="0.25">
      <c r="D195" s="17"/>
      <c r="E195" s="55"/>
      <c r="F195" s="56"/>
    </row>
    <row r="196" spans="4:6" x14ac:dyDescent="0.25">
      <c r="D196" s="17"/>
      <c r="E196" s="55"/>
      <c r="F196" s="56"/>
    </row>
    <row r="197" spans="4:6" x14ac:dyDescent="0.25">
      <c r="D197" s="17"/>
      <c r="E197" s="55"/>
      <c r="F197" s="56"/>
    </row>
    <row r="198" spans="4:6" x14ac:dyDescent="0.25">
      <c r="D198" s="17"/>
      <c r="E198" s="55"/>
      <c r="F198" s="56"/>
    </row>
    <row r="199" spans="4:6" x14ac:dyDescent="0.25">
      <c r="D199" s="17"/>
      <c r="E199" s="55"/>
      <c r="F199" s="56"/>
    </row>
    <row r="200" spans="4:6" x14ac:dyDescent="0.25">
      <c r="D200" s="17"/>
      <c r="E200" s="55"/>
      <c r="F200" s="56"/>
    </row>
    <row r="201" spans="4:6" x14ac:dyDescent="0.25">
      <c r="D201" s="17"/>
      <c r="E201" s="55"/>
      <c r="F201" s="56"/>
    </row>
    <row r="202" spans="4:6" x14ac:dyDescent="0.25">
      <c r="D202" s="17"/>
      <c r="E202" s="55"/>
      <c r="F202" s="56"/>
    </row>
    <row r="203" spans="4:6" x14ac:dyDescent="0.25">
      <c r="D203" s="17"/>
      <c r="E203" s="55"/>
      <c r="F203" s="56"/>
    </row>
    <row r="204" spans="4:6" x14ac:dyDescent="0.25">
      <c r="D204" s="17"/>
      <c r="E204" s="55"/>
      <c r="F204" s="56"/>
    </row>
    <row r="205" spans="4:6" x14ac:dyDescent="0.25">
      <c r="D205" s="17"/>
      <c r="E205" s="55"/>
      <c r="F205" s="56"/>
    </row>
    <row r="206" spans="4:6" x14ac:dyDescent="0.25">
      <c r="D206" s="17"/>
      <c r="E206" s="55"/>
      <c r="F206" s="56"/>
    </row>
    <row r="207" spans="4:6" x14ac:dyDescent="0.25">
      <c r="D207" s="17"/>
      <c r="E207" s="55"/>
      <c r="F207" s="56"/>
    </row>
    <row r="208" spans="4:6" x14ac:dyDescent="0.25">
      <c r="D208" s="17"/>
      <c r="E208" s="55"/>
      <c r="F208" s="56"/>
    </row>
    <row r="209" spans="4:6" x14ac:dyDescent="0.25">
      <c r="D209" s="17"/>
      <c r="E209" s="55"/>
      <c r="F209" s="56"/>
    </row>
    <row r="210" spans="4:6" x14ac:dyDescent="0.25">
      <c r="D210" s="17"/>
      <c r="E210" s="55"/>
      <c r="F210" s="56"/>
    </row>
    <row r="211" spans="4:6" x14ac:dyDescent="0.25">
      <c r="D211" s="17"/>
      <c r="E211" s="55"/>
      <c r="F211" s="56"/>
    </row>
    <row r="212" spans="4:6" x14ac:dyDescent="0.25">
      <c r="D212" s="17"/>
      <c r="E212" s="55"/>
      <c r="F212" s="56"/>
    </row>
    <row r="213" spans="4:6" x14ac:dyDescent="0.25">
      <c r="D213" s="17"/>
      <c r="E213" s="55"/>
      <c r="F213" s="56"/>
    </row>
    <row r="214" spans="4:6" x14ac:dyDescent="0.25">
      <c r="D214" s="17"/>
      <c r="E214" s="55"/>
      <c r="F214" s="56"/>
    </row>
    <row r="215" spans="4:6" x14ac:dyDescent="0.25">
      <c r="D215" s="17"/>
      <c r="E215" s="55"/>
      <c r="F215" s="56"/>
    </row>
    <row r="216" spans="4:6" x14ac:dyDescent="0.25">
      <c r="D216" s="17"/>
      <c r="E216" s="55"/>
      <c r="F216" s="56"/>
    </row>
    <row r="217" spans="4:6" x14ac:dyDescent="0.25">
      <c r="D217" s="17"/>
      <c r="E217" s="55"/>
      <c r="F217" s="56"/>
    </row>
    <row r="218" spans="4:6" x14ac:dyDescent="0.25">
      <c r="D218" s="17"/>
      <c r="E218" s="55"/>
      <c r="F218" s="56"/>
    </row>
    <row r="219" spans="4:6" x14ac:dyDescent="0.25">
      <c r="D219" s="17"/>
      <c r="E219" s="55"/>
      <c r="F219" s="56"/>
    </row>
    <row r="220" spans="4:6" x14ac:dyDescent="0.25">
      <c r="D220" s="17"/>
      <c r="E220" s="55"/>
      <c r="F220" s="56"/>
    </row>
    <row r="221" spans="4:6" x14ac:dyDescent="0.25">
      <c r="D221" s="17"/>
      <c r="E221" s="55"/>
      <c r="F221" s="56"/>
    </row>
    <row r="222" spans="4:6" x14ac:dyDescent="0.25">
      <c r="D222" s="17"/>
      <c r="E222" s="55"/>
      <c r="F222" s="56"/>
    </row>
    <row r="223" spans="4:6" x14ac:dyDescent="0.25">
      <c r="D223" s="17"/>
      <c r="E223" s="55"/>
      <c r="F223" s="56"/>
    </row>
    <row r="224" spans="4:6" x14ac:dyDescent="0.25">
      <c r="D224" s="17"/>
      <c r="E224" s="55"/>
      <c r="F224" s="56"/>
    </row>
    <row r="225" spans="4:6" x14ac:dyDescent="0.25">
      <c r="D225" s="17"/>
      <c r="E225" s="55"/>
      <c r="F225" s="56"/>
    </row>
    <row r="226" spans="4:6" x14ac:dyDescent="0.25">
      <c r="D226" s="17"/>
      <c r="E226" s="55"/>
      <c r="F226" s="56"/>
    </row>
    <row r="227" spans="4:6" x14ac:dyDescent="0.25">
      <c r="D227" s="17"/>
      <c r="E227" s="55"/>
      <c r="F227" s="56"/>
    </row>
    <row r="228" spans="4:6" x14ac:dyDescent="0.25">
      <c r="D228" s="17"/>
      <c r="E228" s="55"/>
      <c r="F228" s="56"/>
    </row>
    <row r="229" spans="4:6" x14ac:dyDescent="0.25">
      <c r="D229" s="17"/>
      <c r="E229" s="55"/>
      <c r="F229" s="56"/>
    </row>
    <row r="230" spans="4:6" x14ac:dyDescent="0.25">
      <c r="D230" s="17"/>
      <c r="E230" s="55"/>
      <c r="F230" s="56"/>
    </row>
    <row r="231" spans="4:6" x14ac:dyDescent="0.25">
      <c r="D231" s="17"/>
      <c r="E231" s="55"/>
      <c r="F231" s="56"/>
    </row>
    <row r="232" spans="4:6" x14ac:dyDescent="0.25">
      <c r="D232" s="17"/>
      <c r="E232" s="55"/>
      <c r="F232" s="56"/>
    </row>
    <row r="233" spans="4:6" x14ac:dyDescent="0.25">
      <c r="D233" s="17"/>
      <c r="E233" s="55"/>
      <c r="F233" s="56"/>
    </row>
    <row r="234" spans="4:6" x14ac:dyDescent="0.25">
      <c r="D234" s="17"/>
      <c r="E234" s="55"/>
      <c r="F234" s="56"/>
    </row>
    <row r="235" spans="4:6" x14ac:dyDescent="0.25">
      <c r="D235" s="17"/>
      <c r="E235" s="55"/>
      <c r="F235" s="56"/>
    </row>
    <row r="236" spans="4:6" x14ac:dyDescent="0.25">
      <c r="D236" s="17"/>
      <c r="E236" s="55"/>
      <c r="F236" s="56"/>
    </row>
    <row r="237" spans="4:6" x14ac:dyDescent="0.25">
      <c r="D237" s="17"/>
      <c r="E237" s="55"/>
      <c r="F237" s="56"/>
    </row>
    <row r="238" spans="4:6" x14ac:dyDescent="0.25">
      <c r="D238" s="17"/>
      <c r="E238" s="55"/>
      <c r="F238" s="56"/>
    </row>
    <row r="239" spans="4:6" x14ac:dyDescent="0.25">
      <c r="D239" s="17"/>
      <c r="E239" s="55"/>
      <c r="F239" s="56"/>
    </row>
    <row r="240" spans="4:6" x14ac:dyDescent="0.25">
      <c r="D240" s="17"/>
      <c r="E240" s="55"/>
      <c r="F240" s="56"/>
    </row>
    <row r="241" spans="4:6" x14ac:dyDescent="0.25">
      <c r="D241" s="17"/>
      <c r="E241" s="55"/>
      <c r="F241" s="56"/>
    </row>
    <row r="242" spans="4:6" x14ac:dyDescent="0.25">
      <c r="D242" s="17"/>
      <c r="E242" s="55"/>
      <c r="F242" s="56"/>
    </row>
    <row r="243" spans="4:6" x14ac:dyDescent="0.25">
      <c r="D243" s="17"/>
      <c r="E243" s="55"/>
      <c r="F243" s="56"/>
    </row>
    <row r="244" spans="4:6" x14ac:dyDescent="0.25">
      <c r="D244" s="17"/>
      <c r="E244" s="55"/>
      <c r="F244" s="56"/>
    </row>
    <row r="245" spans="4:6" x14ac:dyDescent="0.25">
      <c r="D245" s="17"/>
      <c r="E245" s="55"/>
      <c r="F245" s="56"/>
    </row>
    <row r="246" spans="4:6" x14ac:dyDescent="0.25">
      <c r="D246" s="17"/>
      <c r="E246" s="55"/>
      <c r="F246" s="56"/>
    </row>
    <row r="247" spans="4:6" x14ac:dyDescent="0.25">
      <c r="D247" s="17"/>
      <c r="E247" s="55"/>
      <c r="F247" s="56"/>
    </row>
    <row r="248" spans="4:6" x14ac:dyDescent="0.25">
      <c r="D248" s="17"/>
      <c r="E248" s="55"/>
      <c r="F248" s="56"/>
    </row>
    <row r="249" spans="4:6" x14ac:dyDescent="0.25">
      <c r="D249" s="17"/>
      <c r="E249" s="55"/>
      <c r="F249" s="56"/>
    </row>
    <row r="250" spans="4:6" x14ac:dyDescent="0.25">
      <c r="D250" s="17"/>
      <c r="E250" s="55"/>
      <c r="F250" s="56"/>
    </row>
    <row r="251" spans="4:6" x14ac:dyDescent="0.25">
      <c r="D251" s="17"/>
      <c r="E251" s="55"/>
      <c r="F251" s="56"/>
    </row>
    <row r="252" spans="4:6" x14ac:dyDescent="0.25">
      <c r="D252" s="17"/>
      <c r="E252" s="55"/>
      <c r="F252" s="56"/>
    </row>
    <row r="253" spans="4:6" x14ac:dyDescent="0.25">
      <c r="D253" s="17"/>
      <c r="E253" s="55"/>
      <c r="F253" s="56"/>
    </row>
    <row r="254" spans="4:6" x14ac:dyDescent="0.25">
      <c r="D254" s="17"/>
      <c r="E254" s="55"/>
      <c r="F254" s="56"/>
    </row>
    <row r="255" spans="4:6" x14ac:dyDescent="0.25">
      <c r="D255" s="17"/>
      <c r="E255" s="55"/>
      <c r="F255" s="56"/>
    </row>
    <row r="256" spans="4:6" x14ac:dyDescent="0.25">
      <c r="D256" s="17"/>
      <c r="E256" s="55"/>
      <c r="F256" s="56"/>
    </row>
    <row r="257" spans="4:6" x14ac:dyDescent="0.25">
      <c r="D257" s="17"/>
      <c r="E257" s="55"/>
      <c r="F257" s="56"/>
    </row>
    <row r="258" spans="4:6" x14ac:dyDescent="0.25">
      <c r="D258" s="17"/>
      <c r="E258" s="55"/>
      <c r="F258" s="56"/>
    </row>
    <row r="259" spans="4:6" x14ac:dyDescent="0.25">
      <c r="D259" s="17"/>
      <c r="E259" s="55"/>
      <c r="F259" s="56"/>
    </row>
    <row r="260" spans="4:6" x14ac:dyDescent="0.25">
      <c r="D260" s="17"/>
      <c r="E260" s="55"/>
      <c r="F260" s="56"/>
    </row>
    <row r="261" spans="4:6" x14ac:dyDescent="0.25">
      <c r="D261" s="17"/>
      <c r="E261" s="55"/>
      <c r="F261" s="56"/>
    </row>
    <row r="262" spans="4:6" x14ac:dyDescent="0.25">
      <c r="D262" s="17"/>
      <c r="E262" s="55"/>
      <c r="F262" s="56"/>
    </row>
    <row r="263" spans="4:6" x14ac:dyDescent="0.25">
      <c r="D263" s="17"/>
      <c r="E263" s="55"/>
      <c r="F263" s="56"/>
    </row>
    <row r="264" spans="4:6" x14ac:dyDescent="0.25">
      <c r="D264" s="17"/>
      <c r="E264" s="55"/>
      <c r="F264" s="56"/>
    </row>
    <row r="265" spans="4:6" x14ac:dyDescent="0.25">
      <c r="D265" s="17"/>
      <c r="E265" s="55"/>
      <c r="F265" s="56"/>
    </row>
    <row r="266" spans="4:6" x14ac:dyDescent="0.25">
      <c r="D266" s="17"/>
      <c r="E266" s="55"/>
      <c r="F266" s="56"/>
    </row>
    <row r="267" spans="4:6" x14ac:dyDescent="0.25">
      <c r="D267" s="17"/>
      <c r="E267" s="55"/>
      <c r="F267" s="56"/>
    </row>
    <row r="268" spans="4:6" x14ac:dyDescent="0.25">
      <c r="D268" s="17"/>
      <c r="E268" s="55"/>
      <c r="F268" s="56"/>
    </row>
    <row r="269" spans="4:6" x14ac:dyDescent="0.25">
      <c r="D269" s="17"/>
      <c r="E269" s="55"/>
      <c r="F269" s="56"/>
    </row>
    <row r="270" spans="4:6" x14ac:dyDescent="0.25">
      <c r="D270" s="17"/>
      <c r="E270" s="55"/>
      <c r="F270" s="56"/>
    </row>
    <row r="271" spans="4:6" x14ac:dyDescent="0.25">
      <c r="D271" s="17"/>
      <c r="E271" s="55"/>
      <c r="F271" s="56"/>
    </row>
    <row r="272" spans="4:6" x14ac:dyDescent="0.25">
      <c r="D272" s="17"/>
      <c r="E272" s="55"/>
      <c r="F272" s="56"/>
    </row>
    <row r="273" spans="4:6" x14ac:dyDescent="0.25">
      <c r="D273" s="17"/>
      <c r="E273" s="55"/>
      <c r="F273" s="56"/>
    </row>
    <row r="274" spans="4:6" x14ac:dyDescent="0.25">
      <c r="D274" s="17"/>
      <c r="E274" s="55"/>
      <c r="F274" s="56"/>
    </row>
    <row r="275" spans="4:6" x14ac:dyDescent="0.25">
      <c r="D275" s="17"/>
      <c r="E275" s="55"/>
      <c r="F275" s="56"/>
    </row>
    <row r="276" spans="4:6" x14ac:dyDescent="0.25">
      <c r="D276" s="17"/>
      <c r="E276" s="55"/>
      <c r="F276" s="56"/>
    </row>
    <row r="277" spans="4:6" x14ac:dyDescent="0.25">
      <c r="D277" s="17"/>
      <c r="E277" s="55"/>
      <c r="F277" s="56"/>
    </row>
    <row r="278" spans="4:6" x14ac:dyDescent="0.25">
      <c r="D278" s="17"/>
      <c r="E278" s="55"/>
      <c r="F278" s="56"/>
    </row>
    <row r="279" spans="4:6" x14ac:dyDescent="0.25">
      <c r="D279" s="17"/>
      <c r="E279" s="55"/>
      <c r="F279" s="56"/>
    </row>
    <row r="280" spans="4:6" x14ac:dyDescent="0.25">
      <c r="D280" s="17"/>
      <c r="E280" s="55"/>
      <c r="F280" s="56"/>
    </row>
    <row r="281" spans="4:6" x14ac:dyDescent="0.25">
      <c r="D281" s="17"/>
      <c r="E281" s="55"/>
      <c r="F281" s="56"/>
    </row>
    <row r="282" spans="4:6" x14ac:dyDescent="0.25">
      <c r="D282" s="17"/>
      <c r="E282" s="55"/>
      <c r="F282" s="56"/>
    </row>
    <row r="283" spans="4:6" x14ac:dyDescent="0.25">
      <c r="D283" s="17"/>
      <c r="E283" s="55"/>
      <c r="F283" s="56"/>
    </row>
    <row r="284" spans="4:6" x14ac:dyDescent="0.25">
      <c r="D284" s="17"/>
      <c r="E284" s="55"/>
      <c r="F284" s="56"/>
    </row>
    <row r="285" spans="4:6" x14ac:dyDescent="0.25">
      <c r="D285" s="17"/>
      <c r="E285" s="55"/>
      <c r="F285" s="56"/>
    </row>
    <row r="286" spans="4:6" x14ac:dyDescent="0.25">
      <c r="D286" s="17"/>
      <c r="E286" s="55"/>
      <c r="F286" s="56"/>
    </row>
    <row r="287" spans="4:6" x14ac:dyDescent="0.25">
      <c r="D287" s="17"/>
      <c r="E287" s="55"/>
      <c r="F287" s="56"/>
    </row>
    <row r="288" spans="4:6" x14ac:dyDescent="0.25">
      <c r="D288" s="17"/>
      <c r="E288" s="55"/>
      <c r="F288" s="56"/>
    </row>
    <row r="289" spans="4:6" x14ac:dyDescent="0.25">
      <c r="D289" s="17"/>
      <c r="E289" s="55"/>
      <c r="F289" s="56"/>
    </row>
    <row r="290" spans="4:6" x14ac:dyDescent="0.25">
      <c r="D290" s="17"/>
      <c r="E290" s="55"/>
      <c r="F290" s="56"/>
    </row>
    <row r="291" spans="4:6" x14ac:dyDescent="0.25">
      <c r="D291" s="17"/>
      <c r="E291" s="55"/>
      <c r="F291" s="56"/>
    </row>
    <row r="292" spans="4:6" x14ac:dyDescent="0.25">
      <c r="D292" s="17"/>
      <c r="E292" s="55"/>
      <c r="F292" s="56"/>
    </row>
    <row r="293" spans="4:6" x14ac:dyDescent="0.25">
      <c r="D293" s="17"/>
      <c r="E293" s="55"/>
      <c r="F293" s="56"/>
    </row>
    <row r="294" spans="4:6" x14ac:dyDescent="0.25">
      <c r="D294" s="17"/>
      <c r="E294" s="55"/>
      <c r="F294" s="56"/>
    </row>
    <row r="295" spans="4:6" x14ac:dyDescent="0.25">
      <c r="D295" s="17"/>
      <c r="E295" s="55"/>
      <c r="F295" s="56"/>
    </row>
    <row r="296" spans="4:6" x14ac:dyDescent="0.25">
      <c r="D296" s="17"/>
      <c r="E296" s="55"/>
      <c r="F296" s="56"/>
    </row>
    <row r="297" spans="4:6" x14ac:dyDescent="0.25">
      <c r="D297" s="17"/>
      <c r="E297" s="55"/>
      <c r="F297" s="56"/>
    </row>
    <row r="298" spans="4:6" x14ac:dyDescent="0.25">
      <c r="D298" s="17"/>
      <c r="E298" s="55"/>
      <c r="F298" s="56"/>
    </row>
    <row r="299" spans="4:6" x14ac:dyDescent="0.25">
      <c r="D299" s="17"/>
      <c r="E299" s="55"/>
      <c r="F299" s="56"/>
    </row>
    <row r="300" spans="4:6" x14ac:dyDescent="0.25">
      <c r="D300" s="17"/>
      <c r="E300" s="55"/>
      <c r="F300" s="56"/>
    </row>
    <row r="301" spans="4:6" x14ac:dyDescent="0.25">
      <c r="D301" s="17"/>
      <c r="E301" s="55"/>
      <c r="F301" s="56"/>
    </row>
    <row r="302" spans="4:6" x14ac:dyDescent="0.25">
      <c r="D302" s="17"/>
      <c r="E302" s="55"/>
      <c r="F302" s="56"/>
    </row>
    <row r="303" spans="4:6" x14ac:dyDescent="0.25">
      <c r="D303" s="17"/>
      <c r="E303" s="55"/>
      <c r="F303" s="56"/>
    </row>
    <row r="304" spans="4:6" x14ac:dyDescent="0.25">
      <c r="D304" s="17"/>
      <c r="E304" s="55"/>
      <c r="F304" s="56"/>
    </row>
    <row r="305" spans="4:6" x14ac:dyDescent="0.25">
      <c r="D305" s="17"/>
      <c r="E305" s="55"/>
      <c r="F305" s="56"/>
    </row>
    <row r="306" spans="4:6" x14ac:dyDescent="0.25">
      <c r="D306" s="17"/>
      <c r="E306" s="55"/>
      <c r="F306" s="56"/>
    </row>
    <row r="307" spans="4:6" x14ac:dyDescent="0.25">
      <c r="D307" s="17"/>
      <c r="E307" s="55"/>
      <c r="F307" s="56"/>
    </row>
    <row r="308" spans="4:6" x14ac:dyDescent="0.25">
      <c r="D308" s="17"/>
      <c r="E308" s="55"/>
      <c r="F308" s="56"/>
    </row>
    <row r="309" spans="4:6" x14ac:dyDescent="0.25">
      <c r="D309" s="17"/>
      <c r="E309" s="55"/>
      <c r="F309" s="56"/>
    </row>
    <row r="310" spans="4:6" x14ac:dyDescent="0.25">
      <c r="D310" s="17"/>
      <c r="E310" s="55"/>
      <c r="F310" s="56"/>
    </row>
    <row r="311" spans="4:6" x14ac:dyDescent="0.25">
      <c r="D311" s="17"/>
      <c r="E311" s="55"/>
      <c r="F311" s="56"/>
    </row>
    <row r="312" spans="4:6" x14ac:dyDescent="0.25">
      <c r="D312" s="17"/>
      <c r="E312" s="55"/>
      <c r="F312" s="56"/>
    </row>
    <row r="313" spans="4:6" x14ac:dyDescent="0.25">
      <c r="D313" s="17"/>
      <c r="E313" s="55"/>
      <c r="F313" s="56"/>
    </row>
    <row r="314" spans="4:6" x14ac:dyDescent="0.25">
      <c r="D314" s="17"/>
      <c r="E314" s="55"/>
      <c r="F314" s="56"/>
    </row>
    <row r="315" spans="4:6" x14ac:dyDescent="0.25">
      <c r="D315" s="17"/>
      <c r="E315" s="55"/>
      <c r="F315" s="56"/>
    </row>
    <row r="316" spans="4:6" x14ac:dyDescent="0.25">
      <c r="D316" s="17"/>
      <c r="E316" s="55"/>
      <c r="F316" s="56"/>
    </row>
    <row r="317" spans="4:6" x14ac:dyDescent="0.25">
      <c r="D317" s="17"/>
      <c r="E317" s="55"/>
      <c r="F317" s="56"/>
    </row>
    <row r="318" spans="4:6" x14ac:dyDescent="0.25">
      <c r="D318" s="17"/>
      <c r="E318" s="55"/>
      <c r="F318" s="56"/>
    </row>
    <row r="319" spans="4:6" x14ac:dyDescent="0.25">
      <c r="D319" s="17"/>
      <c r="E319" s="55"/>
      <c r="F319" s="56"/>
    </row>
    <row r="320" spans="4:6" x14ac:dyDescent="0.25">
      <c r="D320" s="17"/>
      <c r="E320" s="55"/>
      <c r="F320" s="56"/>
    </row>
    <row r="321" spans="4:6" x14ac:dyDescent="0.25">
      <c r="D321" s="17"/>
      <c r="E321" s="55"/>
      <c r="F321" s="56"/>
    </row>
    <row r="322" spans="4:6" x14ac:dyDescent="0.25">
      <c r="D322" s="17"/>
      <c r="E322" s="55"/>
      <c r="F322" s="56"/>
    </row>
    <row r="323" spans="4:6" x14ac:dyDescent="0.25">
      <c r="D323" s="17"/>
      <c r="E323" s="55"/>
      <c r="F323" s="56"/>
    </row>
    <row r="324" spans="4:6" x14ac:dyDescent="0.25">
      <c r="D324" s="17"/>
      <c r="E324" s="55"/>
      <c r="F324" s="56"/>
    </row>
    <row r="325" spans="4:6" x14ac:dyDescent="0.25">
      <c r="D325" s="17"/>
      <c r="E325" s="55"/>
      <c r="F325" s="56"/>
    </row>
    <row r="326" spans="4:6" x14ac:dyDescent="0.25">
      <c r="D326" s="17"/>
      <c r="E326" s="55"/>
      <c r="F326" s="56"/>
    </row>
    <row r="327" spans="4:6" x14ac:dyDescent="0.25">
      <c r="D327" s="17"/>
      <c r="E327" s="55"/>
      <c r="F327" s="56"/>
    </row>
    <row r="328" spans="4:6" x14ac:dyDescent="0.25">
      <c r="D328" s="17"/>
      <c r="E328" s="55"/>
      <c r="F328" s="56"/>
    </row>
    <row r="329" spans="4:6" x14ac:dyDescent="0.25">
      <c r="D329" s="17"/>
      <c r="E329" s="55"/>
      <c r="F329" s="56"/>
    </row>
    <row r="330" spans="4:6" x14ac:dyDescent="0.25">
      <c r="D330" s="17"/>
      <c r="E330" s="55"/>
      <c r="F330" s="56"/>
    </row>
    <row r="331" spans="4:6" x14ac:dyDescent="0.25">
      <c r="D331" s="17"/>
      <c r="E331" s="55"/>
      <c r="F331" s="56"/>
    </row>
    <row r="332" spans="4:6" x14ac:dyDescent="0.25">
      <c r="D332" s="17"/>
      <c r="E332" s="55"/>
      <c r="F332" s="56"/>
    </row>
    <row r="333" spans="4:6" x14ac:dyDescent="0.25">
      <c r="D333" s="17"/>
      <c r="E333" s="55"/>
      <c r="F333" s="56"/>
    </row>
    <row r="334" spans="4:6" x14ac:dyDescent="0.25">
      <c r="D334" s="17"/>
      <c r="E334" s="55"/>
      <c r="F334" s="56"/>
    </row>
    <row r="335" spans="4:6" x14ac:dyDescent="0.25">
      <c r="D335" s="17"/>
      <c r="E335" s="55"/>
      <c r="F335" s="56"/>
    </row>
    <row r="336" spans="4:6" x14ac:dyDescent="0.25">
      <c r="D336" s="17"/>
      <c r="E336" s="55"/>
      <c r="F336" s="56"/>
    </row>
    <row r="337" spans="4:6" x14ac:dyDescent="0.25">
      <c r="D337" s="17"/>
      <c r="E337" s="55"/>
      <c r="F337" s="56"/>
    </row>
    <row r="338" spans="4:6" x14ac:dyDescent="0.25">
      <c r="D338" s="17"/>
      <c r="E338" s="55"/>
      <c r="F338" s="56"/>
    </row>
    <row r="339" spans="4:6" x14ac:dyDescent="0.25">
      <c r="D339" s="17"/>
      <c r="E339" s="55"/>
      <c r="F339" s="56"/>
    </row>
    <row r="340" spans="4:6" x14ac:dyDescent="0.25">
      <c r="D340" s="17"/>
      <c r="E340" s="55"/>
      <c r="F340" s="56"/>
    </row>
    <row r="341" spans="4:6" x14ac:dyDescent="0.25">
      <c r="D341" s="17"/>
      <c r="E341" s="55"/>
      <c r="F341" s="56"/>
    </row>
    <row r="342" spans="4:6" x14ac:dyDescent="0.25">
      <c r="D342" s="17"/>
      <c r="E342" s="55"/>
      <c r="F342" s="56"/>
    </row>
    <row r="343" spans="4:6" x14ac:dyDescent="0.25">
      <c r="D343" s="17"/>
      <c r="E343" s="55"/>
      <c r="F343" s="56"/>
    </row>
    <row r="344" spans="4:6" x14ac:dyDescent="0.25">
      <c r="D344" s="17"/>
      <c r="E344" s="55"/>
      <c r="F344" s="56"/>
    </row>
    <row r="345" spans="4:6" x14ac:dyDescent="0.25">
      <c r="D345" s="17"/>
      <c r="E345" s="55"/>
      <c r="F345" s="56"/>
    </row>
    <row r="346" spans="4:6" x14ac:dyDescent="0.25">
      <c r="D346" s="17"/>
      <c r="E346" s="55"/>
      <c r="F346" s="56"/>
    </row>
    <row r="347" spans="4:6" x14ac:dyDescent="0.25">
      <c r="D347" s="17"/>
      <c r="E347" s="55"/>
      <c r="F347" s="56"/>
    </row>
    <row r="348" spans="4:6" x14ac:dyDescent="0.25">
      <c r="D348" s="17"/>
      <c r="E348" s="55"/>
      <c r="F348" s="56"/>
    </row>
    <row r="349" spans="4:6" x14ac:dyDescent="0.25">
      <c r="D349" s="17"/>
      <c r="E349" s="55"/>
      <c r="F349" s="56"/>
    </row>
    <row r="350" spans="4:6" x14ac:dyDescent="0.25">
      <c r="D350" s="17"/>
      <c r="E350" s="55"/>
      <c r="F350" s="56"/>
    </row>
    <row r="351" spans="4:6" x14ac:dyDescent="0.25">
      <c r="D351" s="17"/>
      <c r="E351" s="55"/>
      <c r="F351" s="56"/>
    </row>
    <row r="352" spans="4:6" x14ac:dyDescent="0.25">
      <c r="D352" s="17"/>
      <c r="E352" s="55"/>
      <c r="F352" s="56"/>
    </row>
    <row r="353" spans="4:6" x14ac:dyDescent="0.25">
      <c r="D353" s="17"/>
      <c r="E353" s="55"/>
      <c r="F353" s="56"/>
    </row>
    <row r="354" spans="4:6" x14ac:dyDescent="0.25">
      <c r="D354" s="17"/>
      <c r="E354" s="55"/>
      <c r="F354" s="56"/>
    </row>
    <row r="355" spans="4:6" x14ac:dyDescent="0.25">
      <c r="D355" s="17"/>
      <c r="E355" s="55"/>
      <c r="F355" s="56"/>
    </row>
    <row r="356" spans="4:6" x14ac:dyDescent="0.25">
      <c r="D356" s="17"/>
      <c r="E356" s="55"/>
      <c r="F356" s="56"/>
    </row>
    <row r="357" spans="4:6" x14ac:dyDescent="0.25">
      <c r="D357" s="17"/>
      <c r="E357" s="55"/>
      <c r="F357" s="56"/>
    </row>
    <row r="358" spans="4:6" x14ac:dyDescent="0.25">
      <c r="D358" s="17"/>
      <c r="E358" s="55"/>
      <c r="F358" s="56"/>
    </row>
    <row r="359" spans="4:6" x14ac:dyDescent="0.25">
      <c r="D359" s="17"/>
      <c r="E359" s="55"/>
      <c r="F359" s="56"/>
    </row>
    <row r="360" spans="4:6" x14ac:dyDescent="0.25">
      <c r="D360" s="17"/>
      <c r="E360" s="55"/>
      <c r="F360" s="56"/>
    </row>
    <row r="361" spans="4:6" x14ac:dyDescent="0.25">
      <c r="D361" s="17"/>
      <c r="E361" s="55"/>
      <c r="F361" s="56"/>
    </row>
    <row r="362" spans="4:6" x14ac:dyDescent="0.25">
      <c r="D362" s="17"/>
      <c r="E362" s="55"/>
      <c r="F362" s="56"/>
    </row>
    <row r="363" spans="4:6" x14ac:dyDescent="0.25">
      <c r="D363" s="17"/>
      <c r="E363" s="55"/>
      <c r="F363" s="56"/>
    </row>
    <row r="364" spans="4:6" x14ac:dyDescent="0.25">
      <c r="D364" s="17"/>
      <c r="E364" s="55"/>
      <c r="F364" s="56"/>
    </row>
    <row r="365" spans="4:6" x14ac:dyDescent="0.25">
      <c r="D365" s="17"/>
      <c r="E365" s="55"/>
      <c r="F365" s="56"/>
    </row>
    <row r="366" spans="4:6" x14ac:dyDescent="0.25">
      <c r="D366" s="17"/>
      <c r="E366" s="55"/>
      <c r="F366" s="56"/>
    </row>
    <row r="367" spans="4:6" x14ac:dyDescent="0.25">
      <c r="D367" s="17"/>
      <c r="E367" s="55"/>
      <c r="F367" s="56"/>
    </row>
    <row r="368" spans="4:6" x14ac:dyDescent="0.25">
      <c r="D368" s="17"/>
      <c r="E368" s="55"/>
      <c r="F368" s="56"/>
    </row>
    <row r="369" spans="4:6" x14ac:dyDescent="0.25">
      <c r="D369" s="17"/>
      <c r="E369" s="55"/>
      <c r="F369" s="56"/>
    </row>
    <row r="370" spans="4:6" x14ac:dyDescent="0.25">
      <c r="D370" s="17"/>
      <c r="E370" s="55"/>
      <c r="F370" s="56"/>
    </row>
    <row r="371" spans="4:6" x14ac:dyDescent="0.25">
      <c r="D371" s="17"/>
      <c r="E371" s="55"/>
      <c r="F371" s="56"/>
    </row>
    <row r="372" spans="4:6" x14ac:dyDescent="0.25">
      <c r="D372" s="17"/>
      <c r="E372" s="55"/>
      <c r="F372" s="56"/>
    </row>
    <row r="373" spans="4:6" x14ac:dyDescent="0.25">
      <c r="D373" s="17"/>
      <c r="E373" s="55"/>
      <c r="F373" s="56"/>
    </row>
    <row r="374" spans="4:6" x14ac:dyDescent="0.25">
      <c r="D374" s="17"/>
      <c r="E374" s="55"/>
      <c r="F374" s="56"/>
    </row>
    <row r="375" spans="4:6" x14ac:dyDescent="0.25">
      <c r="D375" s="17"/>
      <c r="E375" s="55"/>
      <c r="F375" s="56"/>
    </row>
    <row r="376" spans="4:6" x14ac:dyDescent="0.25">
      <c r="D376" s="17"/>
      <c r="E376" s="55"/>
      <c r="F376" s="56"/>
    </row>
    <row r="377" spans="4:6" x14ac:dyDescent="0.25">
      <c r="D377" s="17"/>
      <c r="E377" s="55"/>
      <c r="F377" s="56"/>
    </row>
    <row r="378" spans="4:6" x14ac:dyDescent="0.25">
      <c r="D378" s="17"/>
      <c r="E378" s="55"/>
      <c r="F378" s="56"/>
    </row>
    <row r="379" spans="4:6" x14ac:dyDescent="0.25">
      <c r="D379" s="17"/>
      <c r="E379" s="55"/>
      <c r="F379" s="56"/>
    </row>
    <row r="380" spans="4:6" x14ac:dyDescent="0.25">
      <c r="D380" s="17"/>
      <c r="E380" s="55"/>
      <c r="F380" s="56"/>
    </row>
    <row r="381" spans="4:6" x14ac:dyDescent="0.25">
      <c r="D381" s="17"/>
      <c r="E381" s="55"/>
      <c r="F381" s="56"/>
    </row>
    <row r="382" spans="4:6" x14ac:dyDescent="0.25">
      <c r="D382" s="17"/>
      <c r="E382" s="55"/>
      <c r="F382" s="56"/>
    </row>
    <row r="383" spans="4:6" x14ac:dyDescent="0.25">
      <c r="D383" s="17"/>
      <c r="E383" s="55"/>
      <c r="F383" s="56"/>
    </row>
    <row r="384" spans="4:6" x14ac:dyDescent="0.25">
      <c r="D384" s="17"/>
      <c r="E384" s="55"/>
      <c r="F384" s="56"/>
    </row>
    <row r="385" spans="4:6" x14ac:dyDescent="0.25">
      <c r="D385" s="17"/>
      <c r="E385" s="55"/>
      <c r="F385" s="56"/>
    </row>
    <row r="386" spans="4:6" x14ac:dyDescent="0.25">
      <c r="D386" s="17"/>
      <c r="E386" s="55"/>
      <c r="F386" s="56"/>
    </row>
    <row r="387" spans="4:6" x14ac:dyDescent="0.25">
      <c r="D387" s="17"/>
      <c r="E387" s="55"/>
      <c r="F387" s="56"/>
    </row>
    <row r="388" spans="4:6" x14ac:dyDescent="0.25">
      <c r="D388" s="17"/>
      <c r="E388" s="55"/>
      <c r="F388" s="56"/>
    </row>
    <row r="389" spans="4:6" x14ac:dyDescent="0.25">
      <c r="D389" s="17"/>
      <c r="E389" s="55"/>
      <c r="F389" s="56"/>
    </row>
    <row r="390" spans="4:6" x14ac:dyDescent="0.25">
      <c r="D390" s="17"/>
      <c r="E390" s="55"/>
      <c r="F390" s="56"/>
    </row>
    <row r="391" spans="4:6" x14ac:dyDescent="0.25">
      <c r="D391" s="17"/>
      <c r="E391" s="55"/>
      <c r="F391" s="56"/>
    </row>
    <row r="392" spans="4:6" x14ac:dyDescent="0.25">
      <c r="D392" s="17"/>
      <c r="E392" s="55"/>
      <c r="F392" s="56"/>
    </row>
    <row r="393" spans="4:6" x14ac:dyDescent="0.25">
      <c r="D393" s="17"/>
      <c r="E393" s="55"/>
      <c r="F393" s="56"/>
    </row>
    <row r="394" spans="4:6" x14ac:dyDescent="0.25">
      <c r="D394" s="17"/>
      <c r="E394" s="55"/>
      <c r="F394" s="56"/>
    </row>
    <row r="395" spans="4:6" x14ac:dyDescent="0.25">
      <c r="D395" s="17"/>
      <c r="E395" s="55"/>
      <c r="F395" s="56"/>
    </row>
    <row r="396" spans="4:6" x14ac:dyDescent="0.25">
      <c r="D396" s="17"/>
      <c r="E396" s="55"/>
      <c r="F396" s="56"/>
    </row>
    <row r="397" spans="4:6" x14ac:dyDescent="0.25">
      <c r="D397" s="17"/>
      <c r="E397" s="55"/>
      <c r="F397" s="56"/>
    </row>
    <row r="398" spans="4:6" x14ac:dyDescent="0.25">
      <c r="D398" s="17"/>
      <c r="E398" s="55"/>
      <c r="F398" s="56"/>
    </row>
    <row r="399" spans="4:6" x14ac:dyDescent="0.25">
      <c r="D399" s="17"/>
      <c r="E399" s="55"/>
      <c r="F399" s="56"/>
    </row>
    <row r="400" spans="4:6" x14ac:dyDescent="0.25">
      <c r="D400" s="17"/>
      <c r="E400" s="55"/>
      <c r="F400" s="56"/>
    </row>
    <row r="401" spans="4:6" x14ac:dyDescent="0.25">
      <c r="D401" s="17"/>
      <c r="E401" s="55"/>
      <c r="F401" s="56"/>
    </row>
    <row r="402" spans="4:6" x14ac:dyDescent="0.25">
      <c r="D402" s="17"/>
      <c r="E402" s="55"/>
      <c r="F402" s="56"/>
    </row>
    <row r="403" spans="4:6" x14ac:dyDescent="0.25">
      <c r="D403" s="17"/>
      <c r="E403" s="55"/>
      <c r="F403" s="56"/>
    </row>
    <row r="404" spans="4:6" x14ac:dyDescent="0.25">
      <c r="D404" s="17"/>
      <c r="E404" s="55"/>
      <c r="F404" s="56"/>
    </row>
    <row r="405" spans="4:6" x14ac:dyDescent="0.25">
      <c r="D405" s="17"/>
      <c r="E405" s="55"/>
      <c r="F405" s="56"/>
    </row>
    <row r="406" spans="4:6" x14ac:dyDescent="0.25">
      <c r="D406" s="17"/>
      <c r="E406" s="55"/>
      <c r="F406" s="56"/>
    </row>
    <row r="407" spans="4:6" x14ac:dyDescent="0.25">
      <c r="D407" s="17"/>
      <c r="E407" s="55"/>
      <c r="F407" s="56"/>
    </row>
    <row r="408" spans="4:6" x14ac:dyDescent="0.25">
      <c r="D408" s="17"/>
      <c r="E408" s="55"/>
      <c r="F408" s="56"/>
    </row>
    <row r="409" spans="4:6" x14ac:dyDescent="0.25">
      <c r="D409" s="17"/>
      <c r="E409" s="55"/>
      <c r="F409" s="56"/>
    </row>
    <row r="410" spans="4:6" x14ac:dyDescent="0.25">
      <c r="D410" s="17"/>
      <c r="E410" s="55"/>
      <c r="F410" s="56"/>
    </row>
    <row r="411" spans="4:6" x14ac:dyDescent="0.25">
      <c r="D411" s="17"/>
      <c r="E411" s="55"/>
      <c r="F411" s="56"/>
    </row>
    <row r="412" spans="4:6" x14ac:dyDescent="0.25">
      <c r="D412" s="17"/>
      <c r="E412" s="55"/>
      <c r="F412" s="56"/>
    </row>
    <row r="413" spans="4:6" x14ac:dyDescent="0.25">
      <c r="D413" s="17"/>
      <c r="E413" s="55"/>
      <c r="F413" s="56"/>
    </row>
    <row r="414" spans="4:6" x14ac:dyDescent="0.25">
      <c r="D414" s="17"/>
      <c r="E414" s="55"/>
      <c r="F414" s="56"/>
    </row>
    <row r="415" spans="4:6" x14ac:dyDescent="0.25">
      <c r="D415" s="17"/>
      <c r="E415" s="55"/>
      <c r="F415" s="56"/>
    </row>
    <row r="416" spans="4:6" x14ac:dyDescent="0.25">
      <c r="D416" s="17"/>
      <c r="E416" s="55"/>
      <c r="F416" s="56"/>
    </row>
    <row r="417" spans="4:6" x14ac:dyDescent="0.25">
      <c r="D417" s="17"/>
      <c r="E417" s="55"/>
      <c r="F417" s="56"/>
    </row>
    <row r="418" spans="4:6" x14ac:dyDescent="0.25">
      <c r="D418" s="17"/>
      <c r="E418" s="55"/>
      <c r="F418" s="56"/>
    </row>
    <row r="419" spans="4:6" x14ac:dyDescent="0.25">
      <c r="D419" s="17"/>
      <c r="E419" s="55"/>
      <c r="F419" s="56"/>
    </row>
    <row r="420" spans="4:6" x14ac:dyDescent="0.25">
      <c r="D420" s="17"/>
      <c r="E420" s="55"/>
      <c r="F420" s="56"/>
    </row>
    <row r="421" spans="4:6" x14ac:dyDescent="0.25">
      <c r="D421" s="17"/>
      <c r="E421" s="55"/>
      <c r="F421" s="56"/>
    </row>
    <row r="422" spans="4:6" x14ac:dyDescent="0.25">
      <c r="D422" s="17"/>
      <c r="E422" s="55"/>
      <c r="F422" s="56"/>
    </row>
    <row r="423" spans="4:6" x14ac:dyDescent="0.25">
      <c r="D423" s="17"/>
      <c r="E423" s="55"/>
      <c r="F423" s="56"/>
    </row>
    <row r="424" spans="4:6" x14ac:dyDescent="0.25">
      <c r="D424" s="17"/>
      <c r="E424" s="55"/>
      <c r="F424" s="56"/>
    </row>
    <row r="425" spans="4:6" x14ac:dyDescent="0.25">
      <c r="D425" s="17"/>
      <c r="E425" s="55"/>
      <c r="F425" s="56"/>
    </row>
    <row r="426" spans="4:6" x14ac:dyDescent="0.25">
      <c r="D426" s="17"/>
      <c r="E426" s="55"/>
      <c r="F426" s="56"/>
    </row>
    <row r="427" spans="4:6" x14ac:dyDescent="0.25">
      <c r="D427" s="17"/>
      <c r="E427" s="55"/>
      <c r="F427" s="56"/>
    </row>
    <row r="428" spans="4:6" x14ac:dyDescent="0.25">
      <c r="D428" s="17"/>
      <c r="E428" s="55"/>
      <c r="F428" s="56"/>
    </row>
    <row r="429" spans="4:6" x14ac:dyDescent="0.25">
      <c r="D429" s="17"/>
      <c r="E429" s="55"/>
      <c r="F429" s="56"/>
    </row>
    <row r="430" spans="4:6" x14ac:dyDescent="0.25">
      <c r="D430" s="17"/>
      <c r="E430" s="55"/>
      <c r="F430" s="56"/>
    </row>
    <row r="431" spans="4:6" x14ac:dyDescent="0.25">
      <c r="D431" s="17"/>
      <c r="E431" s="55"/>
      <c r="F431" s="56"/>
    </row>
    <row r="432" spans="4:6" x14ac:dyDescent="0.25">
      <c r="D432" s="17"/>
      <c r="E432" s="55"/>
      <c r="F432" s="56"/>
    </row>
    <row r="433" spans="4:6" x14ac:dyDescent="0.25">
      <c r="D433" s="17"/>
      <c r="E433" s="55"/>
      <c r="F433" s="56"/>
    </row>
    <row r="434" spans="4:6" x14ac:dyDescent="0.25">
      <c r="D434" s="17"/>
      <c r="E434" s="55"/>
      <c r="F434" s="56"/>
    </row>
    <row r="435" spans="4:6" x14ac:dyDescent="0.25">
      <c r="D435" s="17"/>
      <c r="E435" s="55"/>
      <c r="F435" s="56"/>
    </row>
    <row r="436" spans="4:6" x14ac:dyDescent="0.25">
      <c r="D436" s="17"/>
      <c r="E436" s="55"/>
      <c r="F436" s="56"/>
    </row>
    <row r="437" spans="4:6" x14ac:dyDescent="0.25">
      <c r="D437" s="17"/>
      <c r="E437" s="55"/>
      <c r="F437" s="56"/>
    </row>
    <row r="438" spans="4:6" x14ac:dyDescent="0.25">
      <c r="D438" s="17"/>
      <c r="E438" s="55"/>
      <c r="F438" s="56"/>
    </row>
    <row r="439" spans="4:6" x14ac:dyDescent="0.25">
      <c r="D439" s="17"/>
      <c r="E439" s="55"/>
      <c r="F439" s="56"/>
    </row>
    <row r="440" spans="4:6" x14ac:dyDescent="0.25">
      <c r="D440" s="17"/>
      <c r="E440" s="55"/>
      <c r="F440" s="56"/>
    </row>
    <row r="441" spans="4:6" x14ac:dyDescent="0.25">
      <c r="D441" s="17"/>
      <c r="E441" s="55"/>
      <c r="F441" s="56"/>
    </row>
    <row r="442" spans="4:6" x14ac:dyDescent="0.25">
      <c r="D442" s="17"/>
      <c r="E442" s="55"/>
      <c r="F442" s="56"/>
    </row>
    <row r="443" spans="4:6" x14ac:dyDescent="0.25">
      <c r="D443" s="17"/>
      <c r="E443" s="55"/>
      <c r="F443" s="56"/>
    </row>
    <row r="444" spans="4:6" x14ac:dyDescent="0.25">
      <c r="D444" s="17"/>
      <c r="E444" s="55"/>
      <c r="F444" s="56"/>
    </row>
    <row r="445" spans="4:6" x14ac:dyDescent="0.25">
      <c r="D445" s="17"/>
      <c r="E445" s="55"/>
      <c r="F445" s="56"/>
    </row>
    <row r="446" spans="4:6" x14ac:dyDescent="0.25">
      <c r="D446" s="17"/>
      <c r="E446" s="55"/>
      <c r="F446" s="56"/>
    </row>
    <row r="447" spans="4:6" x14ac:dyDescent="0.25">
      <c r="D447" s="17"/>
      <c r="E447" s="55"/>
      <c r="F447" s="56"/>
    </row>
    <row r="448" spans="4:6" x14ac:dyDescent="0.25">
      <c r="D448" s="17"/>
      <c r="E448" s="55"/>
      <c r="F448" s="56"/>
    </row>
    <row r="449" spans="4:6" x14ac:dyDescent="0.25">
      <c r="D449" s="17"/>
      <c r="E449" s="55"/>
      <c r="F449" s="56"/>
    </row>
    <row r="450" spans="4:6" x14ac:dyDescent="0.25">
      <c r="D450" s="17"/>
      <c r="E450" s="55"/>
      <c r="F450" s="56"/>
    </row>
    <row r="451" spans="4:6" x14ac:dyDescent="0.25">
      <c r="D451" s="17"/>
      <c r="E451" s="55"/>
      <c r="F451" s="56"/>
    </row>
    <row r="452" spans="4:6" x14ac:dyDescent="0.25">
      <c r="D452" s="17"/>
      <c r="E452" s="55"/>
      <c r="F452" s="56"/>
    </row>
    <row r="453" spans="4:6" x14ac:dyDescent="0.25">
      <c r="D453" s="17"/>
      <c r="E453" s="55"/>
      <c r="F453" s="56"/>
    </row>
    <row r="454" spans="4:6" x14ac:dyDescent="0.25">
      <c r="D454" s="17"/>
      <c r="E454" s="55"/>
      <c r="F454" s="56"/>
    </row>
    <row r="455" spans="4:6" x14ac:dyDescent="0.25">
      <c r="D455" s="17"/>
      <c r="E455" s="55"/>
      <c r="F455" s="56"/>
    </row>
    <row r="456" spans="4:6" x14ac:dyDescent="0.25">
      <c r="D456" s="17"/>
      <c r="E456" s="55"/>
      <c r="F456" s="56"/>
    </row>
    <row r="457" spans="4:6" x14ac:dyDescent="0.25">
      <c r="D457" s="17"/>
      <c r="E457" s="55"/>
      <c r="F457" s="56"/>
    </row>
    <row r="458" spans="4:6" x14ac:dyDescent="0.25">
      <c r="D458" s="17"/>
      <c r="E458" s="55"/>
      <c r="F458" s="56"/>
    </row>
    <row r="459" spans="4:6" x14ac:dyDescent="0.25">
      <c r="D459" s="17"/>
      <c r="E459" s="55"/>
      <c r="F459" s="56"/>
    </row>
    <row r="460" spans="4:6" x14ac:dyDescent="0.25">
      <c r="D460" s="17"/>
      <c r="E460" s="55"/>
      <c r="F460" s="56"/>
    </row>
    <row r="461" spans="4:6" x14ac:dyDescent="0.25">
      <c r="D461" s="17"/>
      <c r="E461" s="55"/>
      <c r="F461" s="56"/>
    </row>
    <row r="462" spans="4:6" x14ac:dyDescent="0.25">
      <c r="D462" s="17"/>
      <c r="E462" s="55"/>
      <c r="F462" s="56"/>
    </row>
    <row r="463" spans="4:6" x14ac:dyDescent="0.25">
      <c r="D463" s="17"/>
      <c r="E463" s="55"/>
      <c r="F463" s="56"/>
    </row>
    <row r="464" spans="4:6" x14ac:dyDescent="0.25">
      <c r="D464" s="17"/>
      <c r="E464" s="55"/>
      <c r="F464" s="56"/>
    </row>
    <row r="465" spans="4:6" x14ac:dyDescent="0.25">
      <c r="D465" s="17"/>
      <c r="E465" s="55"/>
      <c r="F465" s="56"/>
    </row>
    <row r="466" spans="4:6" x14ac:dyDescent="0.25">
      <c r="D466" s="17"/>
      <c r="E466" s="55"/>
      <c r="F466" s="56"/>
    </row>
    <row r="467" spans="4:6" x14ac:dyDescent="0.25">
      <c r="D467" s="17"/>
      <c r="E467" s="55"/>
      <c r="F467" s="56"/>
    </row>
    <row r="468" spans="4:6" x14ac:dyDescent="0.25">
      <c r="D468" s="17"/>
      <c r="E468" s="55"/>
      <c r="F468" s="56"/>
    </row>
    <row r="469" spans="4:6" x14ac:dyDescent="0.25">
      <c r="D469" s="17"/>
      <c r="E469" s="55"/>
      <c r="F469" s="56"/>
    </row>
    <row r="470" spans="4:6" x14ac:dyDescent="0.25">
      <c r="D470" s="17"/>
      <c r="E470" s="55"/>
      <c r="F470" s="56"/>
    </row>
    <row r="471" spans="4:6" x14ac:dyDescent="0.25">
      <c r="D471" s="17"/>
      <c r="E471" s="55"/>
      <c r="F471" s="56"/>
    </row>
    <row r="472" spans="4:6" x14ac:dyDescent="0.25">
      <c r="D472" s="17"/>
      <c r="E472" s="55"/>
      <c r="F472" s="56"/>
    </row>
    <row r="473" spans="4:6" x14ac:dyDescent="0.25">
      <c r="D473" s="17"/>
      <c r="E473" s="55"/>
      <c r="F473" s="56"/>
    </row>
    <row r="474" spans="4:6" x14ac:dyDescent="0.25">
      <c r="D474" s="17"/>
      <c r="E474" s="55"/>
      <c r="F474" s="56"/>
    </row>
    <row r="475" spans="4:6" x14ac:dyDescent="0.25">
      <c r="D475" s="17"/>
      <c r="E475" s="55"/>
      <c r="F475" s="56"/>
    </row>
    <row r="476" spans="4:6" x14ac:dyDescent="0.25">
      <c r="D476" s="17"/>
      <c r="E476" s="55"/>
      <c r="F476" s="56"/>
    </row>
    <row r="477" spans="4:6" x14ac:dyDescent="0.25">
      <c r="D477" s="17"/>
      <c r="E477" s="55"/>
      <c r="F477" s="56"/>
    </row>
    <row r="478" spans="4:6" x14ac:dyDescent="0.25">
      <c r="D478" s="17"/>
      <c r="E478" s="55"/>
      <c r="F478" s="56"/>
    </row>
    <row r="479" spans="4:6" x14ac:dyDescent="0.25">
      <c r="D479" s="17"/>
      <c r="E479" s="55"/>
      <c r="F479" s="56"/>
    </row>
    <row r="480" spans="4:6" x14ac:dyDescent="0.25">
      <c r="D480" s="17"/>
      <c r="E480" s="55"/>
      <c r="F480" s="56"/>
    </row>
    <row r="481" spans="4:6" x14ac:dyDescent="0.25">
      <c r="D481" s="17"/>
      <c r="E481" s="55"/>
      <c r="F481" s="56"/>
    </row>
    <row r="482" spans="4:6" x14ac:dyDescent="0.25">
      <c r="D482" s="17"/>
      <c r="E482" s="55"/>
      <c r="F482" s="56"/>
    </row>
    <row r="483" spans="4:6" x14ac:dyDescent="0.25">
      <c r="D483" s="17"/>
      <c r="E483" s="55"/>
      <c r="F483" s="56"/>
    </row>
    <row r="484" spans="4:6" x14ac:dyDescent="0.25">
      <c r="D484" s="17"/>
      <c r="E484" s="55"/>
      <c r="F484" s="56"/>
    </row>
    <row r="485" spans="4:6" x14ac:dyDescent="0.25">
      <c r="D485" s="17"/>
      <c r="E485" s="55"/>
      <c r="F485" s="56"/>
    </row>
    <row r="486" spans="4:6" x14ac:dyDescent="0.25">
      <c r="D486" s="17"/>
      <c r="E486" s="55"/>
      <c r="F486" s="56"/>
    </row>
    <row r="487" spans="4:6" x14ac:dyDescent="0.25">
      <c r="D487" s="17"/>
      <c r="E487" s="55"/>
      <c r="F487" s="56"/>
    </row>
    <row r="488" spans="4:6" x14ac:dyDescent="0.25">
      <c r="D488" s="17"/>
      <c r="E488" s="55"/>
      <c r="F488" s="56"/>
    </row>
    <row r="489" spans="4:6" x14ac:dyDescent="0.25">
      <c r="D489" s="17"/>
      <c r="E489" s="55"/>
      <c r="F489" s="56"/>
    </row>
    <row r="490" spans="4:6" x14ac:dyDescent="0.25">
      <c r="D490" s="17"/>
      <c r="E490" s="55"/>
      <c r="F490" s="56"/>
    </row>
    <row r="491" spans="4:6" x14ac:dyDescent="0.25">
      <c r="D491" s="17"/>
      <c r="E491" s="55"/>
      <c r="F491" s="56"/>
    </row>
    <row r="492" spans="4:6" x14ac:dyDescent="0.25">
      <c r="D492" s="17"/>
      <c r="E492" s="55"/>
      <c r="F492" s="56"/>
    </row>
    <row r="493" spans="4:6" x14ac:dyDescent="0.25">
      <c r="D493" s="17"/>
      <c r="E493" s="55"/>
      <c r="F493" s="56"/>
    </row>
    <row r="494" spans="4:6" x14ac:dyDescent="0.25">
      <c r="D494" s="17"/>
      <c r="E494" s="55"/>
      <c r="F494" s="56"/>
    </row>
    <row r="495" spans="4:6" x14ac:dyDescent="0.25">
      <c r="D495" s="17"/>
      <c r="E495" s="55"/>
      <c r="F495" s="56"/>
    </row>
    <row r="496" spans="4:6" x14ac:dyDescent="0.25">
      <c r="D496" s="17"/>
      <c r="E496" s="55"/>
      <c r="F496" s="56"/>
    </row>
    <row r="497" spans="4:6" x14ac:dyDescent="0.25">
      <c r="D497" s="17"/>
      <c r="E497" s="55"/>
      <c r="F497" s="56"/>
    </row>
    <row r="498" spans="4:6" x14ac:dyDescent="0.25">
      <c r="D498" s="17"/>
      <c r="E498" s="55"/>
      <c r="F498" s="56"/>
    </row>
    <row r="499" spans="4:6" x14ac:dyDescent="0.25">
      <c r="D499" s="17"/>
      <c r="E499" s="55"/>
      <c r="F499" s="56"/>
    </row>
    <row r="500" spans="4:6" x14ac:dyDescent="0.25">
      <c r="D500" s="17"/>
      <c r="E500" s="55"/>
      <c r="F500" s="56"/>
    </row>
    <row r="501" spans="4:6" x14ac:dyDescent="0.25">
      <c r="D501" s="17"/>
      <c r="E501" s="55"/>
      <c r="F501" s="56"/>
    </row>
    <row r="502" spans="4:6" x14ac:dyDescent="0.25">
      <c r="D502" s="17"/>
      <c r="E502" s="55"/>
      <c r="F502" s="56"/>
    </row>
    <row r="503" spans="4:6" x14ac:dyDescent="0.25">
      <c r="D503" s="17"/>
      <c r="E503" s="55"/>
      <c r="F503" s="56"/>
    </row>
    <row r="504" spans="4:6" x14ac:dyDescent="0.25">
      <c r="D504" s="17"/>
      <c r="E504" s="55"/>
      <c r="F504" s="56"/>
    </row>
    <row r="505" spans="4:6" x14ac:dyDescent="0.25">
      <c r="D505" s="17"/>
      <c r="E505" s="55"/>
      <c r="F505" s="56"/>
    </row>
    <row r="506" spans="4:6" x14ac:dyDescent="0.25">
      <c r="D506" s="17"/>
      <c r="E506" s="55"/>
      <c r="F506" s="56"/>
    </row>
    <row r="507" spans="4:6" x14ac:dyDescent="0.25">
      <c r="D507" s="17"/>
      <c r="E507" s="55"/>
      <c r="F507" s="56"/>
    </row>
    <row r="508" spans="4:6" x14ac:dyDescent="0.25">
      <c r="D508" s="17"/>
      <c r="E508" s="55"/>
      <c r="F508" s="56"/>
    </row>
    <row r="509" spans="4:6" x14ac:dyDescent="0.25">
      <c r="D509" s="17"/>
      <c r="E509" s="55"/>
      <c r="F509" s="56"/>
    </row>
    <row r="510" spans="4:6" x14ac:dyDescent="0.25">
      <c r="D510" s="17"/>
      <c r="E510" s="55"/>
      <c r="F510" s="56"/>
    </row>
    <row r="511" spans="4:6" x14ac:dyDescent="0.25">
      <c r="D511" s="17"/>
      <c r="E511" s="55"/>
      <c r="F511" s="56"/>
    </row>
    <row r="512" spans="4:6" x14ac:dyDescent="0.25">
      <c r="D512" s="17"/>
      <c r="E512" s="55"/>
      <c r="F512" s="56"/>
    </row>
    <row r="513" spans="4:6" x14ac:dyDescent="0.25">
      <c r="D513" s="17"/>
      <c r="E513" s="55"/>
      <c r="F513" s="56"/>
    </row>
    <row r="514" spans="4:6" x14ac:dyDescent="0.25">
      <c r="D514" s="17"/>
      <c r="E514" s="55"/>
      <c r="F514" s="56"/>
    </row>
    <row r="515" spans="4:6" x14ac:dyDescent="0.25">
      <c r="D515" s="17"/>
      <c r="E515" s="55"/>
      <c r="F515" s="56"/>
    </row>
    <row r="516" spans="4:6" x14ac:dyDescent="0.25">
      <c r="D516" s="17"/>
      <c r="E516" s="55"/>
      <c r="F516" s="56"/>
    </row>
    <row r="517" spans="4:6" x14ac:dyDescent="0.25">
      <c r="D517" s="17"/>
      <c r="E517" s="55"/>
      <c r="F517" s="56"/>
    </row>
    <row r="518" spans="4:6" x14ac:dyDescent="0.25">
      <c r="D518" s="17"/>
      <c r="E518" s="55"/>
      <c r="F518" s="56"/>
    </row>
    <row r="519" spans="4:6" x14ac:dyDescent="0.25">
      <c r="D519" s="17"/>
      <c r="E519" s="55"/>
      <c r="F519" s="56"/>
    </row>
    <row r="520" spans="4:6" x14ac:dyDescent="0.25">
      <c r="D520" s="17"/>
      <c r="E520" s="55"/>
      <c r="F520" s="56"/>
    </row>
    <row r="521" spans="4:6" x14ac:dyDescent="0.25">
      <c r="D521" s="17"/>
      <c r="E521" s="55"/>
      <c r="F521" s="56"/>
    </row>
    <row r="522" spans="4:6" x14ac:dyDescent="0.25">
      <c r="D522" s="17"/>
      <c r="E522" s="55"/>
      <c r="F522" s="56"/>
    </row>
    <row r="523" spans="4:6" x14ac:dyDescent="0.25">
      <c r="D523" s="17"/>
      <c r="E523" s="55"/>
      <c r="F523" s="56"/>
    </row>
    <row r="524" spans="4:6" x14ac:dyDescent="0.25">
      <c r="D524" s="17"/>
      <c r="E524" s="55"/>
      <c r="F524" s="56"/>
    </row>
    <row r="525" spans="4:6" x14ac:dyDescent="0.25">
      <c r="D525" s="17"/>
      <c r="E525" s="55"/>
      <c r="F525" s="56"/>
    </row>
    <row r="526" spans="4:6" x14ac:dyDescent="0.25">
      <c r="D526" s="17"/>
      <c r="E526" s="55"/>
      <c r="F526" s="56"/>
    </row>
    <row r="527" spans="4:6" x14ac:dyDescent="0.25">
      <c r="D527" s="17"/>
      <c r="E527" s="55"/>
      <c r="F527" s="56"/>
    </row>
    <row r="528" spans="4:6" x14ac:dyDescent="0.25">
      <c r="D528" s="17"/>
      <c r="E528" s="55"/>
      <c r="F528" s="56"/>
    </row>
    <row r="529" spans="4:6" x14ac:dyDescent="0.25">
      <c r="D529" s="17"/>
      <c r="E529" s="55"/>
      <c r="F529" s="56"/>
    </row>
    <row r="530" spans="4:6" x14ac:dyDescent="0.25">
      <c r="D530" s="17"/>
      <c r="E530" s="55"/>
      <c r="F530" s="56"/>
    </row>
    <row r="531" spans="4:6" x14ac:dyDescent="0.25">
      <c r="D531" s="17"/>
      <c r="E531" s="55"/>
      <c r="F531" s="56"/>
    </row>
    <row r="532" spans="4:6" x14ac:dyDescent="0.25">
      <c r="D532" s="17"/>
      <c r="E532" s="55"/>
      <c r="F532" s="56"/>
    </row>
    <row r="533" spans="4:6" x14ac:dyDescent="0.25">
      <c r="D533" s="17"/>
      <c r="E533" s="55"/>
      <c r="F533" s="56"/>
    </row>
    <row r="534" spans="4:6" x14ac:dyDescent="0.25">
      <c r="D534" s="17"/>
      <c r="E534" s="55"/>
      <c r="F534" s="56"/>
    </row>
    <row r="535" spans="4:6" x14ac:dyDescent="0.25">
      <c r="D535" s="17"/>
      <c r="E535" s="55"/>
      <c r="F535" s="56"/>
    </row>
    <row r="536" spans="4:6" x14ac:dyDescent="0.25">
      <c r="D536" s="17"/>
      <c r="E536" s="55"/>
      <c r="F536" s="56"/>
    </row>
    <row r="537" spans="4:6" x14ac:dyDescent="0.25">
      <c r="D537" s="17"/>
      <c r="E537" s="55"/>
      <c r="F537" s="56"/>
    </row>
    <row r="538" spans="4:6" x14ac:dyDescent="0.25">
      <c r="D538" s="17"/>
      <c r="E538" s="55"/>
      <c r="F538" s="56"/>
    </row>
    <row r="539" spans="4:6" x14ac:dyDescent="0.25">
      <c r="D539" s="17"/>
      <c r="E539" s="55"/>
      <c r="F539" s="56"/>
    </row>
    <row r="540" spans="4:6" x14ac:dyDescent="0.25">
      <c r="D540" s="17"/>
      <c r="E540" s="55"/>
      <c r="F540" s="56"/>
    </row>
    <row r="541" spans="4:6" x14ac:dyDescent="0.25">
      <c r="D541" s="17"/>
      <c r="E541" s="55"/>
      <c r="F541" s="56"/>
    </row>
    <row r="542" spans="4:6" x14ac:dyDescent="0.25">
      <c r="D542" s="17"/>
      <c r="E542" s="55"/>
      <c r="F542" s="56"/>
    </row>
    <row r="543" spans="4:6" x14ac:dyDescent="0.25">
      <c r="D543" s="17"/>
      <c r="E543" s="55"/>
      <c r="F543" s="56"/>
    </row>
    <row r="544" spans="4:6" x14ac:dyDescent="0.25">
      <c r="D544" s="17"/>
      <c r="E544" s="55"/>
      <c r="F544" s="56"/>
    </row>
    <row r="545" spans="4:6" x14ac:dyDescent="0.25">
      <c r="D545" s="17"/>
      <c r="E545" s="55"/>
      <c r="F545" s="56"/>
    </row>
    <row r="546" spans="4:6" x14ac:dyDescent="0.25">
      <c r="D546" s="17"/>
      <c r="E546" s="55"/>
      <c r="F546" s="56"/>
    </row>
    <row r="547" spans="4:6" x14ac:dyDescent="0.25">
      <c r="D547" s="17"/>
      <c r="E547" s="55"/>
      <c r="F547" s="56"/>
    </row>
    <row r="548" spans="4:6" x14ac:dyDescent="0.25">
      <c r="D548" s="17"/>
      <c r="E548" s="55"/>
      <c r="F548" s="56"/>
    </row>
    <row r="549" spans="4:6" x14ac:dyDescent="0.25">
      <c r="D549" s="17"/>
      <c r="E549" s="55"/>
      <c r="F549" s="56"/>
    </row>
    <row r="550" spans="4:6" x14ac:dyDescent="0.25">
      <c r="D550" s="17"/>
      <c r="E550" s="55"/>
      <c r="F550" s="56"/>
    </row>
    <row r="551" spans="4:6" x14ac:dyDescent="0.25">
      <c r="D551" s="17"/>
      <c r="E551" s="55"/>
      <c r="F551" s="56"/>
    </row>
    <row r="552" spans="4:6" x14ac:dyDescent="0.25">
      <c r="D552" s="17"/>
      <c r="E552" s="55"/>
      <c r="F552" s="56"/>
    </row>
    <row r="553" spans="4:6" x14ac:dyDescent="0.25">
      <c r="D553" s="17"/>
      <c r="E553" s="55"/>
      <c r="F553" s="56"/>
    </row>
    <row r="554" spans="4:6" x14ac:dyDescent="0.25">
      <c r="D554" s="17"/>
      <c r="E554" s="55"/>
      <c r="F554" s="56"/>
    </row>
    <row r="555" spans="4:6" x14ac:dyDescent="0.25">
      <c r="D555" s="17"/>
      <c r="E555" s="55"/>
      <c r="F555" s="56"/>
    </row>
    <row r="556" spans="4:6" x14ac:dyDescent="0.25">
      <c r="D556" s="17"/>
      <c r="E556" s="55"/>
      <c r="F556" s="56"/>
    </row>
    <row r="557" spans="4:6" x14ac:dyDescent="0.25">
      <c r="D557" s="17"/>
      <c r="E557" s="55"/>
      <c r="F557" s="56"/>
    </row>
    <row r="558" spans="4:6" x14ac:dyDescent="0.25">
      <c r="D558" s="17"/>
      <c r="E558" s="55"/>
      <c r="F558" s="56"/>
    </row>
    <row r="559" spans="4:6" x14ac:dyDescent="0.25">
      <c r="D559" s="17"/>
      <c r="E559" s="55"/>
      <c r="F559" s="56"/>
    </row>
    <row r="560" spans="4:6" x14ac:dyDescent="0.25">
      <c r="D560" s="17"/>
      <c r="E560" s="55"/>
      <c r="F560" s="56"/>
    </row>
    <row r="561" spans="4:6" x14ac:dyDescent="0.25">
      <c r="D561" s="17"/>
      <c r="E561" s="55"/>
      <c r="F561" s="56"/>
    </row>
    <row r="562" spans="4:6" x14ac:dyDescent="0.25">
      <c r="D562" s="17"/>
      <c r="E562" s="55"/>
      <c r="F562" s="56"/>
    </row>
    <row r="563" spans="4:6" x14ac:dyDescent="0.25">
      <c r="D563" s="17"/>
      <c r="E563" s="55"/>
      <c r="F563" s="56"/>
    </row>
    <row r="564" spans="4:6" x14ac:dyDescent="0.25">
      <c r="D564" s="17"/>
      <c r="E564" s="55"/>
      <c r="F564" s="56"/>
    </row>
    <row r="565" spans="4:6" x14ac:dyDescent="0.25">
      <c r="D565" s="17"/>
      <c r="E565" s="55"/>
      <c r="F565" s="56"/>
    </row>
    <row r="566" spans="4:6" x14ac:dyDescent="0.25">
      <c r="D566" s="17"/>
      <c r="E566" s="55"/>
      <c r="F566" s="56"/>
    </row>
    <row r="567" spans="4:6" x14ac:dyDescent="0.25">
      <c r="D567" s="17"/>
      <c r="E567" s="55"/>
      <c r="F567" s="56"/>
    </row>
    <row r="568" spans="4:6" x14ac:dyDescent="0.25">
      <c r="D568" s="17"/>
      <c r="E568" s="55"/>
      <c r="F568" s="56"/>
    </row>
    <row r="569" spans="4:6" x14ac:dyDescent="0.25">
      <c r="D569" s="17"/>
      <c r="E569" s="55"/>
      <c r="F569" s="56"/>
    </row>
    <row r="570" spans="4:6" x14ac:dyDescent="0.25">
      <c r="D570" s="17"/>
      <c r="E570" s="55"/>
      <c r="F570" s="56"/>
    </row>
    <row r="571" spans="4:6" x14ac:dyDescent="0.25">
      <c r="D571" s="17"/>
      <c r="E571" s="55"/>
      <c r="F571" s="56"/>
    </row>
    <row r="572" spans="4:6" x14ac:dyDescent="0.25">
      <c r="D572" s="17"/>
      <c r="E572" s="55"/>
      <c r="F572" s="56"/>
    </row>
    <row r="573" spans="4:6" x14ac:dyDescent="0.25">
      <c r="D573" s="17"/>
      <c r="E573" s="55"/>
      <c r="F573" s="56"/>
    </row>
    <row r="574" spans="4:6" x14ac:dyDescent="0.25">
      <c r="D574" s="17"/>
      <c r="E574" s="55"/>
      <c r="F574" s="56"/>
    </row>
    <row r="575" spans="4:6" x14ac:dyDescent="0.25">
      <c r="D575" s="17"/>
      <c r="E575" s="55"/>
      <c r="F575" s="56"/>
    </row>
    <row r="576" spans="4:6" x14ac:dyDescent="0.25">
      <c r="D576" s="17"/>
      <c r="E576" s="55"/>
      <c r="F576" s="56"/>
    </row>
    <row r="577" spans="4:6" x14ac:dyDescent="0.25">
      <c r="D577" s="17"/>
      <c r="E577" s="55"/>
      <c r="F577" s="56"/>
    </row>
    <row r="578" spans="4:6" x14ac:dyDescent="0.25">
      <c r="D578" s="17"/>
      <c r="E578" s="55"/>
      <c r="F578" s="56"/>
    </row>
    <row r="579" spans="4:6" x14ac:dyDescent="0.25">
      <c r="D579" s="17"/>
      <c r="E579" s="55"/>
      <c r="F579" s="56"/>
    </row>
    <row r="580" spans="4:6" x14ac:dyDescent="0.25">
      <c r="D580" s="17"/>
      <c r="E580" s="55"/>
      <c r="F580" s="56"/>
    </row>
    <row r="581" spans="4:6" x14ac:dyDescent="0.25">
      <c r="D581" s="17"/>
      <c r="E581" s="55"/>
      <c r="F581" s="56"/>
    </row>
    <row r="582" spans="4:6" x14ac:dyDescent="0.25">
      <c r="D582" s="17"/>
      <c r="E582" s="55"/>
      <c r="F582" s="56"/>
    </row>
    <row r="583" spans="4:6" x14ac:dyDescent="0.25">
      <c r="D583" s="17"/>
      <c r="E583" s="55"/>
      <c r="F583" s="56"/>
    </row>
    <row r="584" spans="4:6" x14ac:dyDescent="0.25">
      <c r="D584" s="17"/>
      <c r="E584" s="55"/>
      <c r="F584" s="56"/>
    </row>
    <row r="585" spans="4:6" x14ac:dyDescent="0.25">
      <c r="D585" s="17"/>
      <c r="E585" s="55"/>
      <c r="F585" s="56"/>
    </row>
    <row r="586" spans="4:6" x14ac:dyDescent="0.25">
      <c r="D586" s="17"/>
      <c r="E586" s="55"/>
      <c r="F586" s="56"/>
    </row>
    <row r="587" spans="4:6" x14ac:dyDescent="0.25">
      <c r="D587" s="17"/>
      <c r="E587" s="55"/>
      <c r="F587" s="56"/>
    </row>
    <row r="588" spans="4:6" x14ac:dyDescent="0.25">
      <c r="D588" s="17"/>
      <c r="E588" s="55"/>
      <c r="F588" s="56"/>
    </row>
    <row r="589" spans="4:6" x14ac:dyDescent="0.25">
      <c r="D589" s="17"/>
      <c r="E589" s="55"/>
      <c r="F589" s="56"/>
    </row>
    <row r="590" spans="4:6" x14ac:dyDescent="0.25">
      <c r="D590" s="17"/>
      <c r="E590" s="55"/>
      <c r="F590" s="56"/>
    </row>
    <row r="591" spans="4:6" x14ac:dyDescent="0.25">
      <c r="D591" s="17"/>
      <c r="E591" s="55"/>
      <c r="F591" s="56"/>
    </row>
    <row r="592" spans="4:6" x14ac:dyDescent="0.25">
      <c r="D592" s="17"/>
      <c r="E592" s="55"/>
      <c r="F592" s="56"/>
    </row>
    <row r="593" spans="4:6" x14ac:dyDescent="0.25">
      <c r="D593" s="17"/>
      <c r="E593" s="55"/>
      <c r="F593" s="56"/>
    </row>
    <row r="594" spans="4:6" x14ac:dyDescent="0.25">
      <c r="D594" s="17"/>
      <c r="E594" s="55"/>
      <c r="F594" s="56"/>
    </row>
    <row r="595" spans="4:6" x14ac:dyDescent="0.25">
      <c r="D595" s="17"/>
      <c r="E595" s="55"/>
      <c r="F595" s="56"/>
    </row>
    <row r="596" spans="4:6" x14ac:dyDescent="0.25">
      <c r="D596" s="17"/>
      <c r="E596" s="55"/>
      <c r="F596" s="56"/>
    </row>
    <row r="597" spans="4:6" x14ac:dyDescent="0.25">
      <c r="D597" s="17"/>
      <c r="E597" s="55"/>
      <c r="F597" s="56"/>
    </row>
    <row r="598" spans="4:6" x14ac:dyDescent="0.25">
      <c r="D598" s="17"/>
      <c r="E598" s="55"/>
      <c r="F598" s="56"/>
    </row>
    <row r="599" spans="4:6" x14ac:dyDescent="0.25">
      <c r="D599" s="17"/>
      <c r="E599" s="55"/>
      <c r="F599" s="56"/>
    </row>
    <row r="600" spans="4:6" x14ac:dyDescent="0.25">
      <c r="D600" s="17"/>
      <c r="E600" s="55"/>
      <c r="F600" s="56"/>
    </row>
    <row r="601" spans="4:6" x14ac:dyDescent="0.25">
      <c r="D601" s="17"/>
      <c r="E601" s="55"/>
      <c r="F601" s="56"/>
    </row>
    <row r="602" spans="4:6" x14ac:dyDescent="0.25">
      <c r="D602" s="17"/>
      <c r="E602" s="55"/>
      <c r="F602" s="56"/>
    </row>
    <row r="603" spans="4:6" x14ac:dyDescent="0.25">
      <c r="D603" s="17"/>
      <c r="E603" s="55"/>
      <c r="F603" s="56"/>
    </row>
    <row r="604" spans="4:6" x14ac:dyDescent="0.25">
      <c r="D604" s="17"/>
      <c r="E604" s="55"/>
      <c r="F604" s="56"/>
    </row>
    <row r="605" spans="4:6" x14ac:dyDescent="0.25">
      <c r="D605" s="17"/>
      <c r="E605" s="55"/>
      <c r="F605" s="56"/>
    </row>
    <row r="606" spans="4:6" x14ac:dyDescent="0.25">
      <c r="D606" s="17"/>
      <c r="E606" s="55"/>
      <c r="F606" s="56"/>
    </row>
    <row r="607" spans="4:6" x14ac:dyDescent="0.25">
      <c r="D607" s="17"/>
      <c r="E607" s="55"/>
      <c r="F607" s="56"/>
    </row>
    <row r="608" spans="4:6" x14ac:dyDescent="0.25">
      <c r="D608" s="17"/>
      <c r="E608" s="55"/>
      <c r="F608" s="56"/>
    </row>
    <row r="609" spans="4:6" x14ac:dyDescent="0.25">
      <c r="D609" s="17"/>
      <c r="E609" s="55"/>
      <c r="F609" s="56"/>
    </row>
    <row r="610" spans="4:6" x14ac:dyDescent="0.25">
      <c r="D610" s="17"/>
      <c r="E610" s="55"/>
      <c r="F610" s="56"/>
    </row>
    <row r="611" spans="4:6" x14ac:dyDescent="0.25">
      <c r="D611" s="17"/>
      <c r="E611" s="55"/>
      <c r="F611" s="56"/>
    </row>
    <row r="612" spans="4:6" x14ac:dyDescent="0.25">
      <c r="D612" s="17"/>
      <c r="E612" s="55"/>
      <c r="F612" s="56"/>
    </row>
    <row r="613" spans="4:6" x14ac:dyDescent="0.25">
      <c r="D613" s="17"/>
      <c r="E613" s="55"/>
      <c r="F613" s="56"/>
    </row>
    <row r="614" spans="4:6" x14ac:dyDescent="0.25">
      <c r="D614" s="17"/>
      <c r="E614" s="55"/>
      <c r="F614" s="56"/>
    </row>
    <row r="615" spans="4:6" x14ac:dyDescent="0.25">
      <c r="D615" s="17"/>
      <c r="E615" s="55"/>
      <c r="F615" s="56"/>
    </row>
    <row r="616" spans="4:6" x14ac:dyDescent="0.25">
      <c r="D616" s="17"/>
      <c r="E616" s="55"/>
      <c r="F616" s="56"/>
    </row>
    <row r="617" spans="4:6" x14ac:dyDescent="0.25">
      <c r="D617" s="17"/>
      <c r="E617" s="55"/>
      <c r="F617" s="56"/>
    </row>
    <row r="618" spans="4:6" x14ac:dyDescent="0.25">
      <c r="D618" s="17"/>
      <c r="E618" s="55"/>
      <c r="F618" s="56"/>
    </row>
    <row r="619" spans="4:6" x14ac:dyDescent="0.25">
      <c r="D619" s="17"/>
      <c r="E619" s="55"/>
      <c r="F619" s="56"/>
    </row>
    <row r="620" spans="4:6" x14ac:dyDescent="0.25">
      <c r="D620" s="17"/>
      <c r="E620" s="55"/>
      <c r="F620" s="56"/>
    </row>
    <row r="621" spans="4:6" x14ac:dyDescent="0.25">
      <c r="D621" s="17"/>
      <c r="E621" s="55"/>
      <c r="F621" s="56"/>
    </row>
    <row r="622" spans="4:6" x14ac:dyDescent="0.25">
      <c r="D622" s="17"/>
      <c r="E622" s="55"/>
      <c r="F622" s="56"/>
    </row>
    <row r="623" spans="4:6" x14ac:dyDescent="0.25">
      <c r="D623" s="17"/>
      <c r="E623" s="55"/>
      <c r="F623" s="56"/>
    </row>
    <row r="624" spans="4:6" x14ac:dyDescent="0.25">
      <c r="D624" s="17"/>
      <c r="E624" s="55"/>
      <c r="F624" s="56"/>
    </row>
    <row r="625" spans="4:6" x14ac:dyDescent="0.25">
      <c r="D625" s="17"/>
      <c r="E625" s="55"/>
      <c r="F625" s="56"/>
    </row>
    <row r="626" spans="4:6" x14ac:dyDescent="0.25">
      <c r="D626" s="17"/>
      <c r="E626" s="55"/>
      <c r="F626" s="56"/>
    </row>
    <row r="627" spans="4:6" x14ac:dyDescent="0.25">
      <c r="D627" s="17"/>
      <c r="E627" s="55"/>
      <c r="F627" s="56"/>
    </row>
    <row r="628" spans="4:6" x14ac:dyDescent="0.25">
      <c r="D628" s="17"/>
      <c r="E628" s="55"/>
      <c r="F628" s="56"/>
    </row>
    <row r="629" spans="4:6" x14ac:dyDescent="0.25">
      <c r="D629" s="17"/>
      <c r="E629" s="55"/>
      <c r="F629" s="56"/>
    </row>
    <row r="630" spans="4:6" x14ac:dyDescent="0.25">
      <c r="D630" s="17"/>
      <c r="E630" s="55"/>
      <c r="F630" s="56"/>
    </row>
    <row r="631" spans="4:6" x14ac:dyDescent="0.25">
      <c r="D631" s="17"/>
      <c r="E631" s="55"/>
      <c r="F631" s="56"/>
    </row>
    <row r="632" spans="4:6" x14ac:dyDescent="0.25">
      <c r="D632" s="17"/>
      <c r="E632" s="55"/>
      <c r="F632" s="56"/>
    </row>
    <row r="633" spans="4:6" x14ac:dyDescent="0.25">
      <c r="D633" s="17"/>
      <c r="E633" s="55"/>
      <c r="F633" s="56"/>
    </row>
    <row r="634" spans="4:6" x14ac:dyDescent="0.25">
      <c r="D634" s="17"/>
      <c r="E634" s="55"/>
      <c r="F634" s="56"/>
    </row>
    <row r="635" spans="4:6" x14ac:dyDescent="0.25">
      <c r="D635" s="17"/>
      <c r="E635" s="55"/>
      <c r="F635" s="56"/>
    </row>
    <row r="636" spans="4:6" x14ac:dyDescent="0.25">
      <c r="D636" s="17"/>
      <c r="E636" s="55"/>
      <c r="F636" s="56"/>
    </row>
    <row r="637" spans="4:6" x14ac:dyDescent="0.25">
      <c r="D637" s="17"/>
      <c r="E637" s="55"/>
      <c r="F637" s="56"/>
    </row>
    <row r="638" spans="4:6" x14ac:dyDescent="0.25">
      <c r="D638" s="17"/>
      <c r="E638" s="55"/>
      <c r="F638" s="56"/>
    </row>
    <row r="639" spans="4:6" x14ac:dyDescent="0.25">
      <c r="D639" s="17"/>
      <c r="E639" s="55"/>
      <c r="F639" s="56"/>
    </row>
    <row r="640" spans="4:6" x14ac:dyDescent="0.25">
      <c r="D640" s="17"/>
      <c r="E640" s="55"/>
      <c r="F640" s="56"/>
    </row>
    <row r="641" spans="4:6" x14ac:dyDescent="0.25">
      <c r="D641" s="17"/>
      <c r="E641" s="55"/>
      <c r="F641" s="56"/>
    </row>
    <row r="642" spans="4:6" x14ac:dyDescent="0.25">
      <c r="D642" s="17"/>
      <c r="E642" s="55"/>
      <c r="F642" s="56"/>
    </row>
    <row r="643" spans="4:6" x14ac:dyDescent="0.25">
      <c r="D643" s="17"/>
      <c r="E643" s="55"/>
      <c r="F643" s="56"/>
    </row>
    <row r="644" spans="4:6" x14ac:dyDescent="0.25">
      <c r="D644" s="17"/>
      <c r="E644" s="55"/>
      <c r="F644" s="56"/>
    </row>
    <row r="645" spans="4:6" x14ac:dyDescent="0.25">
      <c r="D645" s="17"/>
      <c r="E645" s="55"/>
      <c r="F645" s="56"/>
    </row>
    <row r="646" spans="4:6" x14ac:dyDescent="0.25">
      <c r="D646" s="17"/>
      <c r="E646" s="55"/>
      <c r="F646" s="56"/>
    </row>
    <row r="647" spans="4:6" x14ac:dyDescent="0.25">
      <c r="D647" s="17"/>
      <c r="E647" s="55"/>
      <c r="F647" s="56"/>
    </row>
    <row r="648" spans="4:6" x14ac:dyDescent="0.25">
      <c r="D648" s="17"/>
      <c r="E648" s="55"/>
      <c r="F648" s="56"/>
    </row>
    <row r="649" spans="4:6" x14ac:dyDescent="0.25">
      <c r="D649" s="17"/>
      <c r="E649" s="55"/>
      <c r="F649" s="56"/>
    </row>
    <row r="650" spans="4:6" x14ac:dyDescent="0.25">
      <c r="D650" s="17"/>
      <c r="E650" s="55"/>
      <c r="F650" s="56"/>
    </row>
    <row r="651" spans="4:6" x14ac:dyDescent="0.25">
      <c r="D651" s="17"/>
      <c r="E651" s="55"/>
      <c r="F651" s="56"/>
    </row>
    <row r="652" spans="4:6" x14ac:dyDescent="0.25">
      <c r="D652" s="17"/>
      <c r="E652" s="55"/>
      <c r="F652" s="56"/>
    </row>
    <row r="653" spans="4:6" x14ac:dyDescent="0.25">
      <c r="D653" s="17"/>
      <c r="E653" s="55"/>
      <c r="F653" s="56"/>
    </row>
    <row r="654" spans="4:6" x14ac:dyDescent="0.25">
      <c r="D654" s="17"/>
      <c r="E654" s="55"/>
      <c r="F654" s="56"/>
    </row>
    <row r="655" spans="4:6" x14ac:dyDescent="0.25">
      <c r="D655" s="17"/>
      <c r="E655" s="55"/>
      <c r="F655" s="56"/>
    </row>
    <row r="656" spans="4:6" x14ac:dyDescent="0.25">
      <c r="D656" s="17"/>
      <c r="E656" s="55"/>
      <c r="F656" s="56"/>
    </row>
    <row r="657" spans="4:6" x14ac:dyDescent="0.25">
      <c r="D657" s="17"/>
      <c r="E657" s="55"/>
      <c r="F657" s="56"/>
    </row>
    <row r="658" spans="4:6" x14ac:dyDescent="0.25">
      <c r="D658" s="17"/>
      <c r="E658" s="55"/>
      <c r="F658" s="56"/>
    </row>
    <row r="659" spans="4:6" x14ac:dyDescent="0.25">
      <c r="D659" s="17"/>
      <c r="E659" s="55"/>
      <c r="F659" s="56"/>
    </row>
    <row r="660" spans="4:6" x14ac:dyDescent="0.25">
      <c r="D660" s="17"/>
      <c r="E660" s="55"/>
      <c r="F660" s="56"/>
    </row>
    <row r="661" spans="4:6" x14ac:dyDescent="0.25">
      <c r="D661" s="17"/>
      <c r="E661" s="55"/>
      <c r="F661" s="56"/>
    </row>
    <row r="662" spans="4:6" x14ac:dyDescent="0.25">
      <c r="D662" s="17"/>
      <c r="E662" s="55"/>
      <c r="F662" s="56"/>
    </row>
    <row r="663" spans="4:6" x14ac:dyDescent="0.25">
      <c r="D663" s="17"/>
      <c r="E663" s="55"/>
      <c r="F663" s="56"/>
    </row>
    <row r="664" spans="4:6" x14ac:dyDescent="0.25">
      <c r="D664" s="17"/>
      <c r="E664" s="55"/>
      <c r="F664" s="56"/>
    </row>
    <row r="665" spans="4:6" x14ac:dyDescent="0.25">
      <c r="D665" s="17"/>
      <c r="E665" s="55"/>
      <c r="F665" s="56"/>
    </row>
    <row r="666" spans="4:6" x14ac:dyDescent="0.25">
      <c r="D666" s="17"/>
      <c r="E666" s="55"/>
      <c r="F666" s="56"/>
    </row>
    <row r="667" spans="4:6" x14ac:dyDescent="0.25">
      <c r="D667" s="17"/>
      <c r="E667" s="55"/>
      <c r="F667" s="56"/>
    </row>
    <row r="668" spans="4:6" x14ac:dyDescent="0.25">
      <c r="D668" s="17"/>
      <c r="E668" s="55"/>
      <c r="F668" s="56"/>
    </row>
    <row r="669" spans="4:6" x14ac:dyDescent="0.25">
      <c r="D669" s="17"/>
      <c r="E669" s="55"/>
      <c r="F669" s="56"/>
    </row>
    <row r="670" spans="4:6" x14ac:dyDescent="0.25">
      <c r="D670" s="17"/>
      <c r="E670" s="55"/>
      <c r="F670" s="56"/>
    </row>
    <row r="671" spans="4:6" x14ac:dyDescent="0.25">
      <c r="D671" s="17"/>
      <c r="E671" s="55"/>
      <c r="F671" s="56"/>
    </row>
    <row r="672" spans="4:6" x14ac:dyDescent="0.25">
      <c r="D672" s="17"/>
      <c r="E672" s="55"/>
      <c r="F672" s="56"/>
    </row>
    <row r="673" spans="4:6" x14ac:dyDescent="0.25">
      <c r="D673" s="17"/>
      <c r="E673" s="55"/>
      <c r="F673" s="56"/>
    </row>
    <row r="674" spans="4:6" x14ac:dyDescent="0.25">
      <c r="D674" s="17"/>
      <c r="E674" s="55"/>
      <c r="F674" s="56"/>
    </row>
    <row r="675" spans="4:6" x14ac:dyDescent="0.25">
      <c r="D675" s="17"/>
      <c r="E675" s="55"/>
      <c r="F675" s="56"/>
    </row>
    <row r="676" spans="4:6" x14ac:dyDescent="0.25">
      <c r="D676" s="17"/>
      <c r="E676" s="55"/>
      <c r="F676" s="56"/>
    </row>
    <row r="677" spans="4:6" x14ac:dyDescent="0.25">
      <c r="D677" s="17"/>
      <c r="E677" s="55"/>
      <c r="F677" s="56"/>
    </row>
    <row r="678" spans="4:6" x14ac:dyDescent="0.25">
      <c r="D678" s="17"/>
      <c r="E678" s="55"/>
      <c r="F678" s="56"/>
    </row>
    <row r="679" spans="4:6" x14ac:dyDescent="0.25">
      <c r="D679" s="17"/>
      <c r="E679" s="55"/>
      <c r="F679" s="56"/>
    </row>
    <row r="680" spans="4:6" x14ac:dyDescent="0.25">
      <c r="D680" s="17"/>
      <c r="E680" s="55"/>
      <c r="F680" s="56"/>
    </row>
    <row r="681" spans="4:6" x14ac:dyDescent="0.25">
      <c r="D681" s="17"/>
      <c r="E681" s="55"/>
      <c r="F681" s="56"/>
    </row>
    <row r="682" spans="4:6" x14ac:dyDescent="0.25">
      <c r="D682" s="17"/>
      <c r="E682" s="55"/>
      <c r="F682" s="56"/>
    </row>
    <row r="683" spans="4:6" x14ac:dyDescent="0.25">
      <c r="D683" s="17"/>
      <c r="E683" s="55"/>
      <c r="F683" s="56"/>
    </row>
    <row r="684" spans="4:6" x14ac:dyDescent="0.25">
      <c r="D684" s="17"/>
      <c r="E684" s="55"/>
      <c r="F684" s="56"/>
    </row>
    <row r="685" spans="4:6" x14ac:dyDescent="0.25">
      <c r="D685" s="17"/>
      <c r="E685" s="55"/>
      <c r="F685" s="56"/>
    </row>
    <row r="686" spans="4:6" x14ac:dyDescent="0.25">
      <c r="D686" s="17"/>
      <c r="E686" s="55"/>
      <c r="F686" s="56"/>
    </row>
    <row r="687" spans="4:6" x14ac:dyDescent="0.25">
      <c r="D687" s="17"/>
      <c r="E687" s="55"/>
      <c r="F687" s="56"/>
    </row>
    <row r="688" spans="4:6" x14ac:dyDescent="0.25">
      <c r="D688" s="17"/>
      <c r="E688" s="55"/>
      <c r="F688" s="56"/>
    </row>
    <row r="689" spans="4:6" x14ac:dyDescent="0.25">
      <c r="D689" s="17"/>
      <c r="E689" s="55"/>
      <c r="F689" s="56"/>
    </row>
    <row r="690" spans="4:6" x14ac:dyDescent="0.25">
      <c r="D690" s="17"/>
      <c r="E690" s="55"/>
      <c r="F690" s="56"/>
    </row>
    <row r="691" spans="4:6" x14ac:dyDescent="0.25">
      <c r="D691" s="17"/>
      <c r="E691" s="55"/>
      <c r="F691" s="56"/>
    </row>
    <row r="692" spans="4:6" x14ac:dyDescent="0.25">
      <c r="D692" s="17"/>
      <c r="E692" s="55"/>
      <c r="F692" s="56"/>
    </row>
    <row r="693" spans="4:6" x14ac:dyDescent="0.25">
      <c r="D693" s="17"/>
      <c r="E693" s="55"/>
      <c r="F693" s="56"/>
    </row>
    <row r="694" spans="4:6" x14ac:dyDescent="0.25">
      <c r="D694" s="17"/>
      <c r="E694" s="55"/>
      <c r="F694" s="56"/>
    </row>
    <row r="695" spans="4:6" x14ac:dyDescent="0.25">
      <c r="D695" s="17"/>
      <c r="E695" s="55"/>
      <c r="F695" s="56"/>
    </row>
    <row r="696" spans="4:6" x14ac:dyDescent="0.25">
      <c r="D696" s="17"/>
      <c r="E696" s="55"/>
      <c r="F696" s="56"/>
    </row>
    <row r="697" spans="4:6" x14ac:dyDescent="0.25">
      <c r="D697" s="17"/>
      <c r="E697" s="55"/>
      <c r="F697" s="56"/>
    </row>
    <row r="698" spans="4:6" x14ac:dyDescent="0.25">
      <c r="D698" s="17"/>
      <c r="E698" s="55"/>
      <c r="F698" s="56"/>
    </row>
    <row r="699" spans="4:6" x14ac:dyDescent="0.25">
      <c r="D699" s="17"/>
      <c r="E699" s="55"/>
      <c r="F699" s="56"/>
    </row>
    <row r="700" spans="4:6" x14ac:dyDescent="0.25">
      <c r="D700" s="17"/>
      <c r="E700" s="55"/>
      <c r="F700" s="56"/>
    </row>
    <row r="701" spans="4:6" x14ac:dyDescent="0.25">
      <c r="D701" s="17"/>
      <c r="E701" s="55"/>
      <c r="F701" s="56"/>
    </row>
    <row r="702" spans="4:6" x14ac:dyDescent="0.25">
      <c r="D702" s="17"/>
      <c r="E702" s="55"/>
      <c r="F702" s="56"/>
    </row>
    <row r="703" spans="4:6" x14ac:dyDescent="0.25">
      <c r="D703" s="17"/>
      <c r="E703" s="55"/>
      <c r="F703" s="56"/>
    </row>
    <row r="704" spans="4:6" x14ac:dyDescent="0.25">
      <c r="D704" s="17"/>
      <c r="E704" s="55"/>
      <c r="F704" s="56"/>
    </row>
    <row r="705" spans="4:6" x14ac:dyDescent="0.25">
      <c r="D705" s="17"/>
      <c r="E705" s="55"/>
      <c r="F705" s="56"/>
    </row>
    <row r="706" spans="4:6" x14ac:dyDescent="0.25">
      <c r="D706" s="17"/>
      <c r="E706" s="55"/>
      <c r="F706" s="56"/>
    </row>
    <row r="707" spans="4:6" x14ac:dyDescent="0.25">
      <c r="D707" s="17"/>
      <c r="E707" s="55"/>
      <c r="F707" s="56"/>
    </row>
    <row r="708" spans="4:6" x14ac:dyDescent="0.25">
      <c r="D708" s="17"/>
      <c r="E708" s="55"/>
      <c r="F708" s="56"/>
    </row>
    <row r="709" spans="4:6" x14ac:dyDescent="0.25">
      <c r="D709" s="17"/>
      <c r="E709" s="55"/>
      <c r="F709" s="56"/>
    </row>
    <row r="710" spans="4:6" x14ac:dyDescent="0.25">
      <c r="D710" s="17"/>
      <c r="E710" s="55"/>
      <c r="F710" s="56"/>
    </row>
    <row r="711" spans="4:6" x14ac:dyDescent="0.25">
      <c r="D711" s="17"/>
      <c r="E711" s="55"/>
      <c r="F711" s="56"/>
    </row>
    <row r="712" spans="4:6" x14ac:dyDescent="0.25">
      <c r="D712" s="17"/>
      <c r="E712" s="55"/>
      <c r="F712" s="56"/>
    </row>
    <row r="713" spans="4:6" x14ac:dyDescent="0.25">
      <c r="D713" s="17"/>
      <c r="E713" s="55"/>
      <c r="F713" s="56"/>
    </row>
    <row r="714" spans="4:6" x14ac:dyDescent="0.25">
      <c r="D714" s="17"/>
      <c r="E714" s="55"/>
      <c r="F714" s="56"/>
    </row>
    <row r="715" spans="4:6" x14ac:dyDescent="0.25">
      <c r="D715" s="17"/>
      <c r="E715" s="55"/>
      <c r="F715" s="56"/>
    </row>
    <row r="716" spans="4:6" x14ac:dyDescent="0.25">
      <c r="D716" s="17"/>
      <c r="E716" s="55"/>
      <c r="F716" s="56"/>
    </row>
    <row r="717" spans="4:6" x14ac:dyDescent="0.25">
      <c r="D717" s="17"/>
      <c r="E717" s="55"/>
      <c r="F717" s="56"/>
    </row>
    <row r="718" spans="4:6" x14ac:dyDescent="0.25">
      <c r="D718" s="17"/>
      <c r="E718" s="55"/>
      <c r="F718" s="56"/>
    </row>
    <row r="719" spans="4:6" x14ac:dyDescent="0.25">
      <c r="D719" s="17"/>
      <c r="E719" s="55"/>
      <c r="F719" s="56"/>
    </row>
    <row r="720" spans="4:6" x14ac:dyDescent="0.25">
      <c r="D720" s="17"/>
      <c r="E720" s="55"/>
      <c r="F720" s="56"/>
    </row>
    <row r="721" spans="4:6" x14ac:dyDescent="0.25">
      <c r="D721" s="17"/>
      <c r="E721" s="55"/>
      <c r="F721" s="56"/>
    </row>
    <row r="722" spans="4:6" x14ac:dyDescent="0.25">
      <c r="D722" s="17"/>
      <c r="E722" s="55"/>
      <c r="F722" s="56"/>
    </row>
    <row r="723" spans="4:6" x14ac:dyDescent="0.25">
      <c r="D723" s="17"/>
      <c r="E723" s="55"/>
      <c r="F723" s="56"/>
    </row>
    <row r="724" spans="4:6" x14ac:dyDescent="0.25">
      <c r="D724" s="17"/>
      <c r="E724" s="55"/>
      <c r="F724" s="56"/>
    </row>
    <row r="725" spans="4:6" x14ac:dyDescent="0.25">
      <c r="D725" s="17"/>
      <c r="E725" s="55"/>
      <c r="F725" s="56"/>
    </row>
    <row r="726" spans="4:6" x14ac:dyDescent="0.25">
      <c r="D726" s="17"/>
      <c r="E726" s="55"/>
      <c r="F726" s="56"/>
    </row>
    <row r="727" spans="4:6" x14ac:dyDescent="0.25">
      <c r="D727" s="17"/>
      <c r="E727" s="55"/>
      <c r="F727" s="56"/>
    </row>
    <row r="728" spans="4:6" x14ac:dyDescent="0.25">
      <c r="D728" s="17"/>
      <c r="E728" s="55"/>
      <c r="F728" s="56"/>
    </row>
    <row r="729" spans="4:6" x14ac:dyDescent="0.25">
      <c r="D729" s="17"/>
      <c r="E729" s="55"/>
      <c r="F729" s="56"/>
    </row>
    <row r="730" spans="4:6" x14ac:dyDescent="0.25">
      <c r="D730" s="17"/>
      <c r="E730" s="55"/>
      <c r="F730" s="56"/>
    </row>
    <row r="731" spans="4:6" x14ac:dyDescent="0.25">
      <c r="D731" s="17"/>
      <c r="E731" s="55"/>
      <c r="F731" s="56"/>
    </row>
    <row r="732" spans="4:6" x14ac:dyDescent="0.25">
      <c r="D732" s="17"/>
      <c r="E732" s="55"/>
      <c r="F732" s="56"/>
    </row>
  </sheetData>
  <mergeCells count="10">
    <mergeCell ref="B1:G1"/>
    <mergeCell ref="I7:N7"/>
    <mergeCell ref="K8:P8"/>
    <mergeCell ref="K9:Q9"/>
    <mergeCell ref="A5:A6"/>
    <mergeCell ref="B5:B6"/>
    <mergeCell ref="C5:C6"/>
    <mergeCell ref="D5:E5"/>
    <mergeCell ref="A2:G4"/>
    <mergeCell ref="F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8BC05-EF41-4B95-8F9C-0127725ED6FC}">
  <sheetPr>
    <tabColor theme="5"/>
  </sheetPr>
  <dimension ref="A1:AR252"/>
  <sheetViews>
    <sheetView zoomScale="80" zoomScaleNormal="80" workbookViewId="0">
      <selection activeCell="B34" sqref="B34"/>
    </sheetView>
  </sheetViews>
  <sheetFormatPr baseColWidth="10" defaultColWidth="55.109375" defaultRowHeight="13.2" x14ac:dyDescent="0.25"/>
  <cols>
    <col min="1" max="1" width="10.44140625" style="64" bestFit="1" customWidth="1"/>
    <col min="2" max="2" width="44.77734375" style="64" customWidth="1"/>
    <col min="3" max="3" width="18.77734375" style="64" bestFit="1" customWidth="1"/>
    <col min="4" max="4" width="17.5546875" style="64" bestFit="1" customWidth="1"/>
    <col min="5" max="5" width="19.88671875" style="64" hidden="1" customWidth="1"/>
    <col min="6" max="6" width="16.77734375" style="64" hidden="1" customWidth="1"/>
    <col min="7" max="7" width="22.21875" style="64" hidden="1" customWidth="1"/>
    <col min="8" max="8" width="18.109375" style="64" hidden="1" customWidth="1"/>
    <col min="9" max="9" width="28.21875" style="64" hidden="1" customWidth="1"/>
    <col min="10" max="10" width="24.5546875" style="64" hidden="1" customWidth="1"/>
    <col min="11" max="11" width="15" style="64" hidden="1" customWidth="1"/>
    <col min="12" max="12" width="16.33203125" style="64" hidden="1" customWidth="1"/>
    <col min="13" max="13" width="17.5546875" style="64" hidden="1" customWidth="1"/>
    <col min="14" max="14" width="15.44140625" style="64" hidden="1" customWidth="1"/>
    <col min="15" max="15" width="17.44140625" style="64" hidden="1" customWidth="1"/>
    <col min="16" max="16" width="17.77734375" style="64" hidden="1" customWidth="1"/>
    <col min="17" max="17" width="21.21875" style="64" hidden="1" customWidth="1"/>
    <col min="18" max="20" width="17" style="64" hidden="1" customWidth="1"/>
    <col min="21" max="21" width="16.21875" style="64" hidden="1" customWidth="1"/>
    <col min="22" max="22" width="32.21875" style="64" hidden="1" customWidth="1"/>
    <col min="23" max="23" width="19.109375" style="64" hidden="1" customWidth="1"/>
    <col min="24" max="24" width="28.5546875" style="64" hidden="1" customWidth="1"/>
    <col min="25" max="25" width="24.5546875" style="64" bestFit="1" customWidth="1"/>
    <col min="26" max="26" width="27.6640625" style="64" hidden="1" customWidth="1"/>
    <col min="27" max="27" width="23.21875" style="64" hidden="1" customWidth="1"/>
    <col min="28" max="28" width="18.6640625" style="64" hidden="1" customWidth="1"/>
    <col min="29" max="29" width="15.6640625" style="64" hidden="1" customWidth="1"/>
    <col min="30" max="30" width="24.5546875" style="64" hidden="1" customWidth="1"/>
    <col min="31" max="31" width="23.44140625" style="64" bestFit="1" customWidth="1"/>
    <col min="32" max="32" width="22.6640625" style="64" hidden="1" customWidth="1"/>
    <col min="33" max="33" width="25.6640625" style="64" hidden="1" customWidth="1"/>
    <col min="34" max="34" width="25.5546875" style="64" hidden="1" customWidth="1"/>
    <col min="35" max="35" width="22.33203125" style="64" hidden="1" customWidth="1"/>
    <col min="36" max="36" width="30.33203125" style="64" bestFit="1" customWidth="1"/>
    <col min="37" max="37" width="33.5546875" style="64" bestFit="1" customWidth="1"/>
    <col min="38" max="38" width="27.88671875" style="64" bestFit="1" customWidth="1"/>
    <col min="39" max="39" width="21.109375" style="64" hidden="1" customWidth="1"/>
    <col min="40" max="40" width="20.5546875" style="64" hidden="1" customWidth="1"/>
    <col min="41" max="41" width="17.88671875" style="64" hidden="1" customWidth="1"/>
    <col min="42" max="42" width="4.88671875" style="64" bestFit="1" customWidth="1"/>
    <col min="43" max="43" width="20.44140625" style="64" bestFit="1" customWidth="1"/>
    <col min="44" max="44" width="11.5546875" style="64" bestFit="1" customWidth="1"/>
    <col min="45" max="16384" width="55.109375" style="64"/>
  </cols>
  <sheetData>
    <row r="1" spans="1:44" ht="19.2" customHeight="1" x14ac:dyDescent="0.25">
      <c r="A1" s="214"/>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row>
    <row r="2" spans="1:44" ht="19.2" customHeight="1" x14ac:dyDescent="0.25">
      <c r="A2" s="215" t="s">
        <v>626</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row>
    <row r="3" spans="1:44" ht="19.2" customHeight="1" x14ac:dyDescent="0.25">
      <c r="A3" s="215"/>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row>
    <row r="4" spans="1:44" ht="19.2" customHeight="1" x14ac:dyDescent="0.25">
      <c r="A4" s="215"/>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row>
    <row r="5" spans="1:44" ht="19.2" customHeight="1" thickBot="1" x14ac:dyDescent="0.3">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row>
    <row r="6" spans="1:44" s="67" customFormat="1" ht="52.2" customHeight="1" thickBot="1" x14ac:dyDescent="0.35">
      <c r="A6" s="65" t="s">
        <v>627</v>
      </c>
      <c r="B6" s="185" t="s">
        <v>400</v>
      </c>
      <c r="C6" s="66" t="s">
        <v>628</v>
      </c>
      <c r="D6" s="186" t="s">
        <v>629</v>
      </c>
      <c r="E6" s="187" t="s">
        <v>630</v>
      </c>
      <c r="F6" s="188" t="s">
        <v>631</v>
      </c>
      <c r="G6" s="188" t="s">
        <v>632</v>
      </c>
      <c r="H6" s="188" t="s">
        <v>633</v>
      </c>
      <c r="I6" s="188" t="s">
        <v>634</v>
      </c>
      <c r="J6" s="189" t="s">
        <v>635</v>
      </c>
      <c r="K6" s="188" t="s">
        <v>636</v>
      </c>
      <c r="L6" s="188" t="s">
        <v>637</v>
      </c>
      <c r="M6" s="188" t="s">
        <v>638</v>
      </c>
      <c r="N6" s="188" t="s">
        <v>639</v>
      </c>
      <c r="O6" s="189" t="s">
        <v>640</v>
      </c>
      <c r="P6" s="189" t="s">
        <v>641</v>
      </c>
      <c r="Q6" s="189" t="s">
        <v>642</v>
      </c>
      <c r="R6" s="190" t="s">
        <v>643</v>
      </c>
      <c r="S6" s="191" t="s">
        <v>644</v>
      </c>
      <c r="T6" s="192" t="s">
        <v>645</v>
      </c>
      <c r="U6" s="189" t="s">
        <v>646</v>
      </c>
      <c r="V6" s="189" t="s">
        <v>647</v>
      </c>
      <c r="W6" s="190" t="s">
        <v>648</v>
      </c>
      <c r="X6" s="193" t="s">
        <v>649</v>
      </c>
      <c r="Y6" s="194" t="s">
        <v>650</v>
      </c>
      <c r="Z6" s="195" t="s">
        <v>651</v>
      </c>
      <c r="AA6" s="196" t="s">
        <v>652</v>
      </c>
      <c r="AB6" s="196" t="s">
        <v>653</v>
      </c>
      <c r="AC6" s="196" t="s">
        <v>654</v>
      </c>
      <c r="AD6" s="197" t="s">
        <v>655</v>
      </c>
      <c r="AE6" s="198" t="s">
        <v>656</v>
      </c>
      <c r="AF6" s="66" t="s">
        <v>1</v>
      </c>
      <c r="AG6" s="66" t="s">
        <v>2</v>
      </c>
      <c r="AH6" s="66" t="s">
        <v>3</v>
      </c>
      <c r="AI6" s="66" t="s">
        <v>4</v>
      </c>
      <c r="AJ6" s="191" t="s">
        <v>657</v>
      </c>
      <c r="AK6" s="199" t="s">
        <v>658</v>
      </c>
      <c r="AL6" s="198" t="s">
        <v>659</v>
      </c>
      <c r="AM6" s="66" t="s">
        <v>5</v>
      </c>
      <c r="AN6" s="66" t="s">
        <v>6</v>
      </c>
      <c r="AO6" s="66" t="s">
        <v>7</v>
      </c>
    </row>
    <row r="7" spans="1:44" x14ac:dyDescent="0.25">
      <c r="A7" s="68"/>
      <c r="B7" s="69" t="s">
        <v>8</v>
      </c>
      <c r="C7" s="70">
        <f>SUM(C9+C48+C135+C171+C175+C179+C202+C222+C233+C238)</f>
        <v>58441878254.25</v>
      </c>
      <c r="D7" s="71">
        <f t="shared" ref="D7:AO7" si="0">SUM(D9+D48+D135+D171+D175+D179+D202+D222+D233)</f>
        <v>4851103500.9499998</v>
      </c>
      <c r="E7" s="71">
        <f t="shared" si="0"/>
        <v>31483856</v>
      </c>
      <c r="F7" s="71">
        <f t="shared" si="0"/>
        <v>307152257.85999995</v>
      </c>
      <c r="G7" s="71">
        <f t="shared" si="0"/>
        <v>178916982</v>
      </c>
      <c r="H7" s="71">
        <f t="shared" si="0"/>
        <v>111245371</v>
      </c>
      <c r="I7" s="72">
        <f t="shared" si="0"/>
        <v>461119098.25</v>
      </c>
      <c r="J7" s="71">
        <f t="shared" si="0"/>
        <v>30172383</v>
      </c>
      <c r="K7" s="71">
        <f t="shared" si="0"/>
        <v>49739488</v>
      </c>
      <c r="L7" s="72">
        <f t="shared" si="0"/>
        <v>191074156</v>
      </c>
      <c r="M7" s="71">
        <f t="shared" si="0"/>
        <v>316720941</v>
      </c>
      <c r="N7" s="72">
        <f t="shared" si="0"/>
        <v>92298512</v>
      </c>
      <c r="O7" s="72">
        <f t="shared" si="0"/>
        <v>1599968645.75</v>
      </c>
      <c r="P7" s="72">
        <f t="shared" si="0"/>
        <v>246436245</v>
      </c>
      <c r="Q7" s="71">
        <f t="shared" si="0"/>
        <v>38453367</v>
      </c>
      <c r="R7" s="71">
        <f t="shared" si="0"/>
        <v>114223736</v>
      </c>
      <c r="S7" s="71">
        <f t="shared" si="0"/>
        <v>484053283</v>
      </c>
      <c r="T7" s="72">
        <f t="shared" si="0"/>
        <v>115768919</v>
      </c>
      <c r="U7" s="72">
        <f t="shared" si="0"/>
        <v>59505978</v>
      </c>
      <c r="V7" s="72">
        <f t="shared" si="0"/>
        <v>116040995</v>
      </c>
      <c r="W7" s="71">
        <f t="shared" si="0"/>
        <v>41729823.090000004</v>
      </c>
      <c r="X7" s="72">
        <f t="shared" si="0"/>
        <v>264999464</v>
      </c>
      <c r="Y7" s="71">
        <f t="shared" si="0"/>
        <v>2846865987</v>
      </c>
      <c r="Z7" s="72">
        <f t="shared" si="0"/>
        <v>152768660</v>
      </c>
      <c r="AA7" s="72">
        <f t="shared" si="0"/>
        <v>240643424</v>
      </c>
      <c r="AB7" s="72">
        <f t="shared" si="0"/>
        <v>2106074961</v>
      </c>
      <c r="AC7" s="71">
        <f t="shared" si="0"/>
        <v>249397956</v>
      </c>
      <c r="AD7" s="71">
        <f t="shared" si="0"/>
        <v>97980986</v>
      </c>
      <c r="AE7" s="71">
        <f t="shared" si="0"/>
        <v>4053089651</v>
      </c>
      <c r="AF7" s="71">
        <f t="shared" si="0"/>
        <v>59339350</v>
      </c>
      <c r="AG7" s="72">
        <f t="shared" si="0"/>
        <v>1726404360</v>
      </c>
      <c r="AH7" s="72">
        <f t="shared" si="0"/>
        <v>2025522024</v>
      </c>
      <c r="AI7" s="71">
        <f t="shared" si="0"/>
        <v>241823917</v>
      </c>
      <c r="AJ7" s="71">
        <f>SUM(AJ9+AJ48+AJ135+AJ171+AJ175+AJ179+AJ202+AJ222+AJ233+AJ238)</f>
        <v>46690819115.300003</v>
      </c>
      <c r="AK7" s="73">
        <f>SUM(AK9+AK48+AK135+AK171+AK175+AK179+AK202+AK222+AK233+AK238)</f>
        <v>44146404490.300003</v>
      </c>
      <c r="AL7" s="73">
        <f t="shared" si="0"/>
        <v>2544414625</v>
      </c>
      <c r="AM7" s="73">
        <f t="shared" si="0"/>
        <v>6758970</v>
      </c>
      <c r="AN7" s="73">
        <f t="shared" si="0"/>
        <v>6187263</v>
      </c>
      <c r="AO7" s="74">
        <f t="shared" si="0"/>
        <v>2531468392</v>
      </c>
    </row>
    <row r="8" spans="1:44" x14ac:dyDescent="0.25">
      <c r="A8" s="75"/>
      <c r="B8" s="75"/>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row>
    <row r="9" spans="1:44" s="78" customFormat="1" x14ac:dyDescent="0.25">
      <c r="A9" s="76">
        <v>0</v>
      </c>
      <c r="B9" s="76" t="s">
        <v>9</v>
      </c>
      <c r="C9" s="77">
        <f>+C11+C15+C20+C35+C42</f>
        <v>4275440430</v>
      </c>
      <c r="D9" s="77">
        <f t="shared" ref="D9:AO9" si="1">+D11+D15+D20+D35+D42</f>
        <v>1773775868</v>
      </c>
      <c r="E9" s="77">
        <f t="shared" si="1"/>
        <v>31430856</v>
      </c>
      <c r="F9" s="77">
        <f t="shared" si="1"/>
        <v>193457187</v>
      </c>
      <c r="G9" s="77">
        <f t="shared" si="1"/>
        <v>164396982</v>
      </c>
      <c r="H9" s="77">
        <f t="shared" si="1"/>
        <v>100970371</v>
      </c>
      <c r="I9" s="77">
        <f t="shared" si="1"/>
        <v>144906486</v>
      </c>
      <c r="J9" s="77">
        <f t="shared" si="1"/>
        <v>29672383</v>
      </c>
      <c r="K9" s="77">
        <f t="shared" si="1"/>
        <v>44039488</v>
      </c>
      <c r="L9" s="77">
        <f t="shared" si="1"/>
        <v>128574156</v>
      </c>
      <c r="M9" s="77">
        <f t="shared" si="1"/>
        <v>193575941</v>
      </c>
      <c r="N9" s="77">
        <f t="shared" si="1"/>
        <v>33708512</v>
      </c>
      <c r="O9" s="77">
        <f t="shared" si="1"/>
        <v>144539739</v>
      </c>
      <c r="P9" s="77">
        <f t="shared" si="1"/>
        <v>80726516</v>
      </c>
      <c r="Q9" s="77">
        <f t="shared" si="1"/>
        <v>37953367</v>
      </c>
      <c r="R9" s="77">
        <f t="shared" si="1"/>
        <v>110993736</v>
      </c>
      <c r="S9" s="77">
        <f t="shared" si="1"/>
        <v>17353283</v>
      </c>
      <c r="T9" s="77">
        <f t="shared" si="1"/>
        <v>77818919</v>
      </c>
      <c r="U9" s="77">
        <f t="shared" si="1"/>
        <v>47090678</v>
      </c>
      <c r="V9" s="77">
        <f t="shared" si="1"/>
        <v>78377823</v>
      </c>
      <c r="W9" s="77">
        <f t="shared" si="1"/>
        <v>16339981</v>
      </c>
      <c r="X9" s="77">
        <f t="shared" si="1"/>
        <v>97849464</v>
      </c>
      <c r="Y9" s="77">
        <f t="shared" si="1"/>
        <v>809160168</v>
      </c>
      <c r="Z9" s="77">
        <f t="shared" si="1"/>
        <v>130433660</v>
      </c>
      <c r="AA9" s="77">
        <f t="shared" si="1"/>
        <v>108371584</v>
      </c>
      <c r="AB9" s="77">
        <f t="shared" si="1"/>
        <v>250478822</v>
      </c>
      <c r="AC9" s="77">
        <f t="shared" si="1"/>
        <v>228420116</v>
      </c>
      <c r="AD9" s="77">
        <f t="shared" si="1"/>
        <v>91455986</v>
      </c>
      <c r="AE9" s="77">
        <f t="shared" si="1"/>
        <v>755876281</v>
      </c>
      <c r="AF9" s="77">
        <f t="shared" si="1"/>
        <v>51350600</v>
      </c>
      <c r="AG9" s="77">
        <f t="shared" si="1"/>
        <v>373312740</v>
      </c>
      <c r="AH9" s="77">
        <f t="shared" si="1"/>
        <v>139889024</v>
      </c>
      <c r="AI9" s="77">
        <f t="shared" si="1"/>
        <v>191323917</v>
      </c>
      <c r="AJ9" s="77">
        <f t="shared" si="1"/>
        <v>936628113</v>
      </c>
      <c r="AK9" s="77">
        <f t="shared" si="1"/>
        <v>919935915</v>
      </c>
      <c r="AL9" s="77">
        <f t="shared" si="1"/>
        <v>16692198</v>
      </c>
      <c r="AM9" s="77">
        <f t="shared" si="1"/>
        <v>4758970</v>
      </c>
      <c r="AN9" s="77">
        <f t="shared" si="1"/>
        <v>4687263</v>
      </c>
      <c r="AO9" s="77">
        <f t="shared" si="1"/>
        <v>7245965</v>
      </c>
      <c r="AQ9" s="64"/>
      <c r="AR9" s="64"/>
    </row>
    <row r="10" spans="1:44" x14ac:dyDescent="0.25">
      <c r="A10" s="76"/>
      <c r="B10" s="76"/>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row>
    <row r="11" spans="1:44" s="78" customFormat="1" x14ac:dyDescent="0.25">
      <c r="A11" s="79" t="s">
        <v>10</v>
      </c>
      <c r="B11" s="80" t="s">
        <v>11</v>
      </c>
      <c r="C11" s="77">
        <f>SUM(C12:C13)</f>
        <v>2051347976</v>
      </c>
      <c r="D11" s="77">
        <f t="shared" ref="D11:AO11" si="2">SUM(D12:D13)</f>
        <v>855489329</v>
      </c>
      <c r="E11" s="77">
        <f t="shared" si="2"/>
        <v>0</v>
      </c>
      <c r="F11" s="77">
        <f t="shared" si="2"/>
        <v>102837780</v>
      </c>
      <c r="G11" s="77">
        <f t="shared" si="2"/>
        <v>91980914</v>
      </c>
      <c r="H11" s="77">
        <f t="shared" si="2"/>
        <v>63878268</v>
      </c>
      <c r="I11" s="77">
        <f t="shared" si="2"/>
        <v>59337134</v>
      </c>
      <c r="J11" s="77">
        <f t="shared" si="2"/>
        <v>14973457</v>
      </c>
      <c r="K11" s="77">
        <f t="shared" si="2"/>
        <v>27392724</v>
      </c>
      <c r="L11" s="77">
        <f t="shared" si="2"/>
        <v>85384632</v>
      </c>
      <c r="M11" s="77">
        <f t="shared" si="2"/>
        <v>93314626</v>
      </c>
      <c r="N11" s="77">
        <f t="shared" si="2"/>
        <v>15848124</v>
      </c>
      <c r="O11" s="77">
        <f t="shared" si="2"/>
        <v>64907129</v>
      </c>
      <c r="P11" s="77">
        <f t="shared" si="2"/>
        <v>27749952</v>
      </c>
      <c r="Q11" s="77">
        <f t="shared" si="2"/>
        <v>17587144</v>
      </c>
      <c r="R11" s="77">
        <f t="shared" si="2"/>
        <v>42018874</v>
      </c>
      <c r="S11" s="77">
        <f t="shared" si="2"/>
        <v>8120635</v>
      </c>
      <c r="T11" s="77">
        <f t="shared" si="2"/>
        <v>35117604</v>
      </c>
      <c r="U11" s="77">
        <f t="shared" si="2"/>
        <v>22855278</v>
      </c>
      <c r="V11" s="77">
        <f t="shared" si="2"/>
        <v>28025604</v>
      </c>
      <c r="W11" s="77">
        <f t="shared" si="2"/>
        <v>10851192</v>
      </c>
      <c r="X11" s="77">
        <f t="shared" si="2"/>
        <v>43308258</v>
      </c>
      <c r="Y11" s="77">
        <f t="shared" si="2"/>
        <v>424518076</v>
      </c>
      <c r="Z11" s="77">
        <f t="shared" si="2"/>
        <v>54002046</v>
      </c>
      <c r="AA11" s="77">
        <f t="shared" si="2"/>
        <v>71660797</v>
      </c>
      <c r="AB11" s="77">
        <f t="shared" si="2"/>
        <v>125822174</v>
      </c>
      <c r="AC11" s="77">
        <f t="shared" si="2"/>
        <v>112620783</v>
      </c>
      <c r="AD11" s="77">
        <f t="shared" si="2"/>
        <v>60412276</v>
      </c>
      <c r="AE11" s="77">
        <f t="shared" si="2"/>
        <v>325563548</v>
      </c>
      <c r="AF11" s="77">
        <f t="shared" si="2"/>
        <v>21044124</v>
      </c>
      <c r="AG11" s="77">
        <f t="shared" si="2"/>
        <v>160933919</v>
      </c>
      <c r="AH11" s="77">
        <f t="shared" si="2"/>
        <v>59788081</v>
      </c>
      <c r="AI11" s="77">
        <f t="shared" si="2"/>
        <v>83797424</v>
      </c>
      <c r="AJ11" s="77">
        <f t="shared" si="2"/>
        <v>445777023</v>
      </c>
      <c r="AK11" s="77">
        <f t="shared" si="2"/>
        <v>437909840</v>
      </c>
      <c r="AL11" s="77">
        <f t="shared" si="2"/>
        <v>7867183</v>
      </c>
      <c r="AM11" s="77">
        <f t="shared" si="2"/>
        <v>2658527</v>
      </c>
      <c r="AN11" s="77">
        <f t="shared" si="2"/>
        <v>2300623</v>
      </c>
      <c r="AO11" s="77">
        <f t="shared" si="2"/>
        <v>2908033</v>
      </c>
      <c r="AQ11" s="64"/>
      <c r="AR11" s="64"/>
    </row>
    <row r="12" spans="1:44" x14ac:dyDescent="0.25">
      <c r="A12" s="75" t="s">
        <v>12</v>
      </c>
      <c r="B12" s="81" t="s">
        <v>13</v>
      </c>
      <c r="C12" s="75">
        <f>SUM(D12+Y12+AE12+AJ12)</f>
        <v>1847307208</v>
      </c>
      <c r="D12" s="75">
        <f>SUM(E12:X12)</f>
        <v>773453481</v>
      </c>
      <c r="E12" s="75">
        <v>0</v>
      </c>
      <c r="F12" s="75">
        <v>94633224</v>
      </c>
      <c r="G12" s="75">
        <v>80249922</v>
      </c>
      <c r="H12" s="75">
        <v>54668579</v>
      </c>
      <c r="I12" s="75">
        <v>57313049</v>
      </c>
      <c r="J12" s="75">
        <v>11361263</v>
      </c>
      <c r="K12" s="75">
        <v>27392724</v>
      </c>
      <c r="L12" s="75">
        <v>78342318</v>
      </c>
      <c r="M12" s="75">
        <v>89511314</v>
      </c>
      <c r="N12" s="75">
        <v>12071520</v>
      </c>
      <c r="O12" s="75">
        <v>55816106</v>
      </c>
      <c r="P12" s="75">
        <v>27749952</v>
      </c>
      <c r="Q12" s="75">
        <v>13852503</v>
      </c>
      <c r="R12" s="75">
        <v>40898435</v>
      </c>
      <c r="S12" s="75">
        <v>7855803</v>
      </c>
      <c r="T12" s="75">
        <v>29105487</v>
      </c>
      <c r="U12" s="75">
        <v>10446228</v>
      </c>
      <c r="V12" s="75">
        <v>28025604</v>
      </c>
      <c r="W12" s="75">
        <v>10851192</v>
      </c>
      <c r="X12" s="75">
        <v>43308258</v>
      </c>
      <c r="Y12" s="75">
        <f>SUM(Z12:AD12)</f>
        <v>387253776</v>
      </c>
      <c r="Z12" s="75">
        <v>48691998</v>
      </c>
      <c r="AA12" s="75">
        <v>66148428</v>
      </c>
      <c r="AB12" s="75">
        <v>112926726</v>
      </c>
      <c r="AC12" s="75">
        <v>103148112</v>
      </c>
      <c r="AD12" s="75">
        <v>56338512</v>
      </c>
      <c r="AE12" s="75">
        <f>SUM(AF12:AI12)</f>
        <v>277859070</v>
      </c>
      <c r="AF12" s="75">
        <v>21044124</v>
      </c>
      <c r="AG12" s="75">
        <v>126310410</v>
      </c>
      <c r="AH12" s="75">
        <v>58029786</v>
      </c>
      <c r="AI12" s="75">
        <v>72474750</v>
      </c>
      <c r="AJ12" s="75">
        <f>SUM(AK12:AL12)</f>
        <v>408740881</v>
      </c>
      <c r="AK12" s="75">
        <v>401470644</v>
      </c>
      <c r="AL12" s="75">
        <f>SUM(AM12:AO12)</f>
        <v>7270237</v>
      </c>
      <c r="AM12" s="75">
        <v>2221556</v>
      </c>
      <c r="AN12" s="75">
        <v>2226272</v>
      </c>
      <c r="AO12" s="75">
        <v>2822409</v>
      </c>
    </row>
    <row r="13" spans="1:44" x14ac:dyDescent="0.25">
      <c r="A13" s="75" t="s">
        <v>14</v>
      </c>
      <c r="B13" s="81" t="s">
        <v>15</v>
      </c>
      <c r="C13" s="75">
        <f>SUM(D13+Y13+AE13+AJ13)</f>
        <v>204040768</v>
      </c>
      <c r="D13" s="75">
        <f>SUM(E13:X13)</f>
        <v>82035848</v>
      </c>
      <c r="E13" s="75">
        <v>0</v>
      </c>
      <c r="F13" s="75">
        <v>8204556</v>
      </c>
      <c r="G13" s="75">
        <v>11730992</v>
      </c>
      <c r="H13" s="75">
        <v>9209689</v>
      </c>
      <c r="I13" s="75">
        <v>2024085</v>
      </c>
      <c r="J13" s="75">
        <v>3612194</v>
      </c>
      <c r="K13" s="75">
        <v>0</v>
      </c>
      <c r="L13" s="75">
        <v>7042314</v>
      </c>
      <c r="M13" s="75">
        <v>3803312</v>
      </c>
      <c r="N13" s="75">
        <v>3776604</v>
      </c>
      <c r="O13" s="75">
        <v>9091023</v>
      </c>
      <c r="P13" s="75">
        <v>0</v>
      </c>
      <c r="Q13" s="75">
        <v>3734641</v>
      </c>
      <c r="R13" s="75">
        <v>1120439</v>
      </c>
      <c r="S13" s="75">
        <v>264832</v>
      </c>
      <c r="T13" s="75">
        <v>6012117</v>
      </c>
      <c r="U13" s="75">
        <v>12409050</v>
      </c>
      <c r="V13" s="75">
        <v>0</v>
      </c>
      <c r="W13" s="75">
        <v>0</v>
      </c>
      <c r="X13" s="75">
        <v>0</v>
      </c>
      <c r="Y13" s="75">
        <f>SUM(Z13:AD13)</f>
        <v>37264300</v>
      </c>
      <c r="Z13" s="75">
        <v>5310048</v>
      </c>
      <c r="AA13" s="75">
        <v>5512369</v>
      </c>
      <c r="AB13" s="75">
        <v>12895448</v>
      </c>
      <c r="AC13" s="75">
        <v>9472671</v>
      </c>
      <c r="AD13" s="75">
        <v>4073764</v>
      </c>
      <c r="AE13" s="75">
        <f>SUM(AF13:AI13)</f>
        <v>47704478</v>
      </c>
      <c r="AF13" s="75">
        <v>0</v>
      </c>
      <c r="AG13" s="75">
        <v>34623509</v>
      </c>
      <c r="AH13" s="75">
        <v>1758295</v>
      </c>
      <c r="AI13" s="75">
        <v>11322674</v>
      </c>
      <c r="AJ13" s="75">
        <f>SUM(AK13:AL13)</f>
        <v>37036142</v>
      </c>
      <c r="AK13" s="75">
        <v>36439196</v>
      </c>
      <c r="AL13" s="75">
        <f>SUM(AM13:AO13)</f>
        <v>596946</v>
      </c>
      <c r="AM13" s="75">
        <v>436971</v>
      </c>
      <c r="AN13" s="75">
        <v>74351</v>
      </c>
      <c r="AO13" s="75">
        <v>85624</v>
      </c>
    </row>
    <row r="14" spans="1:44" x14ac:dyDescent="0.25">
      <c r="A14" s="75"/>
      <c r="B14" s="81"/>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row>
    <row r="15" spans="1:44" s="78" customFormat="1" x14ac:dyDescent="0.25">
      <c r="A15" s="79" t="s">
        <v>16</v>
      </c>
      <c r="B15" s="82" t="s">
        <v>17</v>
      </c>
      <c r="C15" s="77">
        <f>SUM(C16:C18)</f>
        <v>128074827</v>
      </c>
      <c r="D15" s="77">
        <f t="shared" ref="D15:AO15" si="3">SUM(D16:D18)</f>
        <v>68263160</v>
      </c>
      <c r="E15" s="77">
        <f t="shared" si="3"/>
        <v>31430856</v>
      </c>
      <c r="F15" s="77">
        <f t="shared" si="3"/>
        <v>2230278</v>
      </c>
      <c r="G15" s="77">
        <f t="shared" si="3"/>
        <v>0</v>
      </c>
      <c r="H15" s="77">
        <f t="shared" si="3"/>
        <v>0</v>
      </c>
      <c r="I15" s="77">
        <f t="shared" si="3"/>
        <v>734855</v>
      </c>
      <c r="J15" s="77">
        <f t="shared" si="3"/>
        <v>0</v>
      </c>
      <c r="K15" s="77">
        <f t="shared" si="3"/>
        <v>0</v>
      </c>
      <c r="L15" s="77">
        <f t="shared" si="3"/>
        <v>0</v>
      </c>
      <c r="M15" s="77">
        <f t="shared" si="3"/>
        <v>7813423</v>
      </c>
      <c r="N15" s="77">
        <f t="shared" si="3"/>
        <v>0</v>
      </c>
      <c r="O15" s="77">
        <f t="shared" si="3"/>
        <v>6002109</v>
      </c>
      <c r="P15" s="77">
        <f t="shared" si="3"/>
        <v>0</v>
      </c>
      <c r="Q15" s="77">
        <f t="shared" si="3"/>
        <v>840194</v>
      </c>
      <c r="R15" s="77">
        <f t="shared" si="3"/>
        <v>8656890</v>
      </c>
      <c r="S15" s="77">
        <f t="shared" si="3"/>
        <v>1283532</v>
      </c>
      <c r="T15" s="77">
        <f t="shared" si="3"/>
        <v>9122838</v>
      </c>
      <c r="U15" s="77">
        <f t="shared" si="3"/>
        <v>0</v>
      </c>
      <c r="V15" s="77">
        <f t="shared" si="3"/>
        <v>148185</v>
      </c>
      <c r="W15" s="77">
        <f t="shared" si="3"/>
        <v>0</v>
      </c>
      <c r="X15" s="77">
        <f t="shared" si="3"/>
        <v>0</v>
      </c>
      <c r="Y15" s="77">
        <f t="shared" si="3"/>
        <v>28436021</v>
      </c>
      <c r="Z15" s="77">
        <f t="shared" si="3"/>
        <v>0</v>
      </c>
      <c r="AA15" s="77">
        <f t="shared" si="3"/>
        <v>315929</v>
      </c>
      <c r="AB15" s="77">
        <f t="shared" si="3"/>
        <v>11331520</v>
      </c>
      <c r="AC15" s="77">
        <f t="shared" si="3"/>
        <v>16457168</v>
      </c>
      <c r="AD15" s="77">
        <f t="shared" si="3"/>
        <v>331404</v>
      </c>
      <c r="AE15" s="77">
        <f t="shared" si="3"/>
        <v>8176608</v>
      </c>
      <c r="AF15" s="77">
        <f t="shared" si="3"/>
        <v>0</v>
      </c>
      <c r="AG15" s="77">
        <f t="shared" si="3"/>
        <v>1286949</v>
      </c>
      <c r="AH15" s="77">
        <f t="shared" si="3"/>
        <v>0</v>
      </c>
      <c r="AI15" s="77">
        <f t="shared" si="3"/>
        <v>6889659</v>
      </c>
      <c r="AJ15" s="77">
        <f t="shared" si="3"/>
        <v>23199038</v>
      </c>
      <c r="AK15" s="77">
        <f t="shared" si="3"/>
        <v>23006256</v>
      </c>
      <c r="AL15" s="77">
        <f t="shared" si="3"/>
        <v>192782</v>
      </c>
      <c r="AM15" s="77">
        <f t="shared" si="3"/>
        <v>192782</v>
      </c>
      <c r="AN15" s="77">
        <f t="shared" si="3"/>
        <v>0</v>
      </c>
      <c r="AO15" s="77">
        <f t="shared" si="3"/>
        <v>0</v>
      </c>
      <c r="AQ15" s="64"/>
      <c r="AR15" s="64"/>
    </row>
    <row r="16" spans="1:44" x14ac:dyDescent="0.25">
      <c r="A16" s="75" t="s">
        <v>18</v>
      </c>
      <c r="B16" s="81" t="s">
        <v>19</v>
      </c>
      <c r="C16" s="75">
        <f>SUM(D16+Y16+AE16+AJ16)</f>
        <v>54359134</v>
      </c>
      <c r="D16" s="75">
        <f>SUM(E16:X16)</f>
        <v>23425072</v>
      </c>
      <c r="E16" s="75">
        <v>0</v>
      </c>
      <c r="F16" s="75">
        <v>0</v>
      </c>
      <c r="G16" s="75">
        <v>0</v>
      </c>
      <c r="H16" s="75">
        <v>0</v>
      </c>
      <c r="I16" s="75">
        <v>734855</v>
      </c>
      <c r="J16" s="75">
        <v>0</v>
      </c>
      <c r="K16" s="75">
        <v>0</v>
      </c>
      <c r="L16" s="75">
        <v>0</v>
      </c>
      <c r="M16" s="75">
        <v>0</v>
      </c>
      <c r="N16" s="75">
        <v>0</v>
      </c>
      <c r="O16" s="75">
        <v>6002109</v>
      </c>
      <c r="P16" s="75">
        <v>0</v>
      </c>
      <c r="Q16" s="75">
        <v>840194</v>
      </c>
      <c r="R16" s="75">
        <v>7211500</v>
      </c>
      <c r="S16" s="75">
        <v>564229</v>
      </c>
      <c r="T16" s="75">
        <v>7924000</v>
      </c>
      <c r="U16" s="75">
        <v>0</v>
      </c>
      <c r="V16" s="75">
        <v>148185</v>
      </c>
      <c r="W16" s="75">
        <v>0</v>
      </c>
      <c r="X16" s="75">
        <v>0</v>
      </c>
      <c r="Y16" s="75">
        <f>SUM(Z16:AD16)</f>
        <v>13407250</v>
      </c>
      <c r="Z16" s="75">
        <v>0</v>
      </c>
      <c r="AA16" s="75">
        <v>315929</v>
      </c>
      <c r="AB16" s="75">
        <v>2413395</v>
      </c>
      <c r="AC16" s="75">
        <v>10346522</v>
      </c>
      <c r="AD16" s="75">
        <v>331404</v>
      </c>
      <c r="AE16" s="75">
        <f>SUM(AF16:AI16)</f>
        <v>4620772</v>
      </c>
      <c r="AF16" s="75">
        <v>0</v>
      </c>
      <c r="AG16" s="75">
        <v>1286949</v>
      </c>
      <c r="AH16" s="75">
        <v>0</v>
      </c>
      <c r="AI16" s="75">
        <v>3333823</v>
      </c>
      <c r="AJ16" s="75">
        <f>SUM(AK16:AL16)</f>
        <v>12906040</v>
      </c>
      <c r="AK16" s="75">
        <v>12822501</v>
      </c>
      <c r="AL16" s="75">
        <f>SUM(AM16:AO16)</f>
        <v>83539</v>
      </c>
      <c r="AM16" s="75">
        <v>83539</v>
      </c>
      <c r="AN16" s="75">
        <v>0</v>
      </c>
      <c r="AO16" s="75">
        <v>0</v>
      </c>
    </row>
    <row r="17" spans="1:44" x14ac:dyDescent="0.25">
      <c r="A17" s="75" t="s">
        <v>20</v>
      </c>
      <c r="B17" s="81" t="s">
        <v>21</v>
      </c>
      <c r="C17" s="75">
        <f>SUM(D17+Y17+AE17+AJ17)</f>
        <v>42284837</v>
      </c>
      <c r="D17" s="75">
        <f>SUM(E17:X17)</f>
        <v>13407232</v>
      </c>
      <c r="E17" s="75">
        <v>0</v>
      </c>
      <c r="F17" s="75">
        <v>2230278</v>
      </c>
      <c r="G17" s="75">
        <v>0</v>
      </c>
      <c r="H17" s="75">
        <v>0</v>
      </c>
      <c r="I17" s="75">
        <v>0</v>
      </c>
      <c r="J17" s="75">
        <v>0</v>
      </c>
      <c r="K17" s="75">
        <v>0</v>
      </c>
      <c r="L17" s="75">
        <v>0</v>
      </c>
      <c r="M17" s="75">
        <v>7813423</v>
      </c>
      <c r="N17" s="75">
        <v>0</v>
      </c>
      <c r="O17" s="75">
        <v>0</v>
      </c>
      <c r="P17" s="75">
        <v>0</v>
      </c>
      <c r="Q17" s="75">
        <v>0</v>
      </c>
      <c r="R17" s="75">
        <v>1445390</v>
      </c>
      <c r="S17" s="75">
        <v>719303</v>
      </c>
      <c r="T17" s="75">
        <v>1198838</v>
      </c>
      <c r="U17" s="75">
        <v>0</v>
      </c>
      <c r="V17" s="75">
        <v>0</v>
      </c>
      <c r="W17" s="75">
        <v>0</v>
      </c>
      <c r="X17" s="75">
        <v>0</v>
      </c>
      <c r="Y17" s="75">
        <f>SUM(Z17:AD17)</f>
        <v>15028771</v>
      </c>
      <c r="Z17" s="75">
        <v>0</v>
      </c>
      <c r="AA17" s="75">
        <v>0</v>
      </c>
      <c r="AB17" s="75">
        <v>8918125</v>
      </c>
      <c r="AC17" s="75">
        <v>6110646</v>
      </c>
      <c r="AD17" s="75">
        <v>0</v>
      </c>
      <c r="AE17" s="75">
        <f>SUM(AF17:AI17)</f>
        <v>3555836</v>
      </c>
      <c r="AF17" s="75">
        <v>0</v>
      </c>
      <c r="AG17" s="75">
        <v>0</v>
      </c>
      <c r="AH17" s="75">
        <v>0</v>
      </c>
      <c r="AI17" s="75">
        <v>3555836</v>
      </c>
      <c r="AJ17" s="75">
        <f>SUM(AK17:AL17)</f>
        <v>10292998</v>
      </c>
      <c r="AK17" s="75">
        <v>10183755</v>
      </c>
      <c r="AL17" s="75">
        <f>SUM(AM17:AO17)</f>
        <v>109243</v>
      </c>
      <c r="AM17" s="75">
        <v>109243</v>
      </c>
      <c r="AN17" s="75">
        <v>0</v>
      </c>
      <c r="AO17" s="75">
        <v>0</v>
      </c>
    </row>
    <row r="18" spans="1:44" x14ac:dyDescent="0.25">
      <c r="A18" s="75" t="s">
        <v>22</v>
      </c>
      <c r="B18" s="81" t="s">
        <v>23</v>
      </c>
      <c r="C18" s="75">
        <f>SUM(D18+Y18+AE18+AJ18)</f>
        <v>31430856</v>
      </c>
      <c r="D18" s="75">
        <f>SUM(E18:X18)</f>
        <v>31430856</v>
      </c>
      <c r="E18" s="75">
        <v>31430856</v>
      </c>
      <c r="F18" s="75">
        <v>0</v>
      </c>
      <c r="G18" s="75">
        <v>0</v>
      </c>
      <c r="H18" s="75">
        <v>0</v>
      </c>
      <c r="I18" s="75">
        <v>0</v>
      </c>
      <c r="J18" s="75">
        <v>0</v>
      </c>
      <c r="K18" s="75">
        <v>0</v>
      </c>
      <c r="L18" s="75">
        <v>0</v>
      </c>
      <c r="M18" s="75">
        <v>0</v>
      </c>
      <c r="N18" s="75">
        <v>0</v>
      </c>
      <c r="O18" s="75">
        <v>0</v>
      </c>
      <c r="P18" s="75">
        <v>0</v>
      </c>
      <c r="Q18" s="75">
        <v>0</v>
      </c>
      <c r="R18" s="75">
        <v>0</v>
      </c>
      <c r="S18" s="75">
        <v>0</v>
      </c>
      <c r="T18" s="75">
        <v>0</v>
      </c>
      <c r="U18" s="75">
        <v>0</v>
      </c>
      <c r="V18" s="75">
        <v>0</v>
      </c>
      <c r="W18" s="75">
        <v>0</v>
      </c>
      <c r="X18" s="75">
        <v>0</v>
      </c>
      <c r="Y18" s="75">
        <f>SUM(Z18:AD18)</f>
        <v>0</v>
      </c>
      <c r="Z18" s="75">
        <v>0</v>
      </c>
      <c r="AA18" s="75">
        <v>0</v>
      </c>
      <c r="AB18" s="75">
        <v>0</v>
      </c>
      <c r="AC18" s="75">
        <v>0</v>
      </c>
      <c r="AD18" s="75">
        <v>0</v>
      </c>
      <c r="AE18" s="75">
        <f>SUM(AF18:AI18)</f>
        <v>0</v>
      </c>
      <c r="AF18" s="75">
        <v>0</v>
      </c>
      <c r="AG18" s="75">
        <v>0</v>
      </c>
      <c r="AH18" s="75">
        <v>0</v>
      </c>
      <c r="AI18" s="75">
        <v>0</v>
      </c>
      <c r="AJ18" s="75">
        <f>SUM(AK18:AL18)</f>
        <v>0</v>
      </c>
      <c r="AK18" s="75">
        <v>0</v>
      </c>
      <c r="AL18" s="75">
        <f>SUM(AM18:AO18)</f>
        <v>0</v>
      </c>
      <c r="AM18" s="75">
        <v>0</v>
      </c>
      <c r="AN18" s="75">
        <v>0</v>
      </c>
      <c r="AO18" s="75">
        <v>0</v>
      </c>
    </row>
    <row r="19" spans="1:44" x14ac:dyDescent="0.25">
      <c r="A19" s="75"/>
      <c r="B19" s="81"/>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row>
    <row r="20" spans="1:44" s="78" customFormat="1" x14ac:dyDescent="0.25">
      <c r="A20" s="83" t="s">
        <v>24</v>
      </c>
      <c r="B20" s="80" t="s">
        <v>25</v>
      </c>
      <c r="C20" s="77">
        <f>SUM(C21+C25+C29+C30+C32)</f>
        <v>1156377082</v>
      </c>
      <c r="D20" s="77">
        <f t="shared" ref="D20:AO20" si="4">SUM(D21+D25+D29+D30+D32)</f>
        <v>461391273</v>
      </c>
      <c r="E20" s="77">
        <f t="shared" si="4"/>
        <v>0</v>
      </c>
      <c r="F20" s="77">
        <f t="shared" si="4"/>
        <v>45704308</v>
      </c>
      <c r="G20" s="77">
        <f t="shared" si="4"/>
        <v>36143155</v>
      </c>
      <c r="H20" s="77">
        <f t="shared" si="4"/>
        <v>14813774</v>
      </c>
      <c r="I20" s="77">
        <f t="shared" si="4"/>
        <v>52884919</v>
      </c>
      <c r="J20" s="77">
        <f t="shared" si="4"/>
        <v>8151944</v>
      </c>
      <c r="K20" s="77">
        <f t="shared" si="4"/>
        <v>6929793</v>
      </c>
      <c r="L20" s="77">
        <f t="shared" si="4"/>
        <v>14820638</v>
      </c>
      <c r="M20" s="77">
        <f t="shared" si="4"/>
        <v>49736871</v>
      </c>
      <c r="N20" s="77">
        <f t="shared" si="4"/>
        <v>10422864</v>
      </c>
      <c r="O20" s="77">
        <f t="shared" si="4"/>
        <v>41926045</v>
      </c>
      <c r="P20" s="77">
        <f t="shared" si="4"/>
        <v>30237398</v>
      </c>
      <c r="Q20" s="77">
        <f t="shared" si="4"/>
        <v>11178105</v>
      </c>
      <c r="R20" s="77">
        <f t="shared" si="4"/>
        <v>36052880</v>
      </c>
      <c r="S20" s="77">
        <f t="shared" si="4"/>
        <v>4137836</v>
      </c>
      <c r="T20" s="77">
        <f t="shared" si="4"/>
        <v>16655363</v>
      </c>
      <c r="U20" s="77">
        <f t="shared" si="4"/>
        <v>13845207</v>
      </c>
      <c r="V20" s="77">
        <f t="shared" si="4"/>
        <v>32915196</v>
      </c>
      <c r="W20" s="77">
        <f t="shared" si="4"/>
        <v>1883497</v>
      </c>
      <c r="X20" s="77">
        <f t="shared" si="4"/>
        <v>32951480</v>
      </c>
      <c r="Y20" s="77">
        <f t="shared" si="4"/>
        <v>178089145</v>
      </c>
      <c r="Z20" s="77">
        <f t="shared" si="4"/>
        <v>47652442</v>
      </c>
      <c r="AA20" s="77">
        <f t="shared" si="4"/>
        <v>12493361</v>
      </c>
      <c r="AB20" s="77">
        <f t="shared" si="4"/>
        <v>58134166</v>
      </c>
      <c r="AC20" s="77">
        <f t="shared" si="4"/>
        <v>49265591</v>
      </c>
      <c r="AD20" s="77">
        <f t="shared" si="4"/>
        <v>10543585</v>
      </c>
      <c r="AE20" s="77">
        <f t="shared" si="4"/>
        <v>255501964</v>
      </c>
      <c r="AF20" s="77">
        <f t="shared" si="4"/>
        <v>18976366</v>
      </c>
      <c r="AG20" s="77">
        <f t="shared" si="4"/>
        <v>128763447</v>
      </c>
      <c r="AH20" s="77">
        <f t="shared" si="4"/>
        <v>49235519</v>
      </c>
      <c r="AI20" s="77">
        <f t="shared" si="4"/>
        <v>58526632</v>
      </c>
      <c r="AJ20" s="77">
        <f t="shared" si="4"/>
        <v>261394700</v>
      </c>
      <c r="AK20" s="77">
        <f t="shared" si="4"/>
        <v>256442873</v>
      </c>
      <c r="AL20" s="77">
        <f t="shared" si="4"/>
        <v>4951827</v>
      </c>
      <c r="AM20" s="77">
        <f t="shared" si="4"/>
        <v>860232</v>
      </c>
      <c r="AN20" s="77">
        <f t="shared" si="4"/>
        <v>1352429</v>
      </c>
      <c r="AO20" s="77">
        <f t="shared" si="4"/>
        <v>2739166</v>
      </c>
      <c r="AQ20" s="64"/>
      <c r="AR20" s="64"/>
    </row>
    <row r="21" spans="1:44" s="78" customFormat="1" x14ac:dyDescent="0.25">
      <c r="A21" s="84" t="s">
        <v>26</v>
      </c>
      <c r="B21" s="82" t="s">
        <v>27</v>
      </c>
      <c r="C21" s="77">
        <f>SUM(C22:C23)</f>
        <v>292001670</v>
      </c>
      <c r="D21" s="77">
        <f t="shared" ref="D21:AO21" si="5">SUM(D22:D23)</f>
        <v>120566673</v>
      </c>
      <c r="E21" s="77">
        <f t="shared" si="5"/>
        <v>0</v>
      </c>
      <c r="F21" s="77">
        <f t="shared" si="5"/>
        <v>6308604</v>
      </c>
      <c r="G21" s="77">
        <f t="shared" si="5"/>
        <v>8167169</v>
      </c>
      <c r="H21" s="77">
        <f t="shared" si="5"/>
        <v>3175002</v>
      </c>
      <c r="I21" s="77">
        <f t="shared" si="5"/>
        <v>18685629</v>
      </c>
      <c r="J21" s="77">
        <f t="shared" si="5"/>
        <v>2129386</v>
      </c>
      <c r="K21" s="77">
        <f t="shared" si="5"/>
        <v>1853397</v>
      </c>
      <c r="L21" s="77">
        <f t="shared" si="5"/>
        <v>0</v>
      </c>
      <c r="M21" s="77">
        <f t="shared" si="5"/>
        <v>11584003</v>
      </c>
      <c r="N21" s="77">
        <f t="shared" si="5"/>
        <v>2321244</v>
      </c>
      <c r="O21" s="77">
        <f t="shared" si="5"/>
        <v>19038735</v>
      </c>
      <c r="P21" s="77">
        <f t="shared" si="5"/>
        <v>8703954</v>
      </c>
      <c r="Q21" s="77">
        <f t="shared" si="5"/>
        <v>1535229</v>
      </c>
      <c r="R21" s="77">
        <f t="shared" si="5"/>
        <v>10322208</v>
      </c>
      <c r="S21" s="77">
        <f t="shared" si="5"/>
        <v>1300922</v>
      </c>
      <c r="T21" s="77">
        <f t="shared" si="5"/>
        <v>7648704</v>
      </c>
      <c r="U21" s="77">
        <f t="shared" si="5"/>
        <v>3905154</v>
      </c>
      <c r="V21" s="77">
        <f t="shared" si="5"/>
        <v>8745777</v>
      </c>
      <c r="W21" s="77">
        <f t="shared" si="5"/>
        <v>0</v>
      </c>
      <c r="X21" s="77">
        <f t="shared" si="5"/>
        <v>5141556</v>
      </c>
      <c r="Y21" s="77">
        <f t="shared" si="5"/>
        <v>26409564</v>
      </c>
      <c r="Z21" s="77">
        <f t="shared" si="5"/>
        <v>12093108</v>
      </c>
      <c r="AA21" s="77">
        <f t="shared" si="5"/>
        <v>0</v>
      </c>
      <c r="AB21" s="77">
        <f t="shared" si="5"/>
        <v>7099320</v>
      </c>
      <c r="AC21" s="77">
        <f t="shared" si="5"/>
        <v>7217136</v>
      </c>
      <c r="AD21" s="77">
        <f t="shared" si="5"/>
        <v>0</v>
      </c>
      <c r="AE21" s="77">
        <f t="shared" si="5"/>
        <v>70971540</v>
      </c>
      <c r="AF21" s="77">
        <f t="shared" si="5"/>
        <v>4022616</v>
      </c>
      <c r="AG21" s="77">
        <f t="shared" si="5"/>
        <v>37536468</v>
      </c>
      <c r="AH21" s="77">
        <f t="shared" si="5"/>
        <v>15009960</v>
      </c>
      <c r="AI21" s="77">
        <f t="shared" si="5"/>
        <v>14402496</v>
      </c>
      <c r="AJ21" s="77">
        <f t="shared" si="5"/>
        <v>74053893</v>
      </c>
      <c r="AK21" s="77">
        <f t="shared" si="5"/>
        <v>72715257</v>
      </c>
      <c r="AL21" s="77">
        <f t="shared" si="5"/>
        <v>1338636</v>
      </c>
      <c r="AM21" s="77">
        <f t="shared" si="5"/>
        <v>89971</v>
      </c>
      <c r="AN21" s="77">
        <f t="shared" si="5"/>
        <v>543725</v>
      </c>
      <c r="AO21" s="77">
        <f t="shared" si="5"/>
        <v>704940</v>
      </c>
      <c r="AQ21" s="64"/>
      <c r="AR21" s="64"/>
    </row>
    <row r="22" spans="1:44" x14ac:dyDescent="0.25">
      <c r="A22" s="75" t="s">
        <v>28</v>
      </c>
      <c r="B22" s="81" t="s">
        <v>29</v>
      </c>
      <c r="C22" s="75">
        <f>SUM(D22+Y22+AE22+AJ22)</f>
        <v>269217414</v>
      </c>
      <c r="D22" s="75">
        <f>SUM(E22:X22)</f>
        <v>114820353</v>
      </c>
      <c r="E22" s="75">
        <v>0</v>
      </c>
      <c r="F22" s="75">
        <v>6308604</v>
      </c>
      <c r="G22" s="75">
        <v>8167169</v>
      </c>
      <c r="H22" s="75">
        <v>3175002</v>
      </c>
      <c r="I22" s="75">
        <v>12939309</v>
      </c>
      <c r="J22" s="75">
        <v>2129386</v>
      </c>
      <c r="K22" s="75">
        <v>1853397</v>
      </c>
      <c r="L22" s="75">
        <v>0</v>
      </c>
      <c r="M22" s="75">
        <v>11584003</v>
      </c>
      <c r="N22" s="75">
        <v>2321244</v>
      </c>
      <c r="O22" s="75">
        <v>19038735</v>
      </c>
      <c r="P22" s="75">
        <v>8703954</v>
      </c>
      <c r="Q22" s="75">
        <v>1535229</v>
      </c>
      <c r="R22" s="75">
        <v>10322208</v>
      </c>
      <c r="S22" s="75">
        <v>1300922</v>
      </c>
      <c r="T22" s="75">
        <v>7648704</v>
      </c>
      <c r="U22" s="75">
        <v>3905154</v>
      </c>
      <c r="V22" s="75">
        <v>8745777</v>
      </c>
      <c r="W22" s="75">
        <v>0</v>
      </c>
      <c r="X22" s="75">
        <v>5141556</v>
      </c>
      <c r="Y22" s="75">
        <f>SUM(Z22:AD22)</f>
        <v>26409564</v>
      </c>
      <c r="Z22" s="75">
        <v>12093108</v>
      </c>
      <c r="AA22" s="75">
        <v>0</v>
      </c>
      <c r="AB22" s="75">
        <v>7099320</v>
      </c>
      <c r="AC22" s="75">
        <v>7217136</v>
      </c>
      <c r="AD22" s="75">
        <v>0</v>
      </c>
      <c r="AE22" s="75">
        <f>SUM(AF22:AI22)</f>
        <v>55849044</v>
      </c>
      <c r="AF22" s="75">
        <v>4022616</v>
      </c>
      <c r="AG22" s="75">
        <v>22413972</v>
      </c>
      <c r="AH22" s="75">
        <v>15009960</v>
      </c>
      <c r="AI22" s="75">
        <v>14402496</v>
      </c>
      <c r="AJ22" s="75">
        <f>SUM(AK22:AL22)</f>
        <v>72138453</v>
      </c>
      <c r="AK22" s="75">
        <v>70799817</v>
      </c>
      <c r="AL22" s="75">
        <f>SUM(AM22:AO22)</f>
        <v>1338636</v>
      </c>
      <c r="AM22" s="75">
        <v>89971</v>
      </c>
      <c r="AN22" s="75">
        <v>543725</v>
      </c>
      <c r="AO22" s="75">
        <v>704940</v>
      </c>
    </row>
    <row r="23" spans="1:44" x14ac:dyDescent="0.25">
      <c r="A23" s="75" t="s">
        <v>30</v>
      </c>
      <c r="B23" s="81" t="s">
        <v>31</v>
      </c>
      <c r="C23" s="75">
        <f>SUM(D23+Y23+AE23+AJ23)</f>
        <v>22784256</v>
      </c>
      <c r="D23" s="75">
        <f>SUM(E23:X23)</f>
        <v>5746320</v>
      </c>
      <c r="E23" s="75">
        <v>0</v>
      </c>
      <c r="F23" s="75">
        <v>0</v>
      </c>
      <c r="G23" s="75">
        <v>0</v>
      </c>
      <c r="H23" s="75">
        <v>0</v>
      </c>
      <c r="I23" s="75">
        <v>5746320</v>
      </c>
      <c r="J23" s="75">
        <v>0</v>
      </c>
      <c r="K23" s="75">
        <v>0</v>
      </c>
      <c r="L23" s="75">
        <v>0</v>
      </c>
      <c r="M23" s="75">
        <v>0</v>
      </c>
      <c r="N23" s="75">
        <v>0</v>
      </c>
      <c r="O23" s="75">
        <v>0</v>
      </c>
      <c r="P23" s="75">
        <v>0</v>
      </c>
      <c r="Q23" s="75">
        <v>0</v>
      </c>
      <c r="R23" s="75">
        <v>0</v>
      </c>
      <c r="S23" s="75">
        <v>0</v>
      </c>
      <c r="T23" s="75">
        <v>0</v>
      </c>
      <c r="U23" s="75">
        <v>0</v>
      </c>
      <c r="V23" s="75">
        <v>0</v>
      </c>
      <c r="W23" s="75">
        <v>0</v>
      </c>
      <c r="X23" s="75">
        <v>0</v>
      </c>
      <c r="Y23" s="75">
        <f>SUM(Z23:AD23)</f>
        <v>0</v>
      </c>
      <c r="Z23" s="75">
        <v>0</v>
      </c>
      <c r="AA23" s="75">
        <v>0</v>
      </c>
      <c r="AB23" s="75">
        <v>0</v>
      </c>
      <c r="AC23" s="75">
        <v>0</v>
      </c>
      <c r="AD23" s="75">
        <v>0</v>
      </c>
      <c r="AE23" s="75">
        <f>SUM(AF23:AI23)</f>
        <v>15122496</v>
      </c>
      <c r="AF23" s="75">
        <v>0</v>
      </c>
      <c r="AG23" s="75">
        <v>15122496</v>
      </c>
      <c r="AH23" s="75">
        <v>0</v>
      </c>
      <c r="AI23" s="75">
        <v>0</v>
      </c>
      <c r="AJ23" s="75">
        <f>SUM(AK23:AL23)</f>
        <v>1915440</v>
      </c>
      <c r="AK23" s="75">
        <v>1915440</v>
      </c>
      <c r="AL23" s="75">
        <f>SUM(AM23:AO23)</f>
        <v>0</v>
      </c>
      <c r="AM23" s="75">
        <v>0</v>
      </c>
      <c r="AN23" s="75">
        <v>0</v>
      </c>
      <c r="AO23" s="75">
        <v>0</v>
      </c>
    </row>
    <row r="24" spans="1:44" x14ac:dyDescent="0.25">
      <c r="A24" s="75"/>
      <c r="B24" s="81"/>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row>
    <row r="25" spans="1:44" s="78" customFormat="1" x14ac:dyDescent="0.25">
      <c r="A25" s="84" t="s">
        <v>32</v>
      </c>
      <c r="B25" s="82" t="s">
        <v>33</v>
      </c>
      <c r="C25" s="77">
        <f>SUM(C26:C27)</f>
        <v>315506458</v>
      </c>
      <c r="D25" s="77">
        <f t="shared" ref="D25:AO25" si="6">SUM(D26:D27)</f>
        <v>118198773</v>
      </c>
      <c r="E25" s="77">
        <f t="shared" si="6"/>
        <v>0</v>
      </c>
      <c r="F25" s="77">
        <f t="shared" si="6"/>
        <v>14600298</v>
      </c>
      <c r="G25" s="77">
        <f t="shared" si="6"/>
        <v>7730470</v>
      </c>
      <c r="H25" s="77">
        <f t="shared" si="6"/>
        <v>0</v>
      </c>
      <c r="I25" s="77">
        <f t="shared" si="6"/>
        <v>14444556</v>
      </c>
      <c r="J25" s="77">
        <f t="shared" si="6"/>
        <v>2571561</v>
      </c>
      <c r="K25" s="77">
        <f t="shared" si="6"/>
        <v>0</v>
      </c>
      <c r="L25" s="77">
        <f t="shared" si="6"/>
        <v>0</v>
      </c>
      <c r="M25" s="77">
        <f t="shared" si="6"/>
        <v>13374458</v>
      </c>
      <c r="N25" s="77">
        <f t="shared" si="6"/>
        <v>4216067</v>
      </c>
      <c r="O25" s="77">
        <f t="shared" si="6"/>
        <v>4214329</v>
      </c>
      <c r="P25" s="77">
        <f t="shared" si="6"/>
        <v>10174801</v>
      </c>
      <c r="Q25" s="77">
        <f t="shared" si="6"/>
        <v>4476553</v>
      </c>
      <c r="R25" s="77">
        <f t="shared" si="6"/>
        <v>11726987</v>
      </c>
      <c r="S25" s="77">
        <f t="shared" si="6"/>
        <v>707180</v>
      </c>
      <c r="T25" s="77">
        <f t="shared" si="6"/>
        <v>0</v>
      </c>
      <c r="U25" s="77">
        <f t="shared" si="6"/>
        <v>3836867</v>
      </c>
      <c r="V25" s="77">
        <f t="shared" si="6"/>
        <v>12362264</v>
      </c>
      <c r="W25" s="77">
        <f t="shared" si="6"/>
        <v>0</v>
      </c>
      <c r="X25" s="77">
        <f t="shared" si="6"/>
        <v>13762382</v>
      </c>
      <c r="Y25" s="77">
        <f t="shared" si="6"/>
        <v>49931886</v>
      </c>
      <c r="Z25" s="77">
        <f t="shared" si="6"/>
        <v>17578545</v>
      </c>
      <c r="AA25" s="77">
        <f t="shared" si="6"/>
        <v>0</v>
      </c>
      <c r="AB25" s="77">
        <f t="shared" si="6"/>
        <v>18755367</v>
      </c>
      <c r="AC25" s="77">
        <f t="shared" si="6"/>
        <v>13597974</v>
      </c>
      <c r="AD25" s="77">
        <f t="shared" si="6"/>
        <v>0</v>
      </c>
      <c r="AE25" s="77">
        <f t="shared" si="6"/>
        <v>80059616</v>
      </c>
      <c r="AF25" s="77">
        <f t="shared" si="6"/>
        <v>7957205</v>
      </c>
      <c r="AG25" s="77">
        <f t="shared" si="6"/>
        <v>38820285</v>
      </c>
      <c r="AH25" s="77">
        <f t="shared" si="6"/>
        <v>15113943</v>
      </c>
      <c r="AI25" s="77">
        <f t="shared" si="6"/>
        <v>18168183</v>
      </c>
      <c r="AJ25" s="77">
        <f t="shared" si="6"/>
        <v>67316183</v>
      </c>
      <c r="AK25" s="77">
        <f t="shared" si="6"/>
        <v>65869140</v>
      </c>
      <c r="AL25" s="77">
        <f t="shared" si="6"/>
        <v>1447043</v>
      </c>
      <c r="AM25" s="77">
        <f t="shared" si="6"/>
        <v>188582</v>
      </c>
      <c r="AN25" s="77">
        <f t="shared" si="6"/>
        <v>224765</v>
      </c>
      <c r="AO25" s="77">
        <f t="shared" si="6"/>
        <v>1033696</v>
      </c>
      <c r="AQ25" s="64"/>
      <c r="AR25" s="64"/>
    </row>
    <row r="26" spans="1:44" x14ac:dyDescent="0.25">
      <c r="A26" s="75" t="s">
        <v>34</v>
      </c>
      <c r="B26" s="81" t="s">
        <v>35</v>
      </c>
      <c r="C26" s="75">
        <f>SUM(D26+Y26+AE26+AJ26)</f>
        <v>288230776</v>
      </c>
      <c r="D26" s="75">
        <f>SUM(E26:X26)</f>
        <v>94091937</v>
      </c>
      <c r="E26" s="75">
        <v>0</v>
      </c>
      <c r="F26" s="75">
        <v>0</v>
      </c>
      <c r="G26" s="75">
        <v>7730470</v>
      </c>
      <c r="H26" s="75">
        <v>0</v>
      </c>
      <c r="I26" s="75">
        <v>14444556</v>
      </c>
      <c r="J26" s="75">
        <v>2571561</v>
      </c>
      <c r="K26" s="75">
        <v>0</v>
      </c>
      <c r="L26" s="75">
        <v>0</v>
      </c>
      <c r="M26" s="75">
        <v>13374458</v>
      </c>
      <c r="N26" s="75">
        <v>0</v>
      </c>
      <c r="O26" s="75">
        <v>4214329</v>
      </c>
      <c r="P26" s="75">
        <v>10174801</v>
      </c>
      <c r="Q26" s="75">
        <v>4476553</v>
      </c>
      <c r="R26" s="75">
        <v>11726987</v>
      </c>
      <c r="S26" s="75">
        <v>707180</v>
      </c>
      <c r="T26" s="75">
        <v>0</v>
      </c>
      <c r="U26" s="75">
        <v>3836867</v>
      </c>
      <c r="V26" s="75">
        <v>7071793</v>
      </c>
      <c r="W26" s="75">
        <v>0</v>
      </c>
      <c r="X26" s="75">
        <v>13762382</v>
      </c>
      <c r="Y26" s="75">
        <f>SUM(Z26:AD26)</f>
        <v>49931886</v>
      </c>
      <c r="Z26" s="75">
        <v>17578545</v>
      </c>
      <c r="AA26" s="75">
        <v>0</v>
      </c>
      <c r="AB26" s="75">
        <v>18755367</v>
      </c>
      <c r="AC26" s="75">
        <v>13597974</v>
      </c>
      <c r="AD26" s="75">
        <v>0</v>
      </c>
      <c r="AE26" s="75">
        <f>SUM(AF26:AI26)</f>
        <v>80059616</v>
      </c>
      <c r="AF26" s="75">
        <v>7957205</v>
      </c>
      <c r="AG26" s="75">
        <v>38820285</v>
      </c>
      <c r="AH26" s="75">
        <v>15113943</v>
      </c>
      <c r="AI26" s="75">
        <v>18168183</v>
      </c>
      <c r="AJ26" s="75">
        <f>SUM(AK26:AL26)</f>
        <v>64147337</v>
      </c>
      <c r="AK26" s="75">
        <v>62700294</v>
      </c>
      <c r="AL26" s="75">
        <f>SUM(AM26:AO26)</f>
        <v>1447043</v>
      </c>
      <c r="AM26" s="75">
        <v>188582</v>
      </c>
      <c r="AN26" s="75">
        <v>224765</v>
      </c>
      <c r="AO26" s="75">
        <v>1033696</v>
      </c>
    </row>
    <row r="27" spans="1:44" x14ac:dyDescent="0.25">
      <c r="A27" s="75" t="s">
        <v>36</v>
      </c>
      <c r="B27" s="81" t="s">
        <v>37</v>
      </c>
      <c r="C27" s="75">
        <f>SUM(D27+Y27+AE27+AJ27)</f>
        <v>27275682</v>
      </c>
      <c r="D27" s="75">
        <f>SUM(E27:X27)</f>
        <v>24106836</v>
      </c>
      <c r="E27" s="75">
        <v>0</v>
      </c>
      <c r="F27" s="75">
        <v>14600298</v>
      </c>
      <c r="G27" s="75">
        <v>0</v>
      </c>
      <c r="H27" s="75">
        <v>0</v>
      </c>
      <c r="I27" s="75">
        <v>0</v>
      </c>
      <c r="J27" s="75">
        <v>0</v>
      </c>
      <c r="K27" s="75">
        <v>0</v>
      </c>
      <c r="L27" s="75">
        <v>0</v>
      </c>
      <c r="M27" s="75">
        <v>0</v>
      </c>
      <c r="N27" s="75">
        <v>4216067</v>
      </c>
      <c r="O27" s="75">
        <v>0</v>
      </c>
      <c r="P27" s="75">
        <v>0</v>
      </c>
      <c r="Q27" s="75">
        <v>0</v>
      </c>
      <c r="R27" s="75">
        <v>0</v>
      </c>
      <c r="S27" s="75">
        <v>0</v>
      </c>
      <c r="T27" s="75">
        <v>0</v>
      </c>
      <c r="U27" s="75">
        <v>0</v>
      </c>
      <c r="V27" s="75">
        <v>5290471</v>
      </c>
      <c r="W27" s="75">
        <v>0</v>
      </c>
      <c r="X27" s="75">
        <v>0</v>
      </c>
      <c r="Y27" s="75">
        <f>SUM(Z27:AD27)</f>
        <v>0</v>
      </c>
      <c r="Z27" s="75">
        <v>0</v>
      </c>
      <c r="AA27" s="75">
        <v>0</v>
      </c>
      <c r="AB27" s="75">
        <v>0</v>
      </c>
      <c r="AC27" s="75">
        <v>0</v>
      </c>
      <c r="AD27" s="75">
        <v>0</v>
      </c>
      <c r="AE27" s="75">
        <f>SUM(AF27:AI27)</f>
        <v>0</v>
      </c>
      <c r="AF27" s="75">
        <v>0</v>
      </c>
      <c r="AG27" s="75">
        <v>0</v>
      </c>
      <c r="AH27" s="75">
        <v>0</v>
      </c>
      <c r="AI27" s="75">
        <v>0</v>
      </c>
      <c r="AJ27" s="75">
        <f>SUM(AK27:AL27)</f>
        <v>3168846</v>
      </c>
      <c r="AK27" s="75">
        <v>3168846</v>
      </c>
      <c r="AL27" s="75">
        <f>SUM(AM27:AO27)</f>
        <v>0</v>
      </c>
      <c r="AM27" s="75">
        <v>0</v>
      </c>
      <c r="AN27" s="75">
        <v>0</v>
      </c>
      <c r="AO27" s="75">
        <v>0</v>
      </c>
    </row>
    <row r="28" spans="1:44" x14ac:dyDescent="0.25">
      <c r="A28" s="75"/>
      <c r="B28" s="81"/>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row>
    <row r="29" spans="1:44" x14ac:dyDescent="0.25">
      <c r="A29" s="75" t="s">
        <v>38</v>
      </c>
      <c r="B29" s="81" t="s">
        <v>39</v>
      </c>
      <c r="C29" s="75">
        <f>SUM(D29+Y29+AE29+AJ29)</f>
        <v>254182240</v>
      </c>
      <c r="D29" s="75">
        <f>SUM(E29:X29)</f>
        <v>104131768</v>
      </c>
      <c r="E29" s="75">
        <v>0</v>
      </c>
      <c r="F29" s="75">
        <v>11597875</v>
      </c>
      <c r="G29" s="75">
        <v>9855698</v>
      </c>
      <c r="H29" s="75">
        <v>6053234</v>
      </c>
      <c r="I29" s="75">
        <v>8688993</v>
      </c>
      <c r="J29" s="75">
        <v>1778877</v>
      </c>
      <c r="K29" s="75">
        <v>2640194</v>
      </c>
      <c r="L29" s="75">
        <v>7708098</v>
      </c>
      <c r="M29" s="75">
        <v>11604994</v>
      </c>
      <c r="N29" s="75">
        <v>2020846</v>
      </c>
      <c r="O29" s="75">
        <v>8679637</v>
      </c>
      <c r="P29" s="75">
        <v>4460566</v>
      </c>
      <c r="Q29" s="75">
        <v>2277342</v>
      </c>
      <c r="R29" s="75">
        <v>6671434</v>
      </c>
      <c r="S29" s="75">
        <v>1041693</v>
      </c>
      <c r="T29" s="75">
        <v>4684293</v>
      </c>
      <c r="U29" s="75">
        <v>2823115</v>
      </c>
      <c r="V29" s="75">
        <v>4699153</v>
      </c>
      <c r="W29" s="75">
        <v>979592</v>
      </c>
      <c r="X29" s="75">
        <v>5866134</v>
      </c>
      <c r="Y29" s="75">
        <f>SUM(Z29:AD29)</f>
        <v>48541788</v>
      </c>
      <c r="Z29" s="75">
        <v>7819576</v>
      </c>
      <c r="AA29" s="75">
        <v>6497699</v>
      </c>
      <c r="AB29" s="75">
        <v>15022143</v>
      </c>
      <c r="AC29" s="75">
        <v>13718734</v>
      </c>
      <c r="AD29" s="75">
        <v>5483636</v>
      </c>
      <c r="AE29" s="75">
        <f>SUM(AF29:AI29)</f>
        <v>45326318</v>
      </c>
      <c r="AF29" s="75">
        <v>3078500</v>
      </c>
      <c r="AG29" s="75">
        <v>22383409</v>
      </c>
      <c r="AH29" s="75">
        <v>8386431</v>
      </c>
      <c r="AI29" s="75">
        <v>11477978</v>
      </c>
      <c r="AJ29" s="75">
        <f>SUM(AK29:AL29)</f>
        <v>56182366</v>
      </c>
      <c r="AK29" s="75">
        <v>55181459</v>
      </c>
      <c r="AL29" s="75">
        <f>SUM(AM29:AO29)</f>
        <v>1000907</v>
      </c>
      <c r="AM29" s="75">
        <v>285503</v>
      </c>
      <c r="AN29" s="75">
        <v>281004</v>
      </c>
      <c r="AO29" s="75">
        <v>434400</v>
      </c>
    </row>
    <row r="30" spans="1:44" x14ac:dyDescent="0.25">
      <c r="A30" s="75" t="s">
        <v>40</v>
      </c>
      <c r="B30" s="81" t="s">
        <v>41</v>
      </c>
      <c r="C30" s="75">
        <f>SUM(D30+Y30+AE30+AJ30)</f>
        <v>234543129</v>
      </c>
      <c r="D30" s="75">
        <f>SUM(E30:X30)</f>
        <v>96086140</v>
      </c>
      <c r="E30" s="75">
        <v>0</v>
      </c>
      <c r="F30" s="75">
        <v>10701777</v>
      </c>
      <c r="G30" s="75">
        <v>9094208</v>
      </c>
      <c r="H30" s="75">
        <v>5585538</v>
      </c>
      <c r="I30" s="75">
        <v>8017648</v>
      </c>
      <c r="J30" s="75">
        <v>1641434</v>
      </c>
      <c r="K30" s="75">
        <v>2436202</v>
      </c>
      <c r="L30" s="75">
        <v>7112540</v>
      </c>
      <c r="M30" s="75">
        <v>10708347</v>
      </c>
      <c r="N30" s="75">
        <v>1864707</v>
      </c>
      <c r="O30" s="75">
        <v>8009015</v>
      </c>
      <c r="P30" s="75">
        <v>4115925</v>
      </c>
      <c r="Q30" s="75">
        <v>2101386</v>
      </c>
      <c r="R30" s="75">
        <v>6155973</v>
      </c>
      <c r="S30" s="75">
        <v>961207</v>
      </c>
      <c r="T30" s="75">
        <v>4322366</v>
      </c>
      <c r="U30" s="75">
        <v>2604990</v>
      </c>
      <c r="V30" s="75">
        <v>4336078</v>
      </c>
      <c r="W30" s="75">
        <v>903905</v>
      </c>
      <c r="X30" s="75">
        <v>5412894</v>
      </c>
      <c r="Y30" s="75">
        <f>SUM(Z30:AD30)</f>
        <v>44791261</v>
      </c>
      <c r="Z30" s="75">
        <v>7215405</v>
      </c>
      <c r="AA30" s="75">
        <v>5995662</v>
      </c>
      <c r="AB30" s="75">
        <v>13861474</v>
      </c>
      <c r="AC30" s="75">
        <v>12658771</v>
      </c>
      <c r="AD30" s="75">
        <v>5059949</v>
      </c>
      <c r="AE30" s="75">
        <f>SUM(AF30:AI30)</f>
        <v>41824230</v>
      </c>
      <c r="AF30" s="75">
        <v>2840643</v>
      </c>
      <c r="AG30" s="75">
        <v>20653979</v>
      </c>
      <c r="AH30" s="75">
        <v>7738463</v>
      </c>
      <c r="AI30" s="75">
        <v>10591145</v>
      </c>
      <c r="AJ30" s="75">
        <f>SUM(AK30:AL30)</f>
        <v>51841498</v>
      </c>
      <c r="AK30" s="75">
        <v>50917924</v>
      </c>
      <c r="AL30" s="75">
        <f>SUM(AM30:AO30)</f>
        <v>923574</v>
      </c>
      <c r="AM30" s="75">
        <v>263444</v>
      </c>
      <c r="AN30" s="75">
        <v>259293</v>
      </c>
      <c r="AO30" s="75">
        <v>400837</v>
      </c>
    </row>
    <row r="31" spans="1:44" x14ac:dyDescent="0.25">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row>
    <row r="32" spans="1:44" s="78" customFormat="1" x14ac:dyDescent="0.25">
      <c r="A32" s="84" t="s">
        <v>42</v>
      </c>
      <c r="B32" s="82" t="s">
        <v>43</v>
      </c>
      <c r="C32" s="77">
        <f>SUM(C33)</f>
        <v>60143585</v>
      </c>
      <c r="D32" s="77">
        <f t="shared" ref="D32:AO32" si="7">SUM(D33)</f>
        <v>22407919</v>
      </c>
      <c r="E32" s="77">
        <f t="shared" si="7"/>
        <v>0</v>
      </c>
      <c r="F32" s="77">
        <f t="shared" si="7"/>
        <v>2495754</v>
      </c>
      <c r="G32" s="77">
        <f t="shared" si="7"/>
        <v>1295610</v>
      </c>
      <c r="H32" s="77">
        <f t="shared" si="7"/>
        <v>0</v>
      </c>
      <c r="I32" s="77">
        <f t="shared" si="7"/>
        <v>3048093</v>
      </c>
      <c r="J32" s="77">
        <f t="shared" si="7"/>
        <v>30686</v>
      </c>
      <c r="K32" s="77">
        <f t="shared" si="7"/>
        <v>0</v>
      </c>
      <c r="L32" s="77">
        <f t="shared" si="7"/>
        <v>0</v>
      </c>
      <c r="M32" s="77">
        <f t="shared" si="7"/>
        <v>2465069</v>
      </c>
      <c r="N32" s="77">
        <f t="shared" si="7"/>
        <v>0</v>
      </c>
      <c r="O32" s="77">
        <f t="shared" si="7"/>
        <v>1984329</v>
      </c>
      <c r="P32" s="77">
        <f t="shared" si="7"/>
        <v>2782152</v>
      </c>
      <c r="Q32" s="77">
        <f t="shared" si="7"/>
        <v>787595</v>
      </c>
      <c r="R32" s="77">
        <f t="shared" si="7"/>
        <v>1176278</v>
      </c>
      <c r="S32" s="77">
        <f t="shared" si="7"/>
        <v>126834</v>
      </c>
      <c r="T32" s="77">
        <f t="shared" si="7"/>
        <v>0</v>
      </c>
      <c r="U32" s="77">
        <f t="shared" si="7"/>
        <v>675081</v>
      </c>
      <c r="V32" s="77">
        <f t="shared" si="7"/>
        <v>2771924</v>
      </c>
      <c r="W32" s="77">
        <f t="shared" si="7"/>
        <v>0</v>
      </c>
      <c r="X32" s="77">
        <f t="shared" si="7"/>
        <v>2768514</v>
      </c>
      <c r="Y32" s="77">
        <f t="shared" si="7"/>
        <v>8414646</v>
      </c>
      <c r="Z32" s="77">
        <f t="shared" si="7"/>
        <v>2945808</v>
      </c>
      <c r="AA32" s="77">
        <f t="shared" si="7"/>
        <v>0</v>
      </c>
      <c r="AB32" s="77">
        <f t="shared" si="7"/>
        <v>3395862</v>
      </c>
      <c r="AC32" s="77">
        <f t="shared" si="7"/>
        <v>2072976</v>
      </c>
      <c r="AD32" s="77">
        <f t="shared" si="7"/>
        <v>0</v>
      </c>
      <c r="AE32" s="77">
        <f t="shared" si="7"/>
        <v>17320260</v>
      </c>
      <c r="AF32" s="77">
        <f t="shared" si="7"/>
        <v>1077402</v>
      </c>
      <c r="AG32" s="77">
        <f t="shared" si="7"/>
        <v>9369306</v>
      </c>
      <c r="AH32" s="77">
        <f t="shared" si="7"/>
        <v>2986722</v>
      </c>
      <c r="AI32" s="77">
        <f t="shared" si="7"/>
        <v>3886830</v>
      </c>
      <c r="AJ32" s="77">
        <f t="shared" si="7"/>
        <v>12000760</v>
      </c>
      <c r="AK32" s="77">
        <f t="shared" si="7"/>
        <v>11759093</v>
      </c>
      <c r="AL32" s="77">
        <f t="shared" si="7"/>
        <v>241667</v>
      </c>
      <c r="AM32" s="77">
        <f t="shared" si="7"/>
        <v>32732</v>
      </c>
      <c r="AN32" s="77">
        <f t="shared" si="7"/>
        <v>43642</v>
      </c>
      <c r="AO32" s="77">
        <f t="shared" si="7"/>
        <v>165293</v>
      </c>
      <c r="AQ32" s="64"/>
      <c r="AR32" s="64"/>
    </row>
    <row r="33" spans="1:44" x14ac:dyDescent="0.25">
      <c r="A33" s="75" t="s">
        <v>44</v>
      </c>
      <c r="B33" s="81" t="s">
        <v>45</v>
      </c>
      <c r="C33" s="75">
        <f>SUM(D33+Y33+AE33+AJ33)</f>
        <v>60143585</v>
      </c>
      <c r="D33" s="75">
        <f>SUM(E33:X33)</f>
        <v>22407919</v>
      </c>
      <c r="E33" s="75">
        <v>0</v>
      </c>
      <c r="F33" s="75">
        <v>2495754</v>
      </c>
      <c r="G33" s="75">
        <v>1295610</v>
      </c>
      <c r="H33" s="75">
        <v>0</v>
      </c>
      <c r="I33" s="75">
        <v>3048093</v>
      </c>
      <c r="J33" s="75">
        <v>30686</v>
      </c>
      <c r="K33" s="75">
        <v>0</v>
      </c>
      <c r="L33" s="75">
        <v>0</v>
      </c>
      <c r="M33" s="75">
        <v>2465069</v>
      </c>
      <c r="N33" s="75">
        <v>0</v>
      </c>
      <c r="O33" s="75">
        <v>1984329</v>
      </c>
      <c r="P33" s="75">
        <v>2782152</v>
      </c>
      <c r="Q33" s="75">
        <v>787595</v>
      </c>
      <c r="R33" s="75">
        <v>1176278</v>
      </c>
      <c r="S33" s="75">
        <v>126834</v>
      </c>
      <c r="T33" s="75">
        <v>0</v>
      </c>
      <c r="U33" s="75">
        <v>675081</v>
      </c>
      <c r="V33" s="75">
        <v>2771924</v>
      </c>
      <c r="W33" s="75">
        <v>0</v>
      </c>
      <c r="X33" s="75">
        <v>2768514</v>
      </c>
      <c r="Y33" s="75">
        <f>SUM(Z33:AD33)</f>
        <v>8414646</v>
      </c>
      <c r="Z33" s="75">
        <v>2945808</v>
      </c>
      <c r="AA33" s="75">
        <v>0</v>
      </c>
      <c r="AB33" s="75">
        <v>3395862</v>
      </c>
      <c r="AC33" s="75">
        <v>2072976</v>
      </c>
      <c r="AD33" s="75">
        <v>0</v>
      </c>
      <c r="AE33" s="75">
        <f>SUM(AF33:AI33)</f>
        <v>17320260</v>
      </c>
      <c r="AF33" s="75">
        <v>1077402</v>
      </c>
      <c r="AG33" s="75">
        <v>9369306</v>
      </c>
      <c r="AH33" s="75">
        <v>2986722</v>
      </c>
      <c r="AI33" s="75">
        <v>3886830</v>
      </c>
      <c r="AJ33" s="75">
        <f>SUM(AK33:AL33)</f>
        <v>12000760</v>
      </c>
      <c r="AK33" s="75">
        <v>11759093</v>
      </c>
      <c r="AL33" s="75">
        <f>SUM(AM33:AO33)</f>
        <v>241667</v>
      </c>
      <c r="AM33" s="75">
        <v>32732</v>
      </c>
      <c r="AN33" s="75">
        <v>43642</v>
      </c>
      <c r="AO33" s="75">
        <v>165293</v>
      </c>
    </row>
    <row r="34" spans="1:44" x14ac:dyDescent="0.25">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row>
    <row r="35" spans="1:44" s="78" customFormat="1" ht="26.4" x14ac:dyDescent="0.25">
      <c r="A35" s="76" t="s">
        <v>46</v>
      </c>
      <c r="B35" s="82" t="s">
        <v>47</v>
      </c>
      <c r="C35" s="77">
        <f>SUM(C36:C40)</f>
        <v>514920913</v>
      </c>
      <c r="D35" s="77">
        <f t="shared" ref="D35:AO35" si="8">SUM(D36:D40)</f>
        <v>213319440</v>
      </c>
      <c r="E35" s="77">
        <f t="shared" si="8"/>
        <v>0</v>
      </c>
      <c r="F35" s="77">
        <f t="shared" si="8"/>
        <v>23311730</v>
      </c>
      <c r="G35" s="77">
        <f t="shared" si="8"/>
        <v>19809954</v>
      </c>
      <c r="H35" s="77">
        <f t="shared" si="8"/>
        <v>12167004</v>
      </c>
      <c r="I35" s="77">
        <f t="shared" si="8"/>
        <v>17464877</v>
      </c>
      <c r="J35" s="77">
        <f t="shared" si="8"/>
        <v>3575545</v>
      </c>
      <c r="K35" s="77">
        <f t="shared" si="8"/>
        <v>5306791</v>
      </c>
      <c r="L35" s="77">
        <f t="shared" si="8"/>
        <v>15493278</v>
      </c>
      <c r="M35" s="77">
        <f t="shared" si="8"/>
        <v>23326039</v>
      </c>
      <c r="N35" s="77">
        <f t="shared" si="8"/>
        <v>4061902</v>
      </c>
      <c r="O35" s="77">
        <f t="shared" si="8"/>
        <v>17446073</v>
      </c>
      <c r="P35" s="77">
        <f t="shared" si="8"/>
        <v>12980293</v>
      </c>
      <c r="Q35" s="77">
        <f t="shared" si="8"/>
        <v>4577459</v>
      </c>
      <c r="R35" s="77">
        <f t="shared" si="8"/>
        <v>13409586</v>
      </c>
      <c r="S35" s="77">
        <f t="shared" si="8"/>
        <v>2093804</v>
      </c>
      <c r="T35" s="77">
        <f t="shared" si="8"/>
        <v>9415430</v>
      </c>
      <c r="U35" s="77">
        <f t="shared" si="8"/>
        <v>5674461</v>
      </c>
      <c r="V35" s="77">
        <f t="shared" si="8"/>
        <v>9445300</v>
      </c>
      <c r="W35" s="77">
        <f t="shared" si="8"/>
        <v>1968981</v>
      </c>
      <c r="X35" s="77">
        <f t="shared" si="8"/>
        <v>11790933</v>
      </c>
      <c r="Y35" s="77">
        <f t="shared" si="8"/>
        <v>97569005</v>
      </c>
      <c r="Z35" s="77">
        <f t="shared" si="8"/>
        <v>15717350</v>
      </c>
      <c r="AA35" s="77">
        <f t="shared" si="8"/>
        <v>13060376</v>
      </c>
      <c r="AB35" s="77">
        <f t="shared" si="8"/>
        <v>30194509</v>
      </c>
      <c r="AC35" s="77">
        <f t="shared" si="8"/>
        <v>27574659</v>
      </c>
      <c r="AD35" s="77">
        <f t="shared" si="8"/>
        <v>11022111</v>
      </c>
      <c r="AE35" s="77">
        <f t="shared" si="8"/>
        <v>91105904</v>
      </c>
      <c r="AF35" s="77">
        <f t="shared" si="8"/>
        <v>6187784</v>
      </c>
      <c r="AG35" s="77">
        <f t="shared" si="8"/>
        <v>44990654</v>
      </c>
      <c r="AH35" s="77">
        <f t="shared" si="8"/>
        <v>16856728</v>
      </c>
      <c r="AI35" s="77">
        <f t="shared" si="8"/>
        <v>23070738</v>
      </c>
      <c r="AJ35" s="77">
        <f t="shared" si="8"/>
        <v>112926564</v>
      </c>
      <c r="AK35" s="77">
        <f t="shared" si="8"/>
        <v>110914735</v>
      </c>
      <c r="AL35" s="77">
        <f t="shared" si="8"/>
        <v>2011829</v>
      </c>
      <c r="AM35" s="77">
        <f t="shared" si="8"/>
        <v>573864</v>
      </c>
      <c r="AN35" s="77">
        <f t="shared" si="8"/>
        <v>564821</v>
      </c>
      <c r="AO35" s="77">
        <f t="shared" si="8"/>
        <v>873144</v>
      </c>
      <c r="AP35" s="78">
        <f>AG7-1726404360</f>
        <v>0</v>
      </c>
      <c r="AQ35" s="64"/>
      <c r="AR35" s="64"/>
    </row>
    <row r="36" spans="1:44" ht="26.4" x14ac:dyDescent="0.25">
      <c r="A36" s="75" t="s">
        <v>48</v>
      </c>
      <c r="B36" s="81" t="s">
        <v>49</v>
      </c>
      <c r="C36" s="75">
        <f>SUM(D36+Y36+AE36+AJ36)</f>
        <v>284359281</v>
      </c>
      <c r="D36" s="75">
        <f>SUM(E36:X36)</f>
        <v>117803254</v>
      </c>
      <c r="E36" s="75">
        <v>0</v>
      </c>
      <c r="F36" s="75">
        <v>12873641</v>
      </c>
      <c r="G36" s="75">
        <v>10939825</v>
      </c>
      <c r="H36" s="75">
        <v>6719090</v>
      </c>
      <c r="I36" s="75">
        <v>9644782</v>
      </c>
      <c r="J36" s="75">
        <v>1974554</v>
      </c>
      <c r="K36" s="75">
        <v>2930615</v>
      </c>
      <c r="L36" s="75">
        <v>8555989</v>
      </c>
      <c r="M36" s="75">
        <v>12881543</v>
      </c>
      <c r="N36" s="75">
        <v>2243139</v>
      </c>
      <c r="O36" s="75">
        <v>9634397</v>
      </c>
      <c r="P36" s="75">
        <v>7168220</v>
      </c>
      <c r="Q36" s="75">
        <v>2527850</v>
      </c>
      <c r="R36" s="75">
        <v>7405292</v>
      </c>
      <c r="S36" s="75">
        <v>1156279</v>
      </c>
      <c r="T36" s="75">
        <v>5199565</v>
      </c>
      <c r="U36" s="75">
        <v>3133657</v>
      </c>
      <c r="V36" s="75">
        <v>5216060</v>
      </c>
      <c r="W36" s="75">
        <v>1087347</v>
      </c>
      <c r="X36" s="75">
        <v>6511409</v>
      </c>
      <c r="Y36" s="75">
        <f>SUM(Z36:AD36)</f>
        <v>53881386</v>
      </c>
      <c r="Z36" s="75">
        <v>8679730</v>
      </c>
      <c r="AA36" s="75">
        <v>7212446</v>
      </c>
      <c r="AB36" s="75">
        <v>16674579</v>
      </c>
      <c r="AC36" s="75">
        <v>15227795</v>
      </c>
      <c r="AD36" s="75">
        <v>6086836</v>
      </c>
      <c r="AE36" s="75">
        <f>SUM(AF36:AI36)</f>
        <v>50312213</v>
      </c>
      <c r="AF36" s="75">
        <v>3417134</v>
      </c>
      <c r="AG36" s="75">
        <v>24845584</v>
      </c>
      <c r="AH36" s="75">
        <v>9308939</v>
      </c>
      <c r="AI36" s="75">
        <v>12740556</v>
      </c>
      <c r="AJ36" s="75">
        <f>SUM(AK36:AL36)</f>
        <v>62362428</v>
      </c>
      <c r="AK36" s="75">
        <v>61251420</v>
      </c>
      <c r="AL36" s="75">
        <f>SUM(AM36:AO36)</f>
        <v>1111008</v>
      </c>
      <c r="AM36" s="75">
        <v>316909</v>
      </c>
      <c r="AN36" s="75">
        <v>311915</v>
      </c>
      <c r="AO36" s="75">
        <v>482184</v>
      </c>
    </row>
    <row r="37" spans="1:44" x14ac:dyDescent="0.25">
      <c r="A37" s="75" t="s">
        <v>50</v>
      </c>
      <c r="B37" s="81" t="s">
        <v>51</v>
      </c>
      <c r="C37" s="75">
        <f>SUM(D37+Y37+AE37+AJ37)</f>
        <v>15370787</v>
      </c>
      <c r="D37" s="75">
        <f>SUM(E37:X37)</f>
        <v>6367753</v>
      </c>
      <c r="E37" s="75">
        <v>0</v>
      </c>
      <c r="F37" s="75">
        <v>695873</v>
      </c>
      <c r="G37" s="75">
        <v>591342</v>
      </c>
      <c r="H37" s="75">
        <v>363195</v>
      </c>
      <c r="I37" s="75">
        <v>521340</v>
      </c>
      <c r="J37" s="75">
        <v>106733</v>
      </c>
      <c r="K37" s="75">
        <v>158412</v>
      </c>
      <c r="L37" s="75">
        <v>462486</v>
      </c>
      <c r="M37" s="75">
        <v>696300</v>
      </c>
      <c r="N37" s="75">
        <v>121251</v>
      </c>
      <c r="O37" s="75">
        <v>520779</v>
      </c>
      <c r="P37" s="75">
        <v>387472</v>
      </c>
      <c r="Q37" s="75">
        <v>136641</v>
      </c>
      <c r="R37" s="75">
        <v>400287</v>
      </c>
      <c r="S37" s="75">
        <v>62502</v>
      </c>
      <c r="T37" s="75">
        <v>281058</v>
      </c>
      <c r="U37" s="75">
        <v>169387</v>
      </c>
      <c r="V37" s="75">
        <v>281950</v>
      </c>
      <c r="W37" s="75">
        <v>58776</v>
      </c>
      <c r="X37" s="75">
        <v>351969</v>
      </c>
      <c r="Y37" s="75">
        <f>SUM(Z37:AD37)</f>
        <v>2912510</v>
      </c>
      <c r="Z37" s="75">
        <v>469175</v>
      </c>
      <c r="AA37" s="75">
        <v>389862</v>
      </c>
      <c r="AB37" s="75">
        <v>901329</v>
      </c>
      <c r="AC37" s="75">
        <v>823125</v>
      </c>
      <c r="AD37" s="75">
        <v>329019</v>
      </c>
      <c r="AE37" s="75">
        <f>SUM(AF37:AI37)</f>
        <v>2719580</v>
      </c>
      <c r="AF37" s="75">
        <v>184710</v>
      </c>
      <c r="AG37" s="75">
        <v>1343005</v>
      </c>
      <c r="AH37" s="75">
        <v>503186</v>
      </c>
      <c r="AI37" s="75">
        <v>688679</v>
      </c>
      <c r="AJ37" s="75">
        <f>SUM(AK37:AL37)</f>
        <v>3370944</v>
      </c>
      <c r="AK37" s="75">
        <v>3310888</v>
      </c>
      <c r="AL37" s="75">
        <f>SUM(AM37:AO37)</f>
        <v>60056</v>
      </c>
      <c r="AM37" s="75">
        <v>17131</v>
      </c>
      <c r="AN37" s="75">
        <v>16861</v>
      </c>
      <c r="AO37" s="75">
        <v>26064</v>
      </c>
    </row>
    <row r="38" spans="1:44" x14ac:dyDescent="0.25">
      <c r="A38" s="75" t="s">
        <v>52</v>
      </c>
      <c r="B38" s="81" t="s">
        <v>53</v>
      </c>
      <c r="C38" s="75">
        <f>SUM(D38+Y38+AE38+AJ38)</f>
        <v>46112329</v>
      </c>
      <c r="D38" s="75">
        <f>SUM(E38:X38)</f>
        <v>19103239</v>
      </c>
      <c r="E38" s="75">
        <v>0</v>
      </c>
      <c r="F38" s="75">
        <v>2087618</v>
      </c>
      <c r="G38" s="75">
        <v>1774026</v>
      </c>
      <c r="H38" s="75">
        <v>1089583</v>
      </c>
      <c r="I38" s="75">
        <v>1564019</v>
      </c>
      <c r="J38" s="75">
        <v>320198</v>
      </c>
      <c r="K38" s="75">
        <v>475235</v>
      </c>
      <c r="L38" s="75">
        <v>1387458</v>
      </c>
      <c r="M38" s="75">
        <v>2088899</v>
      </c>
      <c r="N38" s="75">
        <v>363753</v>
      </c>
      <c r="O38" s="75">
        <v>1562335</v>
      </c>
      <c r="P38" s="75">
        <v>1162415</v>
      </c>
      <c r="Q38" s="75">
        <v>409922</v>
      </c>
      <c r="R38" s="75">
        <v>1200859</v>
      </c>
      <c r="S38" s="75">
        <v>187505</v>
      </c>
      <c r="T38" s="75">
        <v>843173</v>
      </c>
      <c r="U38" s="75">
        <v>508161</v>
      </c>
      <c r="V38" s="75">
        <v>845848</v>
      </c>
      <c r="W38" s="75">
        <v>176327</v>
      </c>
      <c r="X38" s="75">
        <v>1055905</v>
      </c>
      <c r="Y38" s="75">
        <f>SUM(Z38:AD38)</f>
        <v>8737524</v>
      </c>
      <c r="Z38" s="75">
        <v>1407524</v>
      </c>
      <c r="AA38" s="75">
        <v>1169586</v>
      </c>
      <c r="AB38" s="75">
        <v>2703986</v>
      </c>
      <c r="AC38" s="75">
        <v>2469373</v>
      </c>
      <c r="AD38" s="75">
        <v>987055</v>
      </c>
      <c r="AE38" s="75">
        <f>SUM(AF38:AI38)</f>
        <v>8158739</v>
      </c>
      <c r="AF38" s="75">
        <v>554130</v>
      </c>
      <c r="AG38" s="75">
        <v>4029014</v>
      </c>
      <c r="AH38" s="75">
        <v>1509558</v>
      </c>
      <c r="AI38" s="75">
        <v>2066037</v>
      </c>
      <c r="AJ38" s="75">
        <f>SUM(AK38:AL38)</f>
        <v>10112827</v>
      </c>
      <c r="AK38" s="75">
        <v>9932663</v>
      </c>
      <c r="AL38" s="75">
        <f>SUM(AM38:AO38)</f>
        <v>180164</v>
      </c>
      <c r="AM38" s="75">
        <v>51391</v>
      </c>
      <c r="AN38" s="75">
        <v>50581</v>
      </c>
      <c r="AO38" s="75">
        <v>78192</v>
      </c>
    </row>
    <row r="39" spans="1:44" x14ac:dyDescent="0.25">
      <c r="A39" s="75" t="s">
        <v>54</v>
      </c>
      <c r="B39" s="81" t="s">
        <v>55</v>
      </c>
      <c r="C39" s="75">
        <f>SUM(D39+Y39+AE39+AJ39)</f>
        <v>153707729</v>
      </c>
      <c r="D39" s="75">
        <f>SUM(E39:X39)</f>
        <v>63677441</v>
      </c>
      <c r="E39" s="75">
        <v>0</v>
      </c>
      <c r="F39" s="75">
        <v>6958725</v>
      </c>
      <c r="G39" s="75">
        <v>5913419</v>
      </c>
      <c r="H39" s="75">
        <v>3631941</v>
      </c>
      <c r="I39" s="75">
        <v>5213396</v>
      </c>
      <c r="J39" s="75">
        <v>1067327</v>
      </c>
      <c r="K39" s="75">
        <v>1584117</v>
      </c>
      <c r="L39" s="75">
        <v>4624859</v>
      </c>
      <c r="M39" s="75">
        <v>6962997</v>
      </c>
      <c r="N39" s="75">
        <v>1212508</v>
      </c>
      <c r="O39" s="75">
        <v>5207783</v>
      </c>
      <c r="P39" s="75">
        <v>3874714</v>
      </c>
      <c r="Q39" s="75">
        <v>1366405</v>
      </c>
      <c r="R39" s="75">
        <v>4002861</v>
      </c>
      <c r="S39" s="75">
        <v>625016</v>
      </c>
      <c r="T39" s="75">
        <v>2810576</v>
      </c>
      <c r="U39" s="75">
        <v>1693869</v>
      </c>
      <c r="V39" s="75">
        <v>2819492</v>
      </c>
      <c r="W39" s="75">
        <v>587755</v>
      </c>
      <c r="X39" s="75">
        <v>3519681</v>
      </c>
      <c r="Y39" s="75">
        <f>SUM(Z39:AD39)</f>
        <v>29125075</v>
      </c>
      <c r="Z39" s="75">
        <v>4691746</v>
      </c>
      <c r="AA39" s="75">
        <v>3898620</v>
      </c>
      <c r="AB39" s="75">
        <v>9013286</v>
      </c>
      <c r="AC39" s="75">
        <v>8231241</v>
      </c>
      <c r="AD39" s="75">
        <v>3290182</v>
      </c>
      <c r="AE39" s="75">
        <f>SUM(AF39:AI39)</f>
        <v>27195792</v>
      </c>
      <c r="AF39" s="75">
        <v>1847100</v>
      </c>
      <c r="AG39" s="75">
        <v>13430046</v>
      </c>
      <c r="AH39" s="75">
        <v>5031859</v>
      </c>
      <c r="AI39" s="75">
        <v>6886787</v>
      </c>
      <c r="AJ39" s="75">
        <f>SUM(AK39:AL39)</f>
        <v>33709421</v>
      </c>
      <c r="AK39" s="75">
        <v>33108876</v>
      </c>
      <c r="AL39" s="75">
        <f>SUM(AM39:AO39)</f>
        <v>600545</v>
      </c>
      <c r="AM39" s="75">
        <v>171302</v>
      </c>
      <c r="AN39" s="75">
        <v>168603</v>
      </c>
      <c r="AO39" s="75">
        <v>260640</v>
      </c>
    </row>
    <row r="40" spans="1:44" ht="26.4" x14ac:dyDescent="0.25">
      <c r="A40" s="75" t="s">
        <v>56</v>
      </c>
      <c r="B40" s="81" t="s">
        <v>57</v>
      </c>
      <c r="C40" s="75">
        <f>SUM(D40+Y40+AE40+AJ40)</f>
        <v>15370787</v>
      </c>
      <c r="D40" s="75">
        <f>SUM(E40:X40)</f>
        <v>6367753</v>
      </c>
      <c r="E40" s="75">
        <v>0</v>
      </c>
      <c r="F40" s="75">
        <v>695873</v>
      </c>
      <c r="G40" s="75">
        <v>591342</v>
      </c>
      <c r="H40" s="75">
        <v>363195</v>
      </c>
      <c r="I40" s="75">
        <v>521340</v>
      </c>
      <c r="J40" s="75">
        <v>106733</v>
      </c>
      <c r="K40" s="75">
        <v>158412</v>
      </c>
      <c r="L40" s="75">
        <v>462486</v>
      </c>
      <c r="M40" s="75">
        <v>696300</v>
      </c>
      <c r="N40" s="75">
        <v>121251</v>
      </c>
      <c r="O40" s="75">
        <v>520779</v>
      </c>
      <c r="P40" s="75">
        <v>387472</v>
      </c>
      <c r="Q40" s="75">
        <v>136641</v>
      </c>
      <c r="R40" s="75">
        <v>400287</v>
      </c>
      <c r="S40" s="75">
        <v>62502</v>
      </c>
      <c r="T40" s="75">
        <v>281058</v>
      </c>
      <c r="U40" s="75">
        <v>169387</v>
      </c>
      <c r="V40" s="75">
        <v>281950</v>
      </c>
      <c r="W40" s="75">
        <v>58776</v>
      </c>
      <c r="X40" s="75">
        <v>351969</v>
      </c>
      <c r="Y40" s="75">
        <f>SUM(Z40:AD40)</f>
        <v>2912510</v>
      </c>
      <c r="Z40" s="75">
        <v>469175</v>
      </c>
      <c r="AA40" s="75">
        <v>389862</v>
      </c>
      <c r="AB40" s="75">
        <v>901329</v>
      </c>
      <c r="AC40" s="75">
        <v>823125</v>
      </c>
      <c r="AD40" s="75">
        <v>329019</v>
      </c>
      <c r="AE40" s="75">
        <f>SUM(AF40:AI40)</f>
        <v>2719580</v>
      </c>
      <c r="AF40" s="75">
        <v>184710</v>
      </c>
      <c r="AG40" s="75">
        <v>1343005</v>
      </c>
      <c r="AH40" s="75">
        <v>503186</v>
      </c>
      <c r="AI40" s="75">
        <v>688679</v>
      </c>
      <c r="AJ40" s="75">
        <f>SUM(AK40:AL40)</f>
        <v>3370944</v>
      </c>
      <c r="AK40" s="75">
        <v>3310888</v>
      </c>
      <c r="AL40" s="75">
        <f>SUM(AM40:AO40)</f>
        <v>60056</v>
      </c>
      <c r="AM40" s="75">
        <v>17131</v>
      </c>
      <c r="AN40" s="75">
        <v>16861</v>
      </c>
      <c r="AO40" s="75">
        <v>26064</v>
      </c>
    </row>
    <row r="41" spans="1:44" x14ac:dyDescent="0.2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row>
    <row r="42" spans="1:44" s="78" customFormat="1" ht="26.4" x14ac:dyDescent="0.25">
      <c r="A42" s="76" t="s">
        <v>58</v>
      </c>
      <c r="B42" s="82" t="s">
        <v>59</v>
      </c>
      <c r="C42" s="77">
        <f>SUM(C43:C46)</f>
        <v>424719632</v>
      </c>
      <c r="D42" s="77">
        <f t="shared" ref="D42:AO42" si="9">SUM(D43:D46)</f>
        <v>175312666</v>
      </c>
      <c r="E42" s="77">
        <f t="shared" si="9"/>
        <v>0</v>
      </c>
      <c r="F42" s="77">
        <f t="shared" si="9"/>
        <v>19373091</v>
      </c>
      <c r="G42" s="77">
        <f t="shared" si="9"/>
        <v>16462959</v>
      </c>
      <c r="H42" s="77">
        <f t="shared" si="9"/>
        <v>10111325</v>
      </c>
      <c r="I42" s="77">
        <f t="shared" si="9"/>
        <v>14484701</v>
      </c>
      <c r="J42" s="77">
        <f t="shared" si="9"/>
        <v>2971437</v>
      </c>
      <c r="K42" s="77">
        <f t="shared" si="9"/>
        <v>4410180</v>
      </c>
      <c r="L42" s="77">
        <f t="shared" si="9"/>
        <v>12875608</v>
      </c>
      <c r="M42" s="77">
        <f t="shared" si="9"/>
        <v>19384982</v>
      </c>
      <c r="N42" s="77">
        <f t="shared" si="9"/>
        <v>3375622</v>
      </c>
      <c r="O42" s="77">
        <f t="shared" si="9"/>
        <v>14258383</v>
      </c>
      <c r="P42" s="77">
        <f t="shared" si="9"/>
        <v>9758873</v>
      </c>
      <c r="Q42" s="77">
        <f t="shared" si="9"/>
        <v>3770465</v>
      </c>
      <c r="R42" s="77">
        <f t="shared" si="9"/>
        <v>10855506</v>
      </c>
      <c r="S42" s="77">
        <f t="shared" si="9"/>
        <v>1717476</v>
      </c>
      <c r="T42" s="77">
        <f t="shared" si="9"/>
        <v>7507684</v>
      </c>
      <c r="U42" s="77">
        <f t="shared" si="9"/>
        <v>4715732</v>
      </c>
      <c r="V42" s="77">
        <f t="shared" si="9"/>
        <v>7843538</v>
      </c>
      <c r="W42" s="77">
        <f t="shared" si="9"/>
        <v>1636311</v>
      </c>
      <c r="X42" s="77">
        <f t="shared" si="9"/>
        <v>9798793</v>
      </c>
      <c r="Y42" s="77">
        <f t="shared" si="9"/>
        <v>80547921</v>
      </c>
      <c r="Z42" s="77">
        <f t="shared" si="9"/>
        <v>13061822</v>
      </c>
      <c r="AA42" s="77">
        <f t="shared" si="9"/>
        <v>10841121</v>
      </c>
      <c r="AB42" s="77">
        <f t="shared" si="9"/>
        <v>24996453</v>
      </c>
      <c r="AC42" s="77">
        <f t="shared" si="9"/>
        <v>22501915</v>
      </c>
      <c r="AD42" s="77">
        <f t="shared" si="9"/>
        <v>9146610</v>
      </c>
      <c r="AE42" s="77">
        <f t="shared" si="9"/>
        <v>75528257</v>
      </c>
      <c r="AF42" s="77">
        <f t="shared" si="9"/>
        <v>5142326</v>
      </c>
      <c r="AG42" s="77">
        <f t="shared" si="9"/>
        <v>37337771</v>
      </c>
      <c r="AH42" s="77">
        <f t="shared" si="9"/>
        <v>14008696</v>
      </c>
      <c r="AI42" s="77">
        <f t="shared" si="9"/>
        <v>19039464</v>
      </c>
      <c r="AJ42" s="77">
        <f t="shared" si="9"/>
        <v>93330788</v>
      </c>
      <c r="AK42" s="77">
        <f t="shared" si="9"/>
        <v>91662211</v>
      </c>
      <c r="AL42" s="77">
        <f t="shared" si="9"/>
        <v>1668577</v>
      </c>
      <c r="AM42" s="77">
        <f t="shared" si="9"/>
        <v>473565</v>
      </c>
      <c r="AN42" s="77">
        <f t="shared" si="9"/>
        <v>469390</v>
      </c>
      <c r="AO42" s="77">
        <f t="shared" si="9"/>
        <v>725622</v>
      </c>
      <c r="AQ42" s="64"/>
      <c r="AR42" s="64"/>
    </row>
    <row r="43" spans="1:44" ht="26.4" x14ac:dyDescent="0.25">
      <c r="A43" s="75" t="s">
        <v>60</v>
      </c>
      <c r="B43" s="81" t="s">
        <v>61</v>
      </c>
      <c r="C43" s="75">
        <f>SUM(D43+Y43+AE43+AJ43)</f>
        <v>166549539</v>
      </c>
      <c r="D43" s="75">
        <f>SUM(E43:X43)</f>
        <v>68956708</v>
      </c>
      <c r="E43" s="75">
        <v>0</v>
      </c>
      <c r="F43" s="75">
        <v>7543258</v>
      </c>
      <c r="G43" s="75">
        <v>6410146</v>
      </c>
      <c r="H43" s="75">
        <v>3937024</v>
      </c>
      <c r="I43" s="75">
        <v>5651321</v>
      </c>
      <c r="J43" s="75">
        <v>1156982</v>
      </c>
      <c r="K43" s="75">
        <v>1717182</v>
      </c>
      <c r="L43" s="75">
        <v>5013347</v>
      </c>
      <c r="M43" s="75">
        <v>7547888</v>
      </c>
      <c r="N43" s="75">
        <v>1314358</v>
      </c>
      <c r="O43" s="75">
        <v>5645236</v>
      </c>
      <c r="P43" s="75">
        <v>4130557</v>
      </c>
      <c r="Q43" s="75">
        <v>1481183</v>
      </c>
      <c r="R43" s="75">
        <v>4339101</v>
      </c>
      <c r="S43" s="75">
        <v>677517</v>
      </c>
      <c r="T43" s="75">
        <v>3046664</v>
      </c>
      <c r="U43" s="75">
        <v>1836154</v>
      </c>
      <c r="V43" s="75">
        <v>3056329</v>
      </c>
      <c r="W43" s="75">
        <v>637127</v>
      </c>
      <c r="X43" s="75">
        <v>3815334</v>
      </c>
      <c r="Y43" s="75">
        <f>SUM(Z43:AD43)</f>
        <v>31571581</v>
      </c>
      <c r="Z43" s="75">
        <v>5085853</v>
      </c>
      <c r="AA43" s="75">
        <v>4226104</v>
      </c>
      <c r="AB43" s="75">
        <v>9770402</v>
      </c>
      <c r="AC43" s="75">
        <v>8922665</v>
      </c>
      <c r="AD43" s="75">
        <v>3566557</v>
      </c>
      <c r="AE43" s="75">
        <f>SUM(AF43:AI43)</f>
        <v>29480238</v>
      </c>
      <c r="AF43" s="75">
        <v>2002256</v>
      </c>
      <c r="AG43" s="75">
        <v>14558170</v>
      </c>
      <c r="AH43" s="75">
        <v>5454535</v>
      </c>
      <c r="AI43" s="75">
        <v>7465277</v>
      </c>
      <c r="AJ43" s="75">
        <f>SUM(AK43:AL43)</f>
        <v>36541012</v>
      </c>
      <c r="AK43" s="75">
        <v>35890021</v>
      </c>
      <c r="AL43" s="75">
        <f>SUM(AM43:AO43)</f>
        <v>650991</v>
      </c>
      <c r="AM43" s="75">
        <v>185692</v>
      </c>
      <c r="AN43" s="75">
        <v>182765</v>
      </c>
      <c r="AO43" s="75">
        <v>282534</v>
      </c>
    </row>
    <row r="44" spans="1:44" ht="26.4" x14ac:dyDescent="0.25">
      <c r="A44" s="75" t="s">
        <v>62</v>
      </c>
      <c r="B44" s="81" t="s">
        <v>63</v>
      </c>
      <c r="C44" s="75">
        <f>SUM(D44+Y44+AE44+AJ44)</f>
        <v>92224646</v>
      </c>
      <c r="D44" s="75">
        <f>SUM(E44:X44)</f>
        <v>38206469</v>
      </c>
      <c r="E44" s="75">
        <v>0</v>
      </c>
      <c r="F44" s="75">
        <v>4175235</v>
      </c>
      <c r="G44" s="75">
        <v>3548052</v>
      </c>
      <c r="H44" s="75">
        <v>2179165</v>
      </c>
      <c r="I44" s="75">
        <v>3128038</v>
      </c>
      <c r="J44" s="75">
        <v>640396</v>
      </c>
      <c r="K44" s="75">
        <v>950470</v>
      </c>
      <c r="L44" s="75">
        <v>2774916</v>
      </c>
      <c r="M44" s="75">
        <v>4177798</v>
      </c>
      <c r="N44" s="75">
        <v>727505</v>
      </c>
      <c r="O44" s="75">
        <v>3124670</v>
      </c>
      <c r="P44" s="75">
        <v>2324829</v>
      </c>
      <c r="Q44" s="75">
        <v>819843</v>
      </c>
      <c r="R44" s="75">
        <v>2401717</v>
      </c>
      <c r="S44" s="75">
        <v>375010</v>
      </c>
      <c r="T44" s="75">
        <v>1686346</v>
      </c>
      <c r="U44" s="75">
        <v>1016322</v>
      </c>
      <c r="V44" s="75">
        <v>1691695</v>
      </c>
      <c r="W44" s="75">
        <v>352653</v>
      </c>
      <c r="X44" s="75">
        <v>2111809</v>
      </c>
      <c r="Y44" s="75">
        <f>SUM(Z44:AD44)</f>
        <v>17475046</v>
      </c>
      <c r="Z44" s="75">
        <v>2815048</v>
      </c>
      <c r="AA44" s="75">
        <v>2339172</v>
      </c>
      <c r="AB44" s="75">
        <v>5407972</v>
      </c>
      <c r="AC44" s="75">
        <v>4938745</v>
      </c>
      <c r="AD44" s="75">
        <v>1974109</v>
      </c>
      <c r="AE44" s="75">
        <f>SUM(AF44:AI44)</f>
        <v>16317477</v>
      </c>
      <c r="AF44" s="75">
        <v>1108260</v>
      </c>
      <c r="AG44" s="75">
        <v>8058028</v>
      </c>
      <c r="AH44" s="75">
        <v>3019116</v>
      </c>
      <c r="AI44" s="75">
        <v>4132073</v>
      </c>
      <c r="AJ44" s="75">
        <f>SUM(AK44:AL44)</f>
        <v>20225654</v>
      </c>
      <c r="AK44" s="75">
        <v>19865326</v>
      </c>
      <c r="AL44" s="75">
        <f>SUM(AM44:AO44)</f>
        <v>360328</v>
      </c>
      <c r="AM44" s="75">
        <v>102782</v>
      </c>
      <c r="AN44" s="75">
        <v>101162</v>
      </c>
      <c r="AO44" s="75">
        <v>156384</v>
      </c>
    </row>
    <row r="45" spans="1:44" x14ac:dyDescent="0.25">
      <c r="A45" s="75" t="s">
        <v>64</v>
      </c>
      <c r="B45" s="81" t="s">
        <v>65</v>
      </c>
      <c r="C45" s="75">
        <f>SUM(D45+Y45+AE45+AJ45)</f>
        <v>46112329</v>
      </c>
      <c r="D45" s="75">
        <f>SUM(E45:X45)</f>
        <v>19103239</v>
      </c>
      <c r="E45" s="75">
        <v>0</v>
      </c>
      <c r="F45" s="75">
        <v>2087618</v>
      </c>
      <c r="G45" s="75">
        <v>1774026</v>
      </c>
      <c r="H45" s="75">
        <v>1089583</v>
      </c>
      <c r="I45" s="75">
        <v>1564019</v>
      </c>
      <c r="J45" s="75">
        <v>320198</v>
      </c>
      <c r="K45" s="75">
        <v>475235</v>
      </c>
      <c r="L45" s="75">
        <v>1387458</v>
      </c>
      <c r="M45" s="75">
        <v>2088899</v>
      </c>
      <c r="N45" s="75">
        <v>363753</v>
      </c>
      <c r="O45" s="75">
        <v>1562335</v>
      </c>
      <c r="P45" s="75">
        <v>1162415</v>
      </c>
      <c r="Q45" s="75">
        <v>409922</v>
      </c>
      <c r="R45" s="75">
        <v>1200859</v>
      </c>
      <c r="S45" s="75">
        <v>187505</v>
      </c>
      <c r="T45" s="75">
        <v>843173</v>
      </c>
      <c r="U45" s="75">
        <v>508161</v>
      </c>
      <c r="V45" s="75">
        <v>845848</v>
      </c>
      <c r="W45" s="75">
        <v>176327</v>
      </c>
      <c r="X45" s="75">
        <v>1055905</v>
      </c>
      <c r="Y45" s="75">
        <f>SUM(Z45:AD45)</f>
        <v>8737524</v>
      </c>
      <c r="Z45" s="75">
        <v>1407524</v>
      </c>
      <c r="AA45" s="75">
        <v>1169586</v>
      </c>
      <c r="AB45" s="75">
        <v>2703986</v>
      </c>
      <c r="AC45" s="75">
        <v>2469373</v>
      </c>
      <c r="AD45" s="75">
        <v>987055</v>
      </c>
      <c r="AE45" s="75">
        <f>SUM(AF45:AI45)</f>
        <v>8158739</v>
      </c>
      <c r="AF45" s="75">
        <v>554130</v>
      </c>
      <c r="AG45" s="75">
        <v>4029014</v>
      </c>
      <c r="AH45" s="75">
        <v>1509558</v>
      </c>
      <c r="AI45" s="75">
        <v>2066037</v>
      </c>
      <c r="AJ45" s="75">
        <f>SUM(AK45:AL45)</f>
        <v>10112827</v>
      </c>
      <c r="AK45" s="75">
        <v>9932663</v>
      </c>
      <c r="AL45" s="75">
        <f>SUM(AM45:AO45)</f>
        <v>180164</v>
      </c>
      <c r="AM45" s="75">
        <v>51391</v>
      </c>
      <c r="AN45" s="75">
        <v>50581</v>
      </c>
      <c r="AO45" s="75">
        <v>78192</v>
      </c>
    </row>
    <row r="46" spans="1:44" ht="26.4" x14ac:dyDescent="0.25">
      <c r="A46" s="75" t="s">
        <v>66</v>
      </c>
      <c r="B46" s="81" t="s">
        <v>67</v>
      </c>
      <c r="C46" s="75">
        <f>SUM(D46+Y46+AE46+AJ46)</f>
        <v>119833118</v>
      </c>
      <c r="D46" s="75">
        <f>SUM(E46:X46)</f>
        <v>49046250</v>
      </c>
      <c r="E46" s="75">
        <v>0</v>
      </c>
      <c r="F46" s="75">
        <v>5566980</v>
      </c>
      <c r="G46" s="75">
        <v>4730735</v>
      </c>
      <c r="H46" s="75">
        <v>2905553</v>
      </c>
      <c r="I46" s="75">
        <v>4141323</v>
      </c>
      <c r="J46" s="75">
        <v>853861</v>
      </c>
      <c r="K46" s="75">
        <v>1267293</v>
      </c>
      <c r="L46" s="75">
        <v>3699887</v>
      </c>
      <c r="M46" s="75">
        <v>5570397</v>
      </c>
      <c r="N46" s="75">
        <v>970006</v>
      </c>
      <c r="O46" s="75">
        <v>3926142</v>
      </c>
      <c r="P46" s="75">
        <v>2141072</v>
      </c>
      <c r="Q46" s="75">
        <v>1059517</v>
      </c>
      <c r="R46" s="75">
        <v>2913829</v>
      </c>
      <c r="S46" s="75">
        <v>477444</v>
      </c>
      <c r="T46" s="75">
        <v>1931501</v>
      </c>
      <c r="U46" s="75">
        <v>1355095</v>
      </c>
      <c r="V46" s="75">
        <v>2249666</v>
      </c>
      <c r="W46" s="75">
        <v>470204</v>
      </c>
      <c r="X46" s="75">
        <v>2815745</v>
      </c>
      <c r="Y46" s="75">
        <f>SUM(Z46:AD46)</f>
        <v>22763770</v>
      </c>
      <c r="Z46" s="75">
        <v>3753397</v>
      </c>
      <c r="AA46" s="75">
        <v>3106259</v>
      </c>
      <c r="AB46" s="75">
        <v>7114093</v>
      </c>
      <c r="AC46" s="75">
        <v>6171132</v>
      </c>
      <c r="AD46" s="75">
        <v>2618889</v>
      </c>
      <c r="AE46" s="75">
        <f>SUM(AF46:AI46)</f>
        <v>21571803</v>
      </c>
      <c r="AF46" s="75">
        <v>1477680</v>
      </c>
      <c r="AG46" s="75">
        <v>10692559</v>
      </c>
      <c r="AH46" s="75">
        <v>4025487</v>
      </c>
      <c r="AI46" s="75">
        <v>5376077</v>
      </c>
      <c r="AJ46" s="75">
        <f>SUM(AK46:AL46)</f>
        <v>26451295</v>
      </c>
      <c r="AK46" s="75">
        <v>25974201</v>
      </c>
      <c r="AL46" s="75">
        <f>SUM(AM46:AO46)</f>
        <v>477094</v>
      </c>
      <c r="AM46" s="75">
        <v>133700</v>
      </c>
      <c r="AN46" s="75">
        <v>134882</v>
      </c>
      <c r="AO46" s="75">
        <v>208512</v>
      </c>
    </row>
    <row r="47" spans="1:44" x14ac:dyDescent="0.2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row>
    <row r="48" spans="1:44" s="78" customFormat="1" x14ac:dyDescent="0.25">
      <c r="A48" s="76">
        <v>1</v>
      </c>
      <c r="B48" s="76" t="s">
        <v>68</v>
      </c>
      <c r="C48" s="77">
        <f>SUM(C49+C55+C62+C74+C103+C107+C114+C118+C127+C130)</f>
        <v>9171236198.0500011</v>
      </c>
      <c r="D48" s="77">
        <f t="shared" ref="D48:AO48" si="10">SUM(D49+D55+D62+D74+D103+D107+D114+D118+D127+D130)</f>
        <v>1805732477.75</v>
      </c>
      <c r="E48" s="77">
        <f t="shared" si="10"/>
        <v>50000</v>
      </c>
      <c r="F48" s="77">
        <f t="shared" si="10"/>
        <v>107144053.75000001</v>
      </c>
      <c r="G48" s="77">
        <f t="shared" si="10"/>
        <v>6500000</v>
      </c>
      <c r="H48" s="77">
        <f t="shared" si="10"/>
        <v>5150000</v>
      </c>
      <c r="I48" s="77">
        <f t="shared" si="10"/>
        <v>150007382.25</v>
      </c>
      <c r="J48" s="77">
        <f t="shared" si="10"/>
        <v>0</v>
      </c>
      <c r="K48" s="77">
        <f t="shared" si="10"/>
        <v>5100000</v>
      </c>
      <c r="L48" s="77">
        <f t="shared" si="10"/>
        <v>60000000</v>
      </c>
      <c r="M48" s="77">
        <f t="shared" si="10"/>
        <v>20525000</v>
      </c>
      <c r="N48" s="77">
        <f t="shared" si="10"/>
        <v>17890000</v>
      </c>
      <c r="O48" s="77">
        <f t="shared" si="10"/>
        <v>839878406.75</v>
      </c>
      <c r="P48" s="77">
        <f t="shared" si="10"/>
        <v>69625000</v>
      </c>
      <c r="Q48" s="77">
        <f t="shared" si="10"/>
        <v>0</v>
      </c>
      <c r="R48" s="77">
        <f t="shared" si="10"/>
        <v>320000</v>
      </c>
      <c r="S48" s="77">
        <f t="shared" si="10"/>
        <v>315300000</v>
      </c>
      <c r="T48" s="77">
        <f t="shared" si="10"/>
        <v>8100000</v>
      </c>
      <c r="U48" s="77">
        <f t="shared" si="10"/>
        <v>6281000</v>
      </c>
      <c r="V48" s="77">
        <f t="shared" si="10"/>
        <v>22188248</v>
      </c>
      <c r="W48" s="77">
        <f t="shared" si="10"/>
        <v>10223387</v>
      </c>
      <c r="X48" s="77">
        <f t="shared" si="10"/>
        <v>161450000</v>
      </c>
      <c r="Y48" s="77">
        <f t="shared" si="10"/>
        <v>1856925139</v>
      </c>
      <c r="Z48" s="77">
        <f t="shared" si="10"/>
        <v>10000000</v>
      </c>
      <c r="AA48" s="77">
        <f t="shared" si="10"/>
        <v>6882000</v>
      </c>
      <c r="AB48" s="77">
        <f t="shared" si="10"/>
        <v>1833446139</v>
      </c>
      <c r="AC48" s="77">
        <f t="shared" si="10"/>
        <v>5017000</v>
      </c>
      <c r="AD48" s="77">
        <f t="shared" si="10"/>
        <v>1580000</v>
      </c>
      <c r="AE48" s="77">
        <f t="shared" si="10"/>
        <v>240326171</v>
      </c>
      <c r="AF48" s="77">
        <f t="shared" si="10"/>
        <v>6988750</v>
      </c>
      <c r="AG48" s="77">
        <f t="shared" si="10"/>
        <v>170704421</v>
      </c>
      <c r="AH48" s="77">
        <f t="shared" si="10"/>
        <v>19633000</v>
      </c>
      <c r="AI48" s="77">
        <f t="shared" si="10"/>
        <v>43000000</v>
      </c>
      <c r="AJ48" s="77">
        <f t="shared" si="10"/>
        <v>5268252410.3000002</v>
      </c>
      <c r="AK48" s="77">
        <f t="shared" si="10"/>
        <v>5246429983.3000002</v>
      </c>
      <c r="AL48" s="77">
        <f t="shared" si="10"/>
        <v>21822427</v>
      </c>
      <c r="AM48" s="77">
        <f t="shared" si="10"/>
        <v>100000</v>
      </c>
      <c r="AN48" s="77">
        <f t="shared" si="10"/>
        <v>0</v>
      </c>
      <c r="AO48" s="77">
        <f t="shared" si="10"/>
        <v>21722427</v>
      </c>
      <c r="AQ48" s="64"/>
      <c r="AR48" s="64"/>
    </row>
    <row r="49" spans="1:44" s="78" customFormat="1" x14ac:dyDescent="0.25">
      <c r="A49" s="85" t="s">
        <v>69</v>
      </c>
      <c r="B49" s="82" t="s">
        <v>70</v>
      </c>
      <c r="C49" s="77">
        <f>SUM(C50:C53)</f>
        <v>228850000</v>
      </c>
      <c r="D49" s="77">
        <f t="shared" ref="D49:AO49" si="11">SUM(D50:D53)</f>
        <v>172512500</v>
      </c>
      <c r="E49" s="77">
        <f t="shared" si="11"/>
        <v>0</v>
      </c>
      <c r="F49" s="77">
        <f t="shared" si="11"/>
        <v>0</v>
      </c>
      <c r="G49" s="77">
        <f t="shared" si="11"/>
        <v>0</v>
      </c>
      <c r="H49" s="77">
        <f t="shared" si="11"/>
        <v>0</v>
      </c>
      <c r="I49" s="77">
        <f t="shared" si="11"/>
        <v>37500000</v>
      </c>
      <c r="J49" s="77">
        <f t="shared" si="11"/>
        <v>0</v>
      </c>
      <c r="K49" s="77">
        <f t="shared" si="11"/>
        <v>0</v>
      </c>
      <c r="L49" s="77">
        <f t="shared" si="11"/>
        <v>0</v>
      </c>
      <c r="M49" s="77">
        <f t="shared" si="11"/>
        <v>0</v>
      </c>
      <c r="N49" s="77">
        <f t="shared" si="11"/>
        <v>0</v>
      </c>
      <c r="O49" s="77">
        <f t="shared" si="11"/>
        <v>127250000</v>
      </c>
      <c r="P49" s="77">
        <f t="shared" si="11"/>
        <v>0</v>
      </c>
      <c r="Q49" s="77">
        <f t="shared" si="11"/>
        <v>0</v>
      </c>
      <c r="R49" s="77">
        <f t="shared" si="11"/>
        <v>0</v>
      </c>
      <c r="S49" s="77">
        <f t="shared" si="11"/>
        <v>0</v>
      </c>
      <c r="T49" s="77">
        <f t="shared" si="11"/>
        <v>0</v>
      </c>
      <c r="U49" s="77">
        <f t="shared" si="11"/>
        <v>0</v>
      </c>
      <c r="V49" s="77">
        <f t="shared" si="11"/>
        <v>7762500</v>
      </c>
      <c r="W49" s="77">
        <f t="shared" si="11"/>
        <v>0</v>
      </c>
      <c r="X49" s="77">
        <f t="shared" si="11"/>
        <v>0</v>
      </c>
      <c r="Y49" s="77">
        <f t="shared" si="11"/>
        <v>0</v>
      </c>
      <c r="Z49" s="77">
        <f t="shared" si="11"/>
        <v>0</v>
      </c>
      <c r="AA49" s="77">
        <f t="shared" si="11"/>
        <v>0</v>
      </c>
      <c r="AB49" s="77">
        <f t="shared" si="11"/>
        <v>0</v>
      </c>
      <c r="AC49" s="77">
        <f t="shared" si="11"/>
        <v>0</v>
      </c>
      <c r="AD49" s="77">
        <f t="shared" si="11"/>
        <v>0</v>
      </c>
      <c r="AE49" s="77">
        <f t="shared" si="11"/>
        <v>0</v>
      </c>
      <c r="AF49" s="77">
        <f t="shared" si="11"/>
        <v>0</v>
      </c>
      <c r="AG49" s="77">
        <f t="shared" si="11"/>
        <v>0</v>
      </c>
      <c r="AH49" s="77">
        <f t="shared" si="11"/>
        <v>0</v>
      </c>
      <c r="AI49" s="77">
        <f t="shared" si="11"/>
        <v>0</v>
      </c>
      <c r="AJ49" s="77">
        <f t="shared" si="11"/>
        <v>56337500</v>
      </c>
      <c r="AK49" s="77">
        <f t="shared" si="11"/>
        <v>56337500</v>
      </c>
      <c r="AL49" s="77">
        <f t="shared" si="11"/>
        <v>0</v>
      </c>
      <c r="AM49" s="77">
        <f t="shared" si="11"/>
        <v>0</v>
      </c>
      <c r="AN49" s="77">
        <f t="shared" si="11"/>
        <v>0</v>
      </c>
      <c r="AO49" s="77">
        <f t="shared" si="11"/>
        <v>0</v>
      </c>
      <c r="AQ49" s="64"/>
      <c r="AR49" s="64"/>
    </row>
    <row r="50" spans="1:44" x14ac:dyDescent="0.25">
      <c r="A50" s="75" t="s">
        <v>71</v>
      </c>
      <c r="B50" s="81" t="s">
        <v>72</v>
      </c>
      <c r="C50" s="75">
        <f>SUM(D50+Y50+AE50+AJ50)</f>
        <v>165000000</v>
      </c>
      <c r="D50" s="75">
        <f>SUM(E50:X50)</f>
        <v>123750000</v>
      </c>
      <c r="E50" s="75">
        <v>0</v>
      </c>
      <c r="F50" s="75">
        <v>0</v>
      </c>
      <c r="G50" s="75">
        <v>0</v>
      </c>
      <c r="H50" s="75">
        <v>0</v>
      </c>
      <c r="I50" s="75">
        <v>0</v>
      </c>
      <c r="J50" s="75">
        <v>0</v>
      </c>
      <c r="K50" s="75">
        <v>0</v>
      </c>
      <c r="L50" s="75">
        <v>0</v>
      </c>
      <c r="M50" s="75">
        <v>0</v>
      </c>
      <c r="N50" s="75">
        <v>0</v>
      </c>
      <c r="O50" s="75">
        <f>165000000-'[4]Costeo SAP'!P7</f>
        <v>123750000</v>
      </c>
      <c r="P50" s="75">
        <v>0</v>
      </c>
      <c r="Q50" s="75">
        <v>0</v>
      </c>
      <c r="R50" s="75">
        <v>0</v>
      </c>
      <c r="S50" s="75">
        <v>0</v>
      </c>
      <c r="T50" s="75">
        <v>0</v>
      </c>
      <c r="U50" s="75">
        <v>0</v>
      </c>
      <c r="V50" s="75">
        <v>0</v>
      </c>
      <c r="W50" s="75">
        <v>0</v>
      </c>
      <c r="X50" s="75">
        <v>0</v>
      </c>
      <c r="Y50" s="75">
        <f>SUM(Z50:AD50)</f>
        <v>0</v>
      </c>
      <c r="Z50" s="75">
        <v>0</v>
      </c>
      <c r="AA50" s="75">
        <v>0</v>
      </c>
      <c r="AB50" s="75">
        <v>0</v>
      </c>
      <c r="AC50" s="75">
        <v>0</v>
      </c>
      <c r="AD50" s="75">
        <v>0</v>
      </c>
      <c r="AE50" s="75">
        <f>SUM(AF50:AI50)</f>
        <v>0</v>
      </c>
      <c r="AF50" s="75">
        <v>0</v>
      </c>
      <c r="AG50" s="75">
        <v>0</v>
      </c>
      <c r="AH50" s="75">
        <v>0</v>
      </c>
      <c r="AI50" s="75">
        <v>0</v>
      </c>
      <c r="AJ50" s="75">
        <f>SUM(AK50:AL50)</f>
        <v>41250000</v>
      </c>
      <c r="AK50" s="75">
        <f>+'[4]Costeo SAP'!P7</f>
        <v>41250000</v>
      </c>
      <c r="AL50" s="75">
        <f>SUM(AM50:AO50)</f>
        <v>0</v>
      </c>
      <c r="AM50" s="75">
        <v>0</v>
      </c>
      <c r="AN50" s="75">
        <v>0</v>
      </c>
      <c r="AO50" s="75">
        <v>0</v>
      </c>
    </row>
    <row r="51" spans="1:44" x14ac:dyDescent="0.25">
      <c r="A51" s="75" t="s">
        <v>73</v>
      </c>
      <c r="B51" s="81" t="s">
        <v>74</v>
      </c>
      <c r="C51" s="75">
        <f>SUM(D51+Y51+AE51+AJ51)</f>
        <v>10350000</v>
      </c>
      <c r="D51" s="75">
        <f>SUM(E51:X51)</f>
        <v>7762500</v>
      </c>
      <c r="E51" s="75">
        <v>0</v>
      </c>
      <c r="F51" s="75">
        <v>0</v>
      </c>
      <c r="G51" s="75">
        <v>0</v>
      </c>
      <c r="H51" s="75">
        <v>0</v>
      </c>
      <c r="I51" s="75">
        <v>0</v>
      </c>
      <c r="J51" s="75">
        <v>0</v>
      </c>
      <c r="K51" s="75">
        <v>0</v>
      </c>
      <c r="L51" s="75">
        <v>0</v>
      </c>
      <c r="M51" s="75">
        <v>0</v>
      </c>
      <c r="N51" s="75">
        <v>0</v>
      </c>
      <c r="O51" s="75">
        <v>0</v>
      </c>
      <c r="P51" s="75">
        <v>0</v>
      </c>
      <c r="Q51" s="75">
        <v>0</v>
      </c>
      <c r="R51" s="75">
        <v>0</v>
      </c>
      <c r="S51" s="75">
        <v>0</v>
      </c>
      <c r="T51" s="75">
        <v>0</v>
      </c>
      <c r="U51" s="75">
        <v>0</v>
      </c>
      <c r="V51" s="75">
        <f>10350000-'[4]Costeo SAP'!P8</f>
        <v>7762500</v>
      </c>
      <c r="W51" s="75">
        <v>0</v>
      </c>
      <c r="X51" s="75">
        <v>0</v>
      </c>
      <c r="Y51" s="75">
        <f>SUM(Z51:AD51)</f>
        <v>0</v>
      </c>
      <c r="Z51" s="75">
        <v>0</v>
      </c>
      <c r="AA51" s="75">
        <v>0</v>
      </c>
      <c r="AB51" s="75">
        <v>0</v>
      </c>
      <c r="AC51" s="75">
        <v>0</v>
      </c>
      <c r="AD51" s="75">
        <v>0</v>
      </c>
      <c r="AE51" s="75">
        <f>SUM(AF51:AI51)</f>
        <v>0</v>
      </c>
      <c r="AF51" s="75">
        <v>0</v>
      </c>
      <c r="AG51" s="75">
        <v>0</v>
      </c>
      <c r="AH51" s="75">
        <v>0</v>
      </c>
      <c r="AI51" s="75">
        <v>0</v>
      </c>
      <c r="AJ51" s="75">
        <f>SUM(AK51:AL51)</f>
        <v>2587500</v>
      </c>
      <c r="AK51" s="75">
        <f>+'[4]Costeo SAP'!P8</f>
        <v>2587500</v>
      </c>
      <c r="AL51" s="75">
        <f>SUM(AM51:AO51)</f>
        <v>0</v>
      </c>
      <c r="AM51" s="75">
        <v>0</v>
      </c>
      <c r="AN51" s="75">
        <v>0</v>
      </c>
      <c r="AO51" s="75">
        <v>0</v>
      </c>
    </row>
    <row r="52" spans="1:44" x14ac:dyDescent="0.25">
      <c r="A52" s="75" t="s">
        <v>75</v>
      </c>
      <c r="B52" s="81" t="s">
        <v>76</v>
      </c>
      <c r="C52" s="75">
        <f>SUM(D52+Y52+AE52+AJ52)</f>
        <v>50000000</v>
      </c>
      <c r="D52" s="75">
        <f>SUM(E52:X52)</f>
        <v>37500000</v>
      </c>
      <c r="E52" s="75">
        <v>0</v>
      </c>
      <c r="F52" s="75">
        <v>0</v>
      </c>
      <c r="G52" s="75">
        <v>0</v>
      </c>
      <c r="H52" s="75">
        <v>0</v>
      </c>
      <c r="I52" s="75">
        <f>50000000-'[4]Costeo SAP'!P9</f>
        <v>37500000</v>
      </c>
      <c r="J52" s="75">
        <v>0</v>
      </c>
      <c r="K52" s="75">
        <v>0</v>
      </c>
      <c r="L52" s="75">
        <v>0</v>
      </c>
      <c r="M52" s="75">
        <v>0</v>
      </c>
      <c r="N52" s="75">
        <v>0</v>
      </c>
      <c r="O52" s="75"/>
      <c r="P52" s="75">
        <v>0</v>
      </c>
      <c r="Q52" s="75">
        <v>0</v>
      </c>
      <c r="R52" s="75">
        <v>0</v>
      </c>
      <c r="S52" s="75">
        <v>0</v>
      </c>
      <c r="T52" s="75">
        <v>0</v>
      </c>
      <c r="U52" s="75">
        <v>0</v>
      </c>
      <c r="V52" s="75">
        <v>0</v>
      </c>
      <c r="W52" s="75">
        <v>0</v>
      </c>
      <c r="X52" s="75">
        <v>0</v>
      </c>
      <c r="Y52" s="75">
        <f>SUM(Z52:AD52)</f>
        <v>0</v>
      </c>
      <c r="Z52" s="75">
        <v>0</v>
      </c>
      <c r="AA52" s="75">
        <v>0</v>
      </c>
      <c r="AB52" s="75">
        <v>0</v>
      </c>
      <c r="AC52" s="75">
        <v>0</v>
      </c>
      <c r="AD52" s="75">
        <v>0</v>
      </c>
      <c r="AE52" s="75">
        <f>SUM(AF52:AI52)</f>
        <v>0</v>
      </c>
      <c r="AF52" s="75">
        <v>0</v>
      </c>
      <c r="AG52" s="75">
        <v>0</v>
      </c>
      <c r="AH52" s="75">
        <v>0</v>
      </c>
      <c r="AI52" s="75">
        <v>0</v>
      </c>
      <c r="AJ52" s="75">
        <f>SUM(AK52:AL52)</f>
        <v>12500000</v>
      </c>
      <c r="AK52" s="75">
        <f>+'[4]Costeo SAP'!P9</f>
        <v>12500000</v>
      </c>
      <c r="AL52" s="75">
        <f>SUM(AM52:AO52)</f>
        <v>0</v>
      </c>
      <c r="AM52" s="75">
        <v>0</v>
      </c>
      <c r="AN52" s="75">
        <v>0</v>
      </c>
      <c r="AO52" s="75">
        <v>0</v>
      </c>
    </row>
    <row r="53" spans="1:44" ht="26.4" x14ac:dyDescent="0.25">
      <c r="A53" s="75" t="s">
        <v>77</v>
      </c>
      <c r="B53" s="81" t="s">
        <v>78</v>
      </c>
      <c r="C53" s="75">
        <f>SUM(D53+Y53+AE53+AJ53)</f>
        <v>3500000</v>
      </c>
      <c r="D53" s="75">
        <f>SUM(E53:X53)</f>
        <v>3500000</v>
      </c>
      <c r="E53" s="75">
        <v>0</v>
      </c>
      <c r="F53" s="75">
        <v>0</v>
      </c>
      <c r="G53" s="75">
        <v>0</v>
      </c>
      <c r="H53" s="75">
        <v>0</v>
      </c>
      <c r="I53" s="75">
        <v>0</v>
      </c>
      <c r="J53" s="75">
        <v>0</v>
      </c>
      <c r="K53" s="75">
        <v>0</v>
      </c>
      <c r="L53" s="75">
        <v>0</v>
      </c>
      <c r="M53" s="75">
        <v>0</v>
      </c>
      <c r="N53" s="75">
        <v>0</v>
      </c>
      <c r="O53" s="75">
        <v>3500000</v>
      </c>
      <c r="P53" s="75">
        <v>0</v>
      </c>
      <c r="Q53" s="75">
        <v>0</v>
      </c>
      <c r="R53" s="75">
        <v>0</v>
      </c>
      <c r="S53" s="75">
        <v>0</v>
      </c>
      <c r="T53" s="75">
        <v>0</v>
      </c>
      <c r="U53" s="75">
        <v>0</v>
      </c>
      <c r="V53" s="75">
        <v>0</v>
      </c>
      <c r="W53" s="75">
        <v>0</v>
      </c>
      <c r="X53" s="75">
        <v>0</v>
      </c>
      <c r="Y53" s="75">
        <f>SUM(Z53:AD53)</f>
        <v>0</v>
      </c>
      <c r="Z53" s="75">
        <v>0</v>
      </c>
      <c r="AA53" s="75">
        <v>0</v>
      </c>
      <c r="AB53" s="75">
        <v>0</v>
      </c>
      <c r="AC53" s="75">
        <v>0</v>
      </c>
      <c r="AD53" s="75">
        <v>0</v>
      </c>
      <c r="AE53" s="75">
        <f>SUM(AF53:AI53)</f>
        <v>0</v>
      </c>
      <c r="AF53" s="75">
        <v>0</v>
      </c>
      <c r="AG53" s="75">
        <v>0</v>
      </c>
      <c r="AH53" s="75">
        <v>0</v>
      </c>
      <c r="AI53" s="75">
        <v>0</v>
      </c>
      <c r="AJ53" s="75">
        <f>SUM(AK53:AL53)</f>
        <v>0</v>
      </c>
      <c r="AK53" s="75">
        <v>0</v>
      </c>
      <c r="AL53" s="75">
        <f>SUM(AM53:AO53)</f>
        <v>0</v>
      </c>
      <c r="AM53" s="75">
        <v>0</v>
      </c>
      <c r="AN53" s="75">
        <v>0</v>
      </c>
      <c r="AO53" s="75">
        <v>0</v>
      </c>
    </row>
    <row r="54" spans="1:44"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row>
    <row r="55" spans="1:44" s="78" customFormat="1" x14ac:dyDescent="0.25">
      <c r="A55" s="86" t="s">
        <v>79</v>
      </c>
      <c r="B55" s="82" t="s">
        <v>80</v>
      </c>
      <c r="C55" s="77">
        <f>SUM(C56:C60)</f>
        <v>149499235</v>
      </c>
      <c r="D55" s="77">
        <f t="shared" ref="D55:AO55" si="12">SUM(D56:D60)</f>
        <v>112124426.25</v>
      </c>
      <c r="E55" s="77">
        <f t="shared" si="12"/>
        <v>0</v>
      </c>
      <c r="F55" s="77">
        <f t="shared" si="12"/>
        <v>0</v>
      </c>
      <c r="G55" s="77">
        <f t="shared" si="12"/>
        <v>0</v>
      </c>
      <c r="H55" s="77">
        <f t="shared" si="12"/>
        <v>0</v>
      </c>
      <c r="I55" s="77">
        <f t="shared" si="12"/>
        <v>10708519.5</v>
      </c>
      <c r="J55" s="77">
        <f t="shared" si="12"/>
        <v>0</v>
      </c>
      <c r="K55" s="77">
        <f t="shared" si="12"/>
        <v>0</v>
      </c>
      <c r="L55" s="77">
        <f t="shared" si="12"/>
        <v>0</v>
      </c>
      <c r="M55" s="77">
        <f t="shared" si="12"/>
        <v>0</v>
      </c>
      <c r="N55" s="77">
        <f t="shared" si="12"/>
        <v>0</v>
      </c>
      <c r="O55" s="77">
        <f t="shared" si="12"/>
        <v>101415906.75</v>
      </c>
      <c r="P55" s="77">
        <f t="shared" si="12"/>
        <v>0</v>
      </c>
      <c r="Q55" s="77">
        <f t="shared" si="12"/>
        <v>0</v>
      </c>
      <c r="R55" s="77">
        <f t="shared" si="12"/>
        <v>0</v>
      </c>
      <c r="S55" s="77">
        <f t="shared" si="12"/>
        <v>0</v>
      </c>
      <c r="T55" s="77">
        <f t="shared" si="12"/>
        <v>0</v>
      </c>
      <c r="U55" s="77">
        <f t="shared" si="12"/>
        <v>0</v>
      </c>
      <c r="V55" s="77">
        <f t="shared" si="12"/>
        <v>0</v>
      </c>
      <c r="W55" s="77">
        <f t="shared" si="12"/>
        <v>0</v>
      </c>
      <c r="X55" s="77">
        <f t="shared" si="12"/>
        <v>0</v>
      </c>
      <c r="Y55" s="77">
        <f t="shared" si="12"/>
        <v>0</v>
      </c>
      <c r="Z55" s="77">
        <f t="shared" si="12"/>
        <v>0</v>
      </c>
      <c r="AA55" s="77">
        <f t="shared" si="12"/>
        <v>0</v>
      </c>
      <c r="AB55" s="77">
        <f t="shared" si="12"/>
        <v>0</v>
      </c>
      <c r="AC55" s="77">
        <f t="shared" si="12"/>
        <v>0</v>
      </c>
      <c r="AD55" s="77">
        <f t="shared" si="12"/>
        <v>0</v>
      </c>
      <c r="AE55" s="77">
        <f t="shared" si="12"/>
        <v>0</v>
      </c>
      <c r="AF55" s="77">
        <f t="shared" si="12"/>
        <v>0</v>
      </c>
      <c r="AG55" s="77">
        <f t="shared" si="12"/>
        <v>0</v>
      </c>
      <c r="AH55" s="77">
        <f t="shared" si="12"/>
        <v>0</v>
      </c>
      <c r="AI55" s="77">
        <f t="shared" si="12"/>
        <v>0</v>
      </c>
      <c r="AJ55" s="77">
        <f t="shared" si="12"/>
        <v>37374808.75</v>
      </c>
      <c r="AK55" s="77">
        <f t="shared" si="12"/>
        <v>37374808.75</v>
      </c>
      <c r="AL55" s="77">
        <f t="shared" si="12"/>
        <v>0</v>
      </c>
      <c r="AM55" s="77">
        <f t="shared" si="12"/>
        <v>0</v>
      </c>
      <c r="AN55" s="77">
        <f t="shared" si="12"/>
        <v>0</v>
      </c>
      <c r="AO55" s="77">
        <f t="shared" si="12"/>
        <v>0</v>
      </c>
      <c r="AQ55" s="64"/>
      <c r="AR55" s="64"/>
    </row>
    <row r="56" spans="1:44" x14ac:dyDescent="0.25">
      <c r="A56" s="75" t="s">
        <v>81</v>
      </c>
      <c r="B56" s="81" t="s">
        <v>82</v>
      </c>
      <c r="C56" s="75">
        <f>SUM(D56+Y56+AE56+AJ56)</f>
        <v>15000000</v>
      </c>
      <c r="D56" s="75">
        <f>SUM(E56:X56)</f>
        <v>11250000</v>
      </c>
      <c r="E56" s="75">
        <v>0</v>
      </c>
      <c r="F56" s="75">
        <v>0</v>
      </c>
      <c r="G56" s="75">
        <v>0</v>
      </c>
      <c r="H56" s="75">
        <v>0</v>
      </c>
      <c r="I56" s="75">
        <v>0</v>
      </c>
      <c r="J56" s="75">
        <v>0</v>
      </c>
      <c r="K56" s="75">
        <v>0</v>
      </c>
      <c r="L56" s="75">
        <v>0</v>
      </c>
      <c r="M56" s="75">
        <v>0</v>
      </c>
      <c r="N56" s="75">
        <v>0</v>
      </c>
      <c r="O56" s="75">
        <f>15000000-'[4]Costeo SAP'!P10</f>
        <v>11250000</v>
      </c>
      <c r="P56" s="75">
        <v>0</v>
      </c>
      <c r="Q56" s="75">
        <v>0</v>
      </c>
      <c r="R56" s="75">
        <v>0</v>
      </c>
      <c r="S56" s="75">
        <v>0</v>
      </c>
      <c r="T56" s="75">
        <v>0</v>
      </c>
      <c r="U56" s="75">
        <v>0</v>
      </c>
      <c r="V56" s="75">
        <v>0</v>
      </c>
      <c r="W56" s="75">
        <v>0</v>
      </c>
      <c r="X56" s="75">
        <v>0</v>
      </c>
      <c r="Y56" s="75">
        <f>SUM(Z56:AD56)</f>
        <v>0</v>
      </c>
      <c r="Z56" s="75">
        <v>0</v>
      </c>
      <c r="AA56" s="75">
        <v>0</v>
      </c>
      <c r="AB56" s="75">
        <v>0</v>
      </c>
      <c r="AC56" s="75">
        <v>0</v>
      </c>
      <c r="AD56" s="75">
        <v>0</v>
      </c>
      <c r="AE56" s="75">
        <f>SUM(AF56:AI56)</f>
        <v>0</v>
      </c>
      <c r="AF56" s="75">
        <v>0</v>
      </c>
      <c r="AG56" s="75">
        <v>0</v>
      </c>
      <c r="AH56" s="75">
        <v>0</v>
      </c>
      <c r="AI56" s="75">
        <v>0</v>
      </c>
      <c r="AJ56" s="75">
        <f>SUM(AK56:AL56)</f>
        <v>3750000</v>
      </c>
      <c r="AK56" s="75">
        <f>+'[4]Costeo SAP'!P10</f>
        <v>3750000</v>
      </c>
      <c r="AL56" s="75">
        <f>SUM(AM56:AO56)</f>
        <v>0</v>
      </c>
      <c r="AM56" s="75">
        <v>0</v>
      </c>
      <c r="AN56" s="75">
        <v>0</v>
      </c>
      <c r="AO56" s="75">
        <v>0</v>
      </c>
    </row>
    <row r="57" spans="1:44" x14ac:dyDescent="0.25">
      <c r="A57" s="75" t="s">
        <v>83</v>
      </c>
      <c r="B57" s="81" t="s">
        <v>84</v>
      </c>
      <c r="C57" s="75">
        <f>SUM(D57+Y57+AE57+AJ57)</f>
        <v>40000000</v>
      </c>
      <c r="D57" s="75">
        <f>SUM(E57:X57)</f>
        <v>30000000</v>
      </c>
      <c r="E57" s="75">
        <v>0</v>
      </c>
      <c r="F57" s="75">
        <v>0</v>
      </c>
      <c r="G57" s="75">
        <v>0</v>
      </c>
      <c r="H57" s="75">
        <v>0</v>
      </c>
      <c r="I57" s="75">
        <v>0</v>
      </c>
      <c r="J57" s="75">
        <v>0</v>
      </c>
      <c r="K57" s="75">
        <v>0</v>
      </c>
      <c r="L57" s="75">
        <v>0</v>
      </c>
      <c r="M57" s="75">
        <v>0</v>
      </c>
      <c r="N57" s="75">
        <v>0</v>
      </c>
      <c r="O57" s="75">
        <f>40000000-'[4]Costeo SAP'!P11</f>
        <v>30000000</v>
      </c>
      <c r="P57" s="75">
        <v>0</v>
      </c>
      <c r="Q57" s="75">
        <v>0</v>
      </c>
      <c r="R57" s="75">
        <v>0</v>
      </c>
      <c r="S57" s="75">
        <v>0</v>
      </c>
      <c r="T57" s="75">
        <v>0</v>
      </c>
      <c r="U57" s="75">
        <v>0</v>
      </c>
      <c r="V57" s="75">
        <v>0</v>
      </c>
      <c r="W57" s="75">
        <v>0</v>
      </c>
      <c r="X57" s="75">
        <v>0</v>
      </c>
      <c r="Y57" s="75">
        <f>SUM(Z57:AD57)</f>
        <v>0</v>
      </c>
      <c r="Z57" s="75">
        <v>0</v>
      </c>
      <c r="AA57" s="75">
        <v>0</v>
      </c>
      <c r="AB57" s="75">
        <v>0</v>
      </c>
      <c r="AC57" s="75">
        <v>0</v>
      </c>
      <c r="AD57" s="75">
        <v>0</v>
      </c>
      <c r="AE57" s="75">
        <f>SUM(AF57:AI57)</f>
        <v>0</v>
      </c>
      <c r="AF57" s="75">
        <v>0</v>
      </c>
      <c r="AG57" s="75">
        <v>0</v>
      </c>
      <c r="AH57" s="75">
        <v>0</v>
      </c>
      <c r="AI57" s="75">
        <v>0</v>
      </c>
      <c r="AJ57" s="75">
        <f>SUM(AK57:AL57)</f>
        <v>10000000</v>
      </c>
      <c r="AK57" s="75">
        <f>+'[4]Costeo SAP'!P11</f>
        <v>10000000</v>
      </c>
      <c r="AL57" s="75">
        <f>SUM(AM57:AO57)</f>
        <v>0</v>
      </c>
      <c r="AM57" s="75">
        <v>0</v>
      </c>
      <c r="AN57" s="75">
        <v>0</v>
      </c>
      <c r="AO57" s="75">
        <v>0</v>
      </c>
    </row>
    <row r="58" spans="1:44" x14ac:dyDescent="0.25">
      <c r="A58" s="75" t="s">
        <v>85</v>
      </c>
      <c r="B58" s="81" t="s">
        <v>86</v>
      </c>
      <c r="C58" s="75">
        <f>SUM(D58+Y58+AE58+AJ58)</f>
        <v>221209</v>
      </c>
      <c r="D58" s="75">
        <f>SUM(E58:X58)</f>
        <v>165906.75</v>
      </c>
      <c r="E58" s="75">
        <v>0</v>
      </c>
      <c r="F58" s="75">
        <v>0</v>
      </c>
      <c r="G58" s="75">
        <v>0</v>
      </c>
      <c r="H58" s="75">
        <v>0</v>
      </c>
      <c r="I58" s="75">
        <v>0</v>
      </c>
      <c r="J58" s="75">
        <v>0</v>
      </c>
      <c r="K58" s="75">
        <v>0</v>
      </c>
      <c r="L58" s="75">
        <v>0</v>
      </c>
      <c r="M58" s="75">
        <v>0</v>
      </c>
      <c r="N58" s="75">
        <v>0</v>
      </c>
      <c r="O58" s="75">
        <f>221209-'[4]Costeo SAP'!P12</f>
        <v>165906.75</v>
      </c>
      <c r="P58" s="75">
        <v>0</v>
      </c>
      <c r="Q58" s="75">
        <v>0</v>
      </c>
      <c r="R58" s="75">
        <v>0</v>
      </c>
      <c r="S58" s="75">
        <v>0</v>
      </c>
      <c r="T58" s="75">
        <v>0</v>
      </c>
      <c r="U58" s="75">
        <v>0</v>
      </c>
      <c r="V58" s="75">
        <v>0</v>
      </c>
      <c r="W58" s="75">
        <v>0</v>
      </c>
      <c r="X58" s="75">
        <v>0</v>
      </c>
      <c r="Y58" s="75">
        <f>SUM(Z58:AD58)</f>
        <v>0</v>
      </c>
      <c r="Z58" s="75">
        <v>0</v>
      </c>
      <c r="AA58" s="75">
        <v>0</v>
      </c>
      <c r="AB58" s="75">
        <v>0</v>
      </c>
      <c r="AC58" s="75">
        <v>0</v>
      </c>
      <c r="AD58" s="75">
        <v>0</v>
      </c>
      <c r="AE58" s="75">
        <f>SUM(AF58:AI58)</f>
        <v>0</v>
      </c>
      <c r="AF58" s="75">
        <v>0</v>
      </c>
      <c r="AG58" s="75">
        <v>0</v>
      </c>
      <c r="AH58" s="75">
        <v>0</v>
      </c>
      <c r="AI58" s="75">
        <v>0</v>
      </c>
      <c r="AJ58" s="75">
        <f>SUM(AK58:AL58)</f>
        <v>55302.25</v>
      </c>
      <c r="AK58" s="75">
        <f>+'[4]Costeo SAP'!P12</f>
        <v>55302.25</v>
      </c>
      <c r="AL58" s="75">
        <f>SUM(AM58:AO58)</f>
        <v>0</v>
      </c>
      <c r="AM58" s="75">
        <v>0</v>
      </c>
      <c r="AN58" s="75">
        <v>0</v>
      </c>
      <c r="AO58" s="75">
        <v>0</v>
      </c>
    </row>
    <row r="59" spans="1:44" x14ac:dyDescent="0.25">
      <c r="A59" s="75" t="s">
        <v>87</v>
      </c>
      <c r="B59" s="81" t="s">
        <v>88</v>
      </c>
      <c r="C59" s="75">
        <f>SUM(D59+Y59+AE59+AJ59)</f>
        <v>29278026</v>
      </c>
      <c r="D59" s="75">
        <f>SUM(E59:X59)</f>
        <v>21958519.5</v>
      </c>
      <c r="E59" s="75">
        <v>0</v>
      </c>
      <c r="F59" s="75">
        <v>0</v>
      </c>
      <c r="G59" s="75">
        <v>0</v>
      </c>
      <c r="H59" s="75">
        <v>0</v>
      </c>
      <c r="I59" s="75">
        <f>14278026-'[4]Costeo SAP'!P14</f>
        <v>10708519.5</v>
      </c>
      <c r="J59" s="75">
        <v>0</v>
      </c>
      <c r="K59" s="75">
        <v>0</v>
      </c>
      <c r="L59" s="75">
        <v>0</v>
      </c>
      <c r="M59" s="75">
        <v>0</v>
      </c>
      <c r="N59" s="75">
        <v>0</v>
      </c>
      <c r="O59" s="75">
        <f>15000000-'[4]Costeo SAP'!P13</f>
        <v>11250000</v>
      </c>
      <c r="P59" s="75">
        <v>0</v>
      </c>
      <c r="Q59" s="75">
        <v>0</v>
      </c>
      <c r="R59" s="75">
        <v>0</v>
      </c>
      <c r="S59" s="75">
        <v>0</v>
      </c>
      <c r="T59" s="75">
        <v>0</v>
      </c>
      <c r="U59" s="75">
        <v>0</v>
      </c>
      <c r="V59" s="75">
        <v>0</v>
      </c>
      <c r="W59" s="75">
        <v>0</v>
      </c>
      <c r="X59" s="75">
        <v>0</v>
      </c>
      <c r="Y59" s="75">
        <f>SUM(Z59:AD59)</f>
        <v>0</v>
      </c>
      <c r="Z59" s="75">
        <v>0</v>
      </c>
      <c r="AA59" s="75">
        <v>0</v>
      </c>
      <c r="AB59" s="75">
        <v>0</v>
      </c>
      <c r="AC59" s="75">
        <v>0</v>
      </c>
      <c r="AD59" s="75">
        <v>0</v>
      </c>
      <c r="AE59" s="75">
        <f>SUM(AF59:AI59)</f>
        <v>0</v>
      </c>
      <c r="AF59" s="75">
        <v>0</v>
      </c>
      <c r="AG59" s="75">
        <v>0</v>
      </c>
      <c r="AH59" s="75">
        <v>0</v>
      </c>
      <c r="AI59" s="75">
        <v>0</v>
      </c>
      <c r="AJ59" s="75">
        <f>SUM(AK59:AL59)</f>
        <v>7319506.5</v>
      </c>
      <c r="AK59" s="75">
        <f>+'[4]Costeo SAP'!P13+'[4]Costeo SAP'!P14</f>
        <v>7319506.5</v>
      </c>
      <c r="AL59" s="75">
        <f>SUM(AM59:AO59)</f>
        <v>0</v>
      </c>
      <c r="AM59" s="75">
        <v>0</v>
      </c>
      <c r="AN59" s="75">
        <v>0</v>
      </c>
      <c r="AO59" s="75">
        <v>0</v>
      </c>
    </row>
    <row r="60" spans="1:44" x14ac:dyDescent="0.25">
      <c r="A60" s="75" t="s">
        <v>89</v>
      </c>
      <c r="B60" s="81" t="s">
        <v>90</v>
      </c>
      <c r="C60" s="75">
        <f>SUM(D60+Y60+AE60+AJ60)</f>
        <v>65000000</v>
      </c>
      <c r="D60" s="75">
        <f>SUM(E60:X60)</f>
        <v>48750000</v>
      </c>
      <c r="E60" s="75">
        <v>0</v>
      </c>
      <c r="F60" s="75">
        <v>0</v>
      </c>
      <c r="G60" s="75">
        <v>0</v>
      </c>
      <c r="H60" s="75">
        <v>0</v>
      </c>
      <c r="I60" s="75">
        <v>0</v>
      </c>
      <c r="J60" s="75">
        <v>0</v>
      </c>
      <c r="K60" s="75">
        <v>0</v>
      </c>
      <c r="L60" s="75">
        <v>0</v>
      </c>
      <c r="M60" s="75">
        <v>0</v>
      </c>
      <c r="N60" s="75">
        <v>0</v>
      </c>
      <c r="O60" s="75">
        <f>65000000-'[4]Costeo SAP'!P15</f>
        <v>48750000</v>
      </c>
      <c r="P60" s="75">
        <v>0</v>
      </c>
      <c r="Q60" s="75">
        <v>0</v>
      </c>
      <c r="R60" s="75">
        <v>0</v>
      </c>
      <c r="S60" s="75">
        <v>0</v>
      </c>
      <c r="T60" s="75">
        <v>0</v>
      </c>
      <c r="U60" s="75">
        <v>0</v>
      </c>
      <c r="V60" s="75">
        <v>0</v>
      </c>
      <c r="W60" s="75">
        <v>0</v>
      </c>
      <c r="X60" s="75">
        <v>0</v>
      </c>
      <c r="Y60" s="75">
        <f>SUM(Z60:AD60)</f>
        <v>0</v>
      </c>
      <c r="Z60" s="75">
        <v>0</v>
      </c>
      <c r="AA60" s="75">
        <v>0</v>
      </c>
      <c r="AB60" s="75">
        <v>0</v>
      </c>
      <c r="AC60" s="75">
        <v>0</v>
      </c>
      <c r="AD60" s="75">
        <v>0</v>
      </c>
      <c r="AE60" s="75">
        <f>SUM(AF60:AI60)</f>
        <v>0</v>
      </c>
      <c r="AF60" s="75">
        <v>0</v>
      </c>
      <c r="AG60" s="75">
        <v>0</v>
      </c>
      <c r="AH60" s="75">
        <v>0</v>
      </c>
      <c r="AI60" s="75">
        <v>0</v>
      </c>
      <c r="AJ60" s="75">
        <f>SUM(AK60:AL60)</f>
        <v>16250000</v>
      </c>
      <c r="AK60" s="75">
        <f>+'[4]Costeo SAP'!P15</f>
        <v>16250000</v>
      </c>
      <c r="AL60" s="75">
        <f>SUM(AM60:AO60)</f>
        <v>0</v>
      </c>
      <c r="AM60" s="75">
        <v>0</v>
      </c>
      <c r="AN60" s="75">
        <v>0</v>
      </c>
      <c r="AO60" s="75">
        <v>0</v>
      </c>
    </row>
    <row r="61" spans="1:44" x14ac:dyDescent="0.25">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row>
    <row r="62" spans="1:44" s="78" customFormat="1" x14ac:dyDescent="0.25">
      <c r="A62" s="86" t="s">
        <v>91</v>
      </c>
      <c r="B62" s="82" t="s">
        <v>92</v>
      </c>
      <c r="C62" s="77">
        <f>SUM(C63:C72)</f>
        <v>3573568253.3000002</v>
      </c>
      <c r="D62" s="77">
        <f t="shared" ref="D62:AO62" si="13">SUM(D63:D72)</f>
        <v>172540748</v>
      </c>
      <c r="E62" s="77">
        <f t="shared" si="13"/>
        <v>50000</v>
      </c>
      <c r="F62" s="77">
        <f t="shared" si="13"/>
        <v>0</v>
      </c>
      <c r="G62" s="77">
        <f t="shared" si="13"/>
        <v>0</v>
      </c>
      <c r="H62" s="77">
        <f t="shared" si="13"/>
        <v>0</v>
      </c>
      <c r="I62" s="77">
        <f t="shared" si="13"/>
        <v>41350000</v>
      </c>
      <c r="J62" s="77">
        <f t="shared" si="13"/>
        <v>0</v>
      </c>
      <c r="K62" s="77">
        <f t="shared" si="13"/>
        <v>0</v>
      </c>
      <c r="L62" s="77">
        <f t="shared" si="13"/>
        <v>0</v>
      </c>
      <c r="M62" s="77">
        <f t="shared" si="13"/>
        <v>25000</v>
      </c>
      <c r="N62" s="77">
        <f t="shared" si="13"/>
        <v>160000</v>
      </c>
      <c r="O62" s="77">
        <f t="shared" si="13"/>
        <v>600000</v>
      </c>
      <c r="P62" s="77">
        <f t="shared" si="13"/>
        <v>0</v>
      </c>
      <c r="Q62" s="77">
        <f t="shared" si="13"/>
        <v>0</v>
      </c>
      <c r="R62" s="77">
        <f t="shared" si="13"/>
        <v>300000</v>
      </c>
      <c r="S62" s="77">
        <f t="shared" si="13"/>
        <v>400000</v>
      </c>
      <c r="T62" s="77">
        <f t="shared" si="13"/>
        <v>8100000</v>
      </c>
      <c r="U62" s="77">
        <f t="shared" si="13"/>
        <v>2030000</v>
      </c>
      <c r="V62" s="77">
        <f t="shared" si="13"/>
        <v>14425748</v>
      </c>
      <c r="W62" s="77">
        <f t="shared" si="13"/>
        <v>1500000</v>
      </c>
      <c r="X62" s="77">
        <f t="shared" si="13"/>
        <v>103600000</v>
      </c>
      <c r="Y62" s="77">
        <f t="shared" si="13"/>
        <v>2139000</v>
      </c>
      <c r="Z62" s="77">
        <f t="shared" si="13"/>
        <v>300000</v>
      </c>
      <c r="AA62" s="77">
        <f t="shared" si="13"/>
        <v>72000</v>
      </c>
      <c r="AB62" s="77">
        <f t="shared" si="13"/>
        <v>1700000</v>
      </c>
      <c r="AC62" s="77">
        <f t="shared" si="13"/>
        <v>67000</v>
      </c>
      <c r="AD62" s="77">
        <f t="shared" si="13"/>
        <v>0</v>
      </c>
      <c r="AE62" s="77">
        <f t="shared" si="13"/>
        <v>760501</v>
      </c>
      <c r="AF62" s="77">
        <f t="shared" si="13"/>
        <v>88750</v>
      </c>
      <c r="AG62" s="77">
        <f t="shared" si="13"/>
        <v>138751</v>
      </c>
      <c r="AH62" s="77">
        <f t="shared" si="13"/>
        <v>333000</v>
      </c>
      <c r="AI62" s="77">
        <f t="shared" si="13"/>
        <v>200000</v>
      </c>
      <c r="AJ62" s="77">
        <f t="shared" si="13"/>
        <v>3398128004.3000002</v>
      </c>
      <c r="AK62" s="77">
        <f t="shared" si="13"/>
        <v>3398028004.3000002</v>
      </c>
      <c r="AL62" s="77">
        <f t="shared" si="13"/>
        <v>100000</v>
      </c>
      <c r="AM62" s="77">
        <f t="shared" si="13"/>
        <v>100000</v>
      </c>
      <c r="AN62" s="77">
        <f t="shared" si="13"/>
        <v>0</v>
      </c>
      <c r="AO62" s="77">
        <f t="shared" si="13"/>
        <v>0</v>
      </c>
      <c r="AQ62" s="64"/>
      <c r="AR62" s="64"/>
    </row>
    <row r="63" spans="1:44" x14ac:dyDescent="0.25">
      <c r="A63" s="75" t="s">
        <v>93</v>
      </c>
      <c r="B63" s="81" t="s">
        <v>94</v>
      </c>
      <c r="C63" s="75">
        <f t="shared" ref="C63:C72" si="14">SUM(D63+Y63+AE63+AJ63)</f>
        <v>6300000</v>
      </c>
      <c r="D63" s="75">
        <f t="shared" ref="D63:D72" si="15">SUM(E63:X63)</f>
        <v>2200000</v>
      </c>
      <c r="E63" s="75">
        <v>0</v>
      </c>
      <c r="F63" s="75">
        <v>0</v>
      </c>
      <c r="G63" s="75">
        <v>0</v>
      </c>
      <c r="H63" s="75">
        <v>0</v>
      </c>
      <c r="I63" s="75">
        <v>0</v>
      </c>
      <c r="J63" s="75">
        <v>0</v>
      </c>
      <c r="K63" s="75">
        <v>0</v>
      </c>
      <c r="L63" s="75">
        <v>0</v>
      </c>
      <c r="M63" s="75">
        <v>0</v>
      </c>
      <c r="N63" s="75">
        <v>0</v>
      </c>
      <c r="O63" s="75">
        <v>0</v>
      </c>
      <c r="P63" s="75">
        <v>0</v>
      </c>
      <c r="Q63" s="75">
        <v>0</v>
      </c>
      <c r="R63" s="75">
        <v>100000</v>
      </c>
      <c r="S63" s="75">
        <v>0</v>
      </c>
      <c r="T63" s="75">
        <v>0</v>
      </c>
      <c r="U63" s="75">
        <v>0</v>
      </c>
      <c r="V63" s="75">
        <v>1500000</v>
      </c>
      <c r="W63" s="75">
        <v>0</v>
      </c>
      <c r="X63" s="75">
        <v>600000</v>
      </c>
      <c r="Y63" s="75">
        <f t="shared" ref="Y63:Y72" si="16">SUM(Z63:AD63)</f>
        <v>1000000</v>
      </c>
      <c r="Z63" s="75">
        <v>0</v>
      </c>
      <c r="AA63" s="75">
        <v>0</v>
      </c>
      <c r="AB63" s="75">
        <v>1000000</v>
      </c>
      <c r="AC63" s="75">
        <v>0</v>
      </c>
      <c r="AD63" s="75">
        <v>0</v>
      </c>
      <c r="AE63" s="75">
        <f t="shared" ref="AE63:AE72" si="17">SUM(AF63:AI63)</f>
        <v>0</v>
      </c>
      <c r="AF63" s="75">
        <v>0</v>
      </c>
      <c r="AG63" s="75">
        <v>0</v>
      </c>
      <c r="AH63" s="75">
        <v>0</v>
      </c>
      <c r="AI63" s="75">
        <v>0</v>
      </c>
      <c r="AJ63" s="75">
        <f t="shared" ref="AJ63:AJ72" si="18">SUM(AK63:AL63)</f>
        <v>3100000</v>
      </c>
      <c r="AK63" s="75">
        <f>3000000+[5]Matriz!$H$8-3000000</f>
        <v>3000000</v>
      </c>
      <c r="AL63" s="75">
        <f t="shared" ref="AL63:AL72" si="19">SUM(AM63:AO63)</f>
        <v>100000</v>
      </c>
      <c r="AM63" s="75">
        <v>100000</v>
      </c>
      <c r="AN63" s="75">
        <v>0</v>
      </c>
      <c r="AO63" s="75">
        <v>0</v>
      </c>
    </row>
    <row r="64" spans="1:44" x14ac:dyDescent="0.25">
      <c r="A64" s="75" t="s">
        <v>95</v>
      </c>
      <c r="B64" s="81" t="s">
        <v>96</v>
      </c>
      <c r="C64" s="75">
        <f t="shared" si="14"/>
        <v>650000000</v>
      </c>
      <c r="D64" s="75">
        <f t="shared" si="15"/>
        <v>100000000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100000000</v>
      </c>
      <c r="Y64" s="75">
        <f t="shared" si="16"/>
        <v>0</v>
      </c>
      <c r="Z64" s="75">
        <v>0</v>
      </c>
      <c r="AA64" s="75">
        <v>0</v>
      </c>
      <c r="AB64" s="75">
        <v>0</v>
      </c>
      <c r="AC64" s="75">
        <v>0</v>
      </c>
      <c r="AD64" s="75">
        <v>0</v>
      </c>
      <c r="AE64" s="75">
        <f t="shared" si="17"/>
        <v>0</v>
      </c>
      <c r="AF64" s="75">
        <v>0</v>
      </c>
      <c r="AG64" s="75">
        <v>0</v>
      </c>
      <c r="AH64" s="75">
        <v>0</v>
      </c>
      <c r="AI64" s="75">
        <v>0</v>
      </c>
      <c r="AJ64" s="75">
        <f t="shared" si="18"/>
        <v>550000000</v>
      </c>
      <c r="AK64" s="75">
        <f>+[5]Matriz!$H$9</f>
        <v>550000000</v>
      </c>
      <c r="AL64" s="75">
        <f t="shared" si="19"/>
        <v>0</v>
      </c>
      <c r="AM64" s="75">
        <v>0</v>
      </c>
      <c r="AN64" s="75">
        <v>0</v>
      </c>
      <c r="AO64" s="75">
        <v>0</v>
      </c>
    </row>
    <row r="65" spans="1:44" x14ac:dyDescent="0.25">
      <c r="A65" s="75" t="s">
        <v>97</v>
      </c>
      <c r="B65" s="81" t="s">
        <v>98</v>
      </c>
      <c r="C65" s="75">
        <f t="shared" si="14"/>
        <v>12454000</v>
      </c>
      <c r="D65" s="75">
        <f t="shared" si="15"/>
        <v>6965000</v>
      </c>
      <c r="E65" s="75">
        <v>50000</v>
      </c>
      <c r="F65" s="75">
        <v>0</v>
      </c>
      <c r="G65" s="75">
        <v>0</v>
      </c>
      <c r="H65" s="75">
        <v>0</v>
      </c>
      <c r="I65" s="75">
        <v>0</v>
      </c>
      <c r="J65" s="75">
        <v>0</v>
      </c>
      <c r="K65" s="75">
        <v>0</v>
      </c>
      <c r="L65" s="75">
        <v>0</v>
      </c>
      <c r="M65" s="75">
        <v>25000</v>
      </c>
      <c r="N65" s="75">
        <v>60000</v>
      </c>
      <c r="O65" s="75">
        <v>0</v>
      </c>
      <c r="P65" s="75">
        <v>0</v>
      </c>
      <c r="Q65" s="75">
        <v>0</v>
      </c>
      <c r="R65" s="75">
        <v>200000</v>
      </c>
      <c r="S65" s="75">
        <v>0</v>
      </c>
      <c r="T65" s="75">
        <v>100000</v>
      </c>
      <c r="U65" s="75">
        <f>30000+2000000</f>
        <v>2030000</v>
      </c>
      <c r="V65" s="75">
        <v>0</v>
      </c>
      <c r="W65" s="75">
        <v>1500000</v>
      </c>
      <c r="X65" s="75">
        <v>3000000</v>
      </c>
      <c r="Y65" s="75">
        <f t="shared" si="16"/>
        <v>939000</v>
      </c>
      <c r="Z65" s="75">
        <v>300000</v>
      </c>
      <c r="AA65" s="75">
        <v>72000</v>
      </c>
      <c r="AB65" s="75">
        <v>500000</v>
      </c>
      <c r="AC65" s="75">
        <v>67000</v>
      </c>
      <c r="AD65" s="75">
        <v>0</v>
      </c>
      <c r="AE65" s="75">
        <f t="shared" si="17"/>
        <v>550000</v>
      </c>
      <c r="AF65" s="75">
        <v>50000</v>
      </c>
      <c r="AG65" s="75">
        <v>100000</v>
      </c>
      <c r="AH65" s="75">
        <v>300000</v>
      </c>
      <c r="AI65" s="75">
        <v>100000</v>
      </c>
      <c r="AJ65" s="75">
        <f t="shared" si="18"/>
        <v>4000000</v>
      </c>
      <c r="AK65" s="75">
        <f>1000000+[5]Matriz!$H$10</f>
        <v>4000000</v>
      </c>
      <c r="AL65" s="75">
        <f t="shared" si="19"/>
        <v>0</v>
      </c>
      <c r="AM65" s="75">
        <v>0</v>
      </c>
      <c r="AN65" s="75">
        <v>0</v>
      </c>
      <c r="AO65" s="75">
        <v>0</v>
      </c>
    </row>
    <row r="66" spans="1:44" x14ac:dyDescent="0.25">
      <c r="A66" s="75" t="s">
        <v>99</v>
      </c>
      <c r="B66" s="81" t="s">
        <v>100</v>
      </c>
      <c r="C66" s="75">
        <f t="shared" si="14"/>
        <v>400000</v>
      </c>
      <c r="D66" s="75">
        <f t="shared" si="15"/>
        <v>400000</v>
      </c>
      <c r="E66" s="75">
        <v>0</v>
      </c>
      <c r="F66" s="75">
        <v>0</v>
      </c>
      <c r="G66" s="75">
        <v>0</v>
      </c>
      <c r="H66" s="75">
        <v>0</v>
      </c>
      <c r="I66" s="75">
        <v>0</v>
      </c>
      <c r="J66" s="75">
        <v>0</v>
      </c>
      <c r="K66" s="75">
        <v>0</v>
      </c>
      <c r="L66" s="75">
        <v>0</v>
      </c>
      <c r="M66" s="75">
        <v>0</v>
      </c>
      <c r="N66" s="75">
        <v>0</v>
      </c>
      <c r="O66" s="75">
        <v>400000</v>
      </c>
      <c r="P66" s="75">
        <v>0</v>
      </c>
      <c r="Q66" s="75">
        <v>0</v>
      </c>
      <c r="R66" s="75">
        <v>0</v>
      </c>
      <c r="S66" s="75">
        <v>0</v>
      </c>
      <c r="T66" s="75">
        <v>0</v>
      </c>
      <c r="U66" s="75">
        <v>0</v>
      </c>
      <c r="V66" s="75">
        <v>0</v>
      </c>
      <c r="W66" s="75">
        <v>0</v>
      </c>
      <c r="X66" s="75">
        <v>0</v>
      </c>
      <c r="Y66" s="75">
        <f t="shared" si="16"/>
        <v>0</v>
      </c>
      <c r="Z66" s="75">
        <v>0</v>
      </c>
      <c r="AA66" s="75">
        <v>0</v>
      </c>
      <c r="AB66" s="75">
        <v>0</v>
      </c>
      <c r="AC66" s="75">
        <v>0</v>
      </c>
      <c r="AD66" s="75">
        <v>0</v>
      </c>
      <c r="AE66" s="75">
        <f t="shared" si="17"/>
        <v>0</v>
      </c>
      <c r="AF66" s="75">
        <v>0</v>
      </c>
      <c r="AG66" s="75">
        <v>0</v>
      </c>
      <c r="AH66" s="75">
        <v>0</v>
      </c>
      <c r="AI66" s="75">
        <v>0</v>
      </c>
      <c r="AJ66" s="75">
        <f t="shared" si="18"/>
        <v>0</v>
      </c>
      <c r="AK66" s="75">
        <v>0</v>
      </c>
      <c r="AL66" s="75">
        <f t="shared" si="19"/>
        <v>0</v>
      </c>
      <c r="AM66" s="75">
        <v>0</v>
      </c>
      <c r="AN66" s="75">
        <v>0</v>
      </c>
      <c r="AO66" s="75">
        <v>0</v>
      </c>
    </row>
    <row r="67" spans="1:44" ht="26.4" x14ac:dyDescent="0.25">
      <c r="A67" s="75" t="s">
        <v>101</v>
      </c>
      <c r="B67" s="81" t="s">
        <v>102</v>
      </c>
      <c r="C67" s="75">
        <f t="shared" si="14"/>
        <v>590920000</v>
      </c>
      <c r="D67" s="75">
        <f t="shared" si="15"/>
        <v>8600000</v>
      </c>
      <c r="E67" s="75">
        <v>0</v>
      </c>
      <c r="F67" s="75">
        <v>0</v>
      </c>
      <c r="G67" s="75">
        <v>0</v>
      </c>
      <c r="H67" s="75">
        <v>0</v>
      </c>
      <c r="I67" s="75">
        <v>0</v>
      </c>
      <c r="J67" s="75">
        <v>0</v>
      </c>
      <c r="K67" s="75">
        <v>0</v>
      </c>
      <c r="L67" s="75">
        <v>0</v>
      </c>
      <c r="M67" s="75">
        <v>0</v>
      </c>
      <c r="N67" s="75">
        <v>0</v>
      </c>
      <c r="O67" s="75">
        <v>200000</v>
      </c>
      <c r="P67" s="75">
        <v>0</v>
      </c>
      <c r="Q67" s="75">
        <v>0</v>
      </c>
      <c r="R67" s="75">
        <v>0</v>
      </c>
      <c r="S67" s="75">
        <v>400000</v>
      </c>
      <c r="T67" s="75">
        <v>8000000</v>
      </c>
      <c r="U67" s="75">
        <v>0</v>
      </c>
      <c r="V67" s="75">
        <f>12430320-12430320</f>
        <v>0</v>
      </c>
      <c r="W67" s="75">
        <v>0</v>
      </c>
      <c r="X67" s="75">
        <v>0</v>
      </c>
      <c r="Y67" s="75">
        <f t="shared" si="16"/>
        <v>0</v>
      </c>
      <c r="Z67" s="75">
        <v>0</v>
      </c>
      <c r="AA67" s="75">
        <v>0</v>
      </c>
      <c r="AB67" s="75">
        <v>0</v>
      </c>
      <c r="AC67" s="75">
        <v>0</v>
      </c>
      <c r="AD67" s="75">
        <v>0</v>
      </c>
      <c r="AE67" s="75">
        <f t="shared" si="17"/>
        <v>0</v>
      </c>
      <c r="AF67" s="75">
        <v>0</v>
      </c>
      <c r="AG67" s="75">
        <v>0</v>
      </c>
      <c r="AH67" s="75">
        <v>0</v>
      </c>
      <c r="AI67" s="75">
        <v>0</v>
      </c>
      <c r="AJ67" s="75">
        <f t="shared" si="18"/>
        <v>582320000</v>
      </c>
      <c r="AK67" s="75">
        <f>356420000+225900000</f>
        <v>582320000</v>
      </c>
      <c r="AL67" s="75">
        <f t="shared" si="19"/>
        <v>0</v>
      </c>
      <c r="AM67" s="75">
        <v>0</v>
      </c>
      <c r="AN67" s="75">
        <v>0</v>
      </c>
      <c r="AO67" s="75">
        <v>0</v>
      </c>
    </row>
    <row r="68" spans="1:44" x14ac:dyDescent="0.25">
      <c r="A68" s="75" t="s">
        <v>103</v>
      </c>
      <c r="B68" s="87" t="s">
        <v>104</v>
      </c>
      <c r="C68" s="75">
        <f t="shared" si="14"/>
        <v>2246058004.3000002</v>
      </c>
      <c r="D68" s="75">
        <f t="shared" si="15"/>
        <v>0</v>
      </c>
      <c r="E68" s="75">
        <v>0</v>
      </c>
      <c r="F68" s="75">
        <v>0</v>
      </c>
      <c r="G68" s="75">
        <v>0</v>
      </c>
      <c r="H68" s="75">
        <v>0</v>
      </c>
      <c r="I68" s="75">
        <v>0</v>
      </c>
      <c r="J68" s="75">
        <v>0</v>
      </c>
      <c r="K68" s="75">
        <v>0</v>
      </c>
      <c r="L68" s="75">
        <v>0</v>
      </c>
      <c r="M68" s="75">
        <v>0</v>
      </c>
      <c r="N68" s="75">
        <v>0</v>
      </c>
      <c r="O68" s="75">
        <v>0</v>
      </c>
      <c r="P68" s="75">
        <v>0</v>
      </c>
      <c r="Q68" s="75">
        <v>0</v>
      </c>
      <c r="R68" s="75">
        <v>0</v>
      </c>
      <c r="S68" s="75">
        <v>0</v>
      </c>
      <c r="T68" s="75">
        <v>0</v>
      </c>
      <c r="U68" s="75">
        <v>0</v>
      </c>
      <c r="V68" s="75">
        <v>0</v>
      </c>
      <c r="W68" s="75">
        <v>0</v>
      </c>
      <c r="X68" s="75">
        <v>0</v>
      </c>
      <c r="Y68" s="75">
        <f t="shared" si="16"/>
        <v>0</v>
      </c>
      <c r="Z68" s="75">
        <v>0</v>
      </c>
      <c r="AA68" s="75">
        <v>0</v>
      </c>
      <c r="AB68" s="75">
        <v>0</v>
      </c>
      <c r="AC68" s="75">
        <v>0</v>
      </c>
      <c r="AD68" s="75">
        <v>0</v>
      </c>
      <c r="AE68" s="75">
        <f t="shared" si="17"/>
        <v>0</v>
      </c>
      <c r="AF68" s="75">
        <v>0</v>
      </c>
      <c r="AG68" s="75">
        <v>0</v>
      </c>
      <c r="AH68" s="75">
        <v>0</v>
      </c>
      <c r="AI68" s="75">
        <v>0</v>
      </c>
      <c r="AJ68" s="75">
        <f t="shared" si="18"/>
        <v>2246058004.3000002</v>
      </c>
      <c r="AK68" s="75">
        <v>2246058004.3000002</v>
      </c>
      <c r="AL68" s="75">
        <f t="shared" si="19"/>
        <v>0</v>
      </c>
      <c r="AM68" s="75">
        <v>0</v>
      </c>
      <c r="AN68" s="75">
        <v>0</v>
      </c>
      <c r="AO68" s="75">
        <v>0</v>
      </c>
    </row>
    <row r="69" spans="1:44" x14ac:dyDescent="0.25">
      <c r="A69" s="75" t="s">
        <v>105</v>
      </c>
      <c r="B69" s="75" t="s">
        <v>106</v>
      </c>
      <c r="C69" s="75">
        <f t="shared" si="14"/>
        <v>0</v>
      </c>
      <c r="D69" s="75">
        <f t="shared" si="15"/>
        <v>0</v>
      </c>
      <c r="E69" s="75">
        <v>0</v>
      </c>
      <c r="F69" s="75">
        <v>0</v>
      </c>
      <c r="G69" s="75">
        <v>0</v>
      </c>
      <c r="H69" s="75">
        <v>0</v>
      </c>
      <c r="I69" s="75">
        <v>0</v>
      </c>
      <c r="J69" s="75">
        <v>0</v>
      </c>
      <c r="K69" s="75">
        <v>0</v>
      </c>
      <c r="L69" s="75">
        <v>0</v>
      </c>
      <c r="M69" s="75">
        <v>0</v>
      </c>
      <c r="N69" s="75">
        <f>100000-100000</f>
        <v>0</v>
      </c>
      <c r="O69" s="75">
        <v>0</v>
      </c>
      <c r="P69" s="75">
        <v>0</v>
      </c>
      <c r="Q69" s="75">
        <v>0</v>
      </c>
      <c r="R69" s="75">
        <v>0</v>
      </c>
      <c r="S69" s="75">
        <v>0</v>
      </c>
      <c r="T69" s="75">
        <v>0</v>
      </c>
      <c r="U69" s="75">
        <v>0</v>
      </c>
      <c r="V69" s="75">
        <v>0</v>
      </c>
      <c r="W69" s="75">
        <v>0</v>
      </c>
      <c r="X69" s="75">
        <v>0</v>
      </c>
      <c r="Y69" s="75">
        <f t="shared" si="16"/>
        <v>0</v>
      </c>
      <c r="Z69" s="75">
        <v>0</v>
      </c>
      <c r="AA69" s="75">
        <v>0</v>
      </c>
      <c r="AB69" s="75">
        <f>200000-200000</f>
        <v>0</v>
      </c>
      <c r="AC69" s="75">
        <v>0</v>
      </c>
      <c r="AD69" s="75">
        <v>0</v>
      </c>
      <c r="AE69" s="75">
        <f t="shared" si="17"/>
        <v>0</v>
      </c>
      <c r="AF69" s="75">
        <v>0</v>
      </c>
      <c r="AG69" s="75">
        <f>38750.74-38750.74</f>
        <v>0</v>
      </c>
      <c r="AH69" s="75">
        <v>0</v>
      </c>
      <c r="AI69" s="75">
        <f>100000-100000</f>
        <v>0</v>
      </c>
      <c r="AJ69" s="75">
        <f t="shared" si="18"/>
        <v>0</v>
      </c>
      <c r="AK69" s="75">
        <v>0</v>
      </c>
      <c r="AL69" s="75">
        <f t="shared" si="19"/>
        <v>0</v>
      </c>
      <c r="AM69" s="75">
        <v>0</v>
      </c>
      <c r="AN69" s="75">
        <v>0</v>
      </c>
      <c r="AO69" s="75">
        <v>0</v>
      </c>
    </row>
    <row r="70" spans="1:44" x14ac:dyDescent="0.25">
      <c r="A70" s="75" t="s">
        <v>107</v>
      </c>
      <c r="B70" s="81" t="s">
        <v>108</v>
      </c>
      <c r="C70" s="75">
        <f t="shared" si="14"/>
        <v>13436249</v>
      </c>
      <c r="D70" s="75">
        <f t="shared" si="15"/>
        <v>13025748</v>
      </c>
      <c r="E70" s="75">
        <v>0</v>
      </c>
      <c r="F70" s="75">
        <v>0</v>
      </c>
      <c r="G70" s="75">
        <v>0</v>
      </c>
      <c r="H70" s="75">
        <v>0</v>
      </c>
      <c r="I70" s="75">
        <v>0</v>
      </c>
      <c r="J70" s="75">
        <v>0</v>
      </c>
      <c r="K70" s="75">
        <v>0</v>
      </c>
      <c r="L70" s="75">
        <v>0</v>
      </c>
      <c r="M70" s="75">
        <v>0</v>
      </c>
      <c r="N70" s="75">
        <v>100000</v>
      </c>
      <c r="O70" s="75">
        <v>0</v>
      </c>
      <c r="P70" s="75">
        <v>0</v>
      </c>
      <c r="Q70" s="75">
        <v>0</v>
      </c>
      <c r="R70" s="75">
        <v>0</v>
      </c>
      <c r="S70" s="75">
        <v>0</v>
      </c>
      <c r="T70" s="75">
        <v>0</v>
      </c>
      <c r="U70" s="75">
        <v>0</v>
      </c>
      <c r="V70" s="75">
        <f>424428+71000+12430320</f>
        <v>12925748</v>
      </c>
      <c r="W70" s="75">
        <v>0</v>
      </c>
      <c r="X70" s="75">
        <v>0</v>
      </c>
      <c r="Y70" s="75">
        <f t="shared" si="16"/>
        <v>200000</v>
      </c>
      <c r="Z70" s="75">
        <v>0</v>
      </c>
      <c r="AA70" s="75">
        <v>0</v>
      </c>
      <c r="AB70" s="75">
        <v>200000</v>
      </c>
      <c r="AC70" s="75">
        <v>0</v>
      </c>
      <c r="AD70" s="75">
        <v>0</v>
      </c>
      <c r="AE70" s="75">
        <f t="shared" si="17"/>
        <v>210501</v>
      </c>
      <c r="AF70" s="75">
        <v>38750</v>
      </c>
      <c r="AG70" s="75">
        <v>38751</v>
      </c>
      <c r="AH70" s="75">
        <v>33000</v>
      </c>
      <c r="AI70" s="75">
        <v>100000</v>
      </c>
      <c r="AJ70" s="75">
        <f t="shared" si="18"/>
        <v>0</v>
      </c>
      <c r="AK70" s="75">
        <v>0</v>
      </c>
      <c r="AL70" s="75">
        <f t="shared" si="19"/>
        <v>0</v>
      </c>
      <c r="AM70" s="75">
        <v>0</v>
      </c>
      <c r="AN70" s="75">
        <v>0</v>
      </c>
      <c r="AO70" s="75">
        <v>0</v>
      </c>
    </row>
    <row r="71" spans="1:44" x14ac:dyDescent="0.25">
      <c r="A71" s="75" t="s">
        <v>109</v>
      </c>
      <c r="B71" s="81" t="s">
        <v>110</v>
      </c>
      <c r="C71" s="75">
        <f t="shared" si="14"/>
        <v>8500000</v>
      </c>
      <c r="D71" s="75">
        <f t="shared" si="15"/>
        <v>7225000</v>
      </c>
      <c r="E71" s="75">
        <v>0</v>
      </c>
      <c r="F71" s="75">
        <v>0</v>
      </c>
      <c r="G71" s="75">
        <v>0</v>
      </c>
      <c r="H71" s="75">
        <v>0</v>
      </c>
      <c r="I71" s="75">
        <f>8500000-1275000</f>
        <v>7225000</v>
      </c>
      <c r="J71" s="75">
        <v>0</v>
      </c>
      <c r="K71" s="75">
        <v>0</v>
      </c>
      <c r="L71" s="75">
        <v>0</v>
      </c>
      <c r="M71" s="75">
        <v>0</v>
      </c>
      <c r="N71" s="75">
        <v>0</v>
      </c>
      <c r="O71" s="75">
        <v>0</v>
      </c>
      <c r="P71" s="75">
        <v>0</v>
      </c>
      <c r="Q71" s="75">
        <v>0</v>
      </c>
      <c r="R71" s="75">
        <v>0</v>
      </c>
      <c r="S71" s="75">
        <v>0</v>
      </c>
      <c r="T71" s="75">
        <v>0</v>
      </c>
      <c r="U71" s="75">
        <v>0</v>
      </c>
      <c r="V71" s="75">
        <v>0</v>
      </c>
      <c r="W71" s="75">
        <v>0</v>
      </c>
      <c r="X71" s="75">
        <v>0</v>
      </c>
      <c r="Y71" s="75">
        <f t="shared" si="16"/>
        <v>0</v>
      </c>
      <c r="Z71" s="75">
        <v>0</v>
      </c>
      <c r="AA71" s="75">
        <v>0</v>
      </c>
      <c r="AB71" s="75">
        <v>0</v>
      </c>
      <c r="AC71" s="75">
        <v>0</v>
      </c>
      <c r="AD71" s="75">
        <v>0</v>
      </c>
      <c r="AE71" s="75">
        <f t="shared" si="17"/>
        <v>0</v>
      </c>
      <c r="AF71" s="75">
        <v>0</v>
      </c>
      <c r="AG71" s="75">
        <v>0</v>
      </c>
      <c r="AH71" s="75">
        <v>0</v>
      </c>
      <c r="AI71" s="75">
        <v>0</v>
      </c>
      <c r="AJ71" s="75">
        <f t="shared" si="18"/>
        <v>1275000</v>
      </c>
      <c r="AK71" s="75">
        <v>1275000</v>
      </c>
      <c r="AL71" s="75">
        <f t="shared" si="19"/>
        <v>0</v>
      </c>
      <c r="AM71" s="75">
        <v>0</v>
      </c>
      <c r="AN71" s="75">
        <v>0</v>
      </c>
      <c r="AO71" s="75">
        <v>0</v>
      </c>
    </row>
    <row r="72" spans="1:44" x14ac:dyDescent="0.25">
      <c r="A72" s="75" t="s">
        <v>111</v>
      </c>
      <c r="B72" s="81" t="s">
        <v>112</v>
      </c>
      <c r="C72" s="75">
        <f t="shared" si="14"/>
        <v>45500000</v>
      </c>
      <c r="D72" s="75">
        <f t="shared" si="15"/>
        <v>34125000</v>
      </c>
      <c r="E72" s="75">
        <v>0</v>
      </c>
      <c r="F72" s="75">
        <v>0</v>
      </c>
      <c r="G72" s="75">
        <v>0</v>
      </c>
      <c r="H72" s="75">
        <v>0</v>
      </c>
      <c r="I72" s="75">
        <f>45500000-11375000</f>
        <v>34125000</v>
      </c>
      <c r="J72" s="75">
        <v>0</v>
      </c>
      <c r="K72" s="75">
        <v>0</v>
      </c>
      <c r="L72" s="75">
        <v>0</v>
      </c>
      <c r="M72" s="75">
        <v>0</v>
      </c>
      <c r="N72" s="75">
        <v>0</v>
      </c>
      <c r="O72" s="75">
        <v>0</v>
      </c>
      <c r="P72" s="75">
        <v>0</v>
      </c>
      <c r="Q72" s="75">
        <v>0</v>
      </c>
      <c r="R72" s="75">
        <v>0</v>
      </c>
      <c r="S72" s="75">
        <v>0</v>
      </c>
      <c r="T72" s="75">
        <v>0</v>
      </c>
      <c r="U72" s="75">
        <v>0</v>
      </c>
      <c r="V72" s="75">
        <v>0</v>
      </c>
      <c r="W72" s="75">
        <v>0</v>
      </c>
      <c r="X72" s="75">
        <v>0</v>
      </c>
      <c r="Y72" s="75">
        <f t="shared" si="16"/>
        <v>0</v>
      </c>
      <c r="Z72" s="75">
        <v>0</v>
      </c>
      <c r="AA72" s="75">
        <v>0</v>
      </c>
      <c r="AB72" s="75">
        <v>0</v>
      </c>
      <c r="AC72" s="75">
        <v>0</v>
      </c>
      <c r="AD72" s="75">
        <v>0</v>
      </c>
      <c r="AE72" s="75">
        <f t="shared" si="17"/>
        <v>0</v>
      </c>
      <c r="AF72" s="75">
        <v>0</v>
      </c>
      <c r="AG72" s="75">
        <v>0</v>
      </c>
      <c r="AH72" s="75">
        <v>0</v>
      </c>
      <c r="AI72" s="75">
        <v>0</v>
      </c>
      <c r="AJ72" s="75">
        <f t="shared" si="18"/>
        <v>11375000</v>
      </c>
      <c r="AK72" s="75">
        <v>11375000</v>
      </c>
      <c r="AL72" s="75">
        <f t="shared" si="19"/>
        <v>0</v>
      </c>
      <c r="AM72" s="75">
        <v>0</v>
      </c>
      <c r="AN72" s="75">
        <v>0</v>
      </c>
      <c r="AO72" s="75">
        <v>0</v>
      </c>
    </row>
    <row r="73" spans="1:44" x14ac:dyDescent="0.25">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row>
    <row r="74" spans="1:44" s="78" customFormat="1" x14ac:dyDescent="0.25">
      <c r="A74" s="86" t="s">
        <v>113</v>
      </c>
      <c r="B74" s="82" t="s">
        <v>114</v>
      </c>
      <c r="C74" s="77">
        <f>SUM(C75+C77+C84+C96+C99+C100+C101)</f>
        <v>3960483195.46</v>
      </c>
      <c r="D74" s="77">
        <f t="shared" ref="D74:AO74" si="20">SUM(D75+D77+D84+D96+D99+D100+D101)</f>
        <v>993044588.46000004</v>
      </c>
      <c r="E74" s="77">
        <f t="shared" si="20"/>
        <v>0</v>
      </c>
      <c r="F74" s="77">
        <f t="shared" si="20"/>
        <v>103793226.46000001</v>
      </c>
      <c r="G74" s="77">
        <f t="shared" si="20"/>
        <v>4000000</v>
      </c>
      <c r="H74" s="77">
        <f t="shared" si="20"/>
        <v>5000000</v>
      </c>
      <c r="I74" s="77">
        <f t="shared" si="20"/>
        <v>35250000</v>
      </c>
      <c r="J74" s="77">
        <f t="shared" si="20"/>
        <v>0</v>
      </c>
      <c r="K74" s="77">
        <f t="shared" si="20"/>
        <v>5000000</v>
      </c>
      <c r="L74" s="77">
        <f t="shared" si="20"/>
        <v>60000000</v>
      </c>
      <c r="M74" s="77">
        <f t="shared" si="20"/>
        <v>20000000</v>
      </c>
      <c r="N74" s="77">
        <f t="shared" si="20"/>
        <v>17730000</v>
      </c>
      <c r="O74" s="77">
        <f t="shared" si="20"/>
        <v>515612500</v>
      </c>
      <c r="P74" s="77">
        <f t="shared" si="20"/>
        <v>15000000</v>
      </c>
      <c r="Q74" s="77">
        <f t="shared" si="20"/>
        <v>0</v>
      </c>
      <c r="R74" s="77">
        <f t="shared" si="20"/>
        <v>20000</v>
      </c>
      <c r="S74" s="77">
        <f t="shared" si="20"/>
        <v>152600000</v>
      </c>
      <c r="T74" s="77">
        <f t="shared" si="20"/>
        <v>0</v>
      </c>
      <c r="U74" s="77">
        <f t="shared" si="20"/>
        <v>4251000</v>
      </c>
      <c r="V74" s="77">
        <f t="shared" si="20"/>
        <v>0</v>
      </c>
      <c r="W74" s="77">
        <f t="shared" si="20"/>
        <v>2537862</v>
      </c>
      <c r="X74" s="77">
        <f t="shared" si="20"/>
        <v>52250000</v>
      </c>
      <c r="Y74" s="77">
        <f t="shared" si="20"/>
        <v>1830126139</v>
      </c>
      <c r="Z74" s="77">
        <f t="shared" si="20"/>
        <v>8000000</v>
      </c>
      <c r="AA74" s="77">
        <f t="shared" si="20"/>
        <v>500000</v>
      </c>
      <c r="AB74" s="77">
        <f t="shared" si="20"/>
        <v>1821246139</v>
      </c>
      <c r="AC74" s="77">
        <f t="shared" si="20"/>
        <v>250000</v>
      </c>
      <c r="AD74" s="77">
        <f t="shared" si="20"/>
        <v>130000</v>
      </c>
      <c r="AE74" s="77">
        <f t="shared" si="20"/>
        <v>222017968</v>
      </c>
      <c r="AF74" s="77">
        <f t="shared" si="20"/>
        <v>6000000</v>
      </c>
      <c r="AG74" s="77">
        <f t="shared" si="20"/>
        <v>164917968</v>
      </c>
      <c r="AH74" s="77">
        <f t="shared" si="20"/>
        <v>15100000</v>
      </c>
      <c r="AI74" s="77">
        <f t="shared" si="20"/>
        <v>36000000</v>
      </c>
      <c r="AJ74" s="77">
        <f t="shared" si="20"/>
        <v>915294500</v>
      </c>
      <c r="AK74" s="77">
        <f t="shared" si="20"/>
        <v>915294500</v>
      </c>
      <c r="AL74" s="77">
        <f t="shared" si="20"/>
        <v>0</v>
      </c>
      <c r="AM74" s="77">
        <f t="shared" si="20"/>
        <v>0</v>
      </c>
      <c r="AN74" s="77">
        <f t="shared" si="20"/>
        <v>0</v>
      </c>
      <c r="AO74" s="77">
        <f t="shared" si="20"/>
        <v>0</v>
      </c>
      <c r="AQ74" s="64"/>
      <c r="AR74" s="64"/>
    </row>
    <row r="75" spans="1:44" x14ac:dyDescent="0.25">
      <c r="A75" s="75" t="s">
        <v>115</v>
      </c>
      <c r="B75" s="87" t="s">
        <v>116</v>
      </c>
      <c r="C75" s="75">
        <f>SUM(D75+Y75+AE75+AJ75)</f>
        <v>200000</v>
      </c>
      <c r="D75" s="75">
        <f>SUM(E75:X75)</f>
        <v>200000</v>
      </c>
      <c r="E75" s="75">
        <v>0</v>
      </c>
      <c r="F75" s="75">
        <v>0</v>
      </c>
      <c r="G75" s="75">
        <v>0</v>
      </c>
      <c r="H75" s="75">
        <v>0</v>
      </c>
      <c r="I75" s="75">
        <v>0</v>
      </c>
      <c r="J75" s="75">
        <v>0</v>
      </c>
      <c r="K75" s="75">
        <v>0</v>
      </c>
      <c r="L75" s="75">
        <v>0</v>
      </c>
      <c r="M75" s="75">
        <v>0</v>
      </c>
      <c r="N75" s="75">
        <v>0</v>
      </c>
      <c r="O75" s="75">
        <v>200000</v>
      </c>
      <c r="P75" s="75">
        <v>0</v>
      </c>
      <c r="Q75" s="75">
        <v>0</v>
      </c>
      <c r="R75" s="75">
        <v>0</v>
      </c>
      <c r="S75" s="75">
        <v>0</v>
      </c>
      <c r="T75" s="75">
        <v>0</v>
      </c>
      <c r="U75" s="75">
        <v>0</v>
      </c>
      <c r="V75" s="75">
        <v>0</v>
      </c>
      <c r="W75" s="75">
        <v>0</v>
      </c>
      <c r="X75" s="75">
        <v>0</v>
      </c>
      <c r="Y75" s="75">
        <f>SUM(Z75:AD75)</f>
        <v>0</v>
      </c>
      <c r="Z75" s="75">
        <v>0</v>
      </c>
      <c r="AA75" s="75">
        <v>0</v>
      </c>
      <c r="AB75" s="75">
        <v>0</v>
      </c>
      <c r="AC75" s="75">
        <v>0</v>
      </c>
      <c r="AD75" s="75">
        <v>0</v>
      </c>
      <c r="AE75" s="75">
        <f>SUM(AF75:AI75)</f>
        <v>0</v>
      </c>
      <c r="AF75" s="75">
        <v>0</v>
      </c>
      <c r="AG75" s="75">
        <v>0</v>
      </c>
      <c r="AH75" s="75">
        <v>0</v>
      </c>
      <c r="AI75" s="75">
        <v>0</v>
      </c>
      <c r="AJ75" s="75">
        <f>SUM(AK75:AL75)</f>
        <v>0</v>
      </c>
      <c r="AK75" s="75">
        <v>0</v>
      </c>
      <c r="AL75" s="75">
        <f>SUM(AM75:AO75)</f>
        <v>0</v>
      </c>
      <c r="AM75" s="75">
        <v>0</v>
      </c>
      <c r="AN75" s="75">
        <v>0</v>
      </c>
      <c r="AO75" s="75">
        <v>0</v>
      </c>
    </row>
    <row r="76" spans="1:44" x14ac:dyDescent="0.25">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row>
    <row r="77" spans="1:44" s="78" customFormat="1" x14ac:dyDescent="0.25">
      <c r="A77" s="86" t="s">
        <v>117</v>
      </c>
      <c r="B77" s="82" t="s">
        <v>118</v>
      </c>
      <c r="C77" s="77">
        <f>SUM(C78:C82)</f>
        <v>641256912.5</v>
      </c>
      <c r="D77" s="77">
        <f t="shared" ref="D77:AO77" si="21">SUM(D78:D82)</f>
        <v>218302462.5</v>
      </c>
      <c r="E77" s="77">
        <f t="shared" si="21"/>
        <v>0</v>
      </c>
      <c r="F77" s="77">
        <f t="shared" si="21"/>
        <v>32302462.5</v>
      </c>
      <c r="G77" s="77">
        <f t="shared" si="21"/>
        <v>4000000</v>
      </c>
      <c r="H77" s="77">
        <f t="shared" si="21"/>
        <v>5000000</v>
      </c>
      <c r="I77" s="77">
        <f t="shared" si="21"/>
        <v>0</v>
      </c>
      <c r="J77" s="77">
        <f t="shared" si="21"/>
        <v>0</v>
      </c>
      <c r="K77" s="77">
        <f t="shared" si="21"/>
        <v>5000000</v>
      </c>
      <c r="L77" s="77">
        <f t="shared" si="21"/>
        <v>0</v>
      </c>
      <c r="M77" s="77">
        <f t="shared" si="21"/>
        <v>20000000</v>
      </c>
      <c r="N77" s="77">
        <f t="shared" si="21"/>
        <v>0</v>
      </c>
      <c r="O77" s="77">
        <f t="shared" si="21"/>
        <v>0</v>
      </c>
      <c r="P77" s="77">
        <f t="shared" si="21"/>
        <v>0</v>
      </c>
      <c r="Q77" s="77">
        <f t="shared" si="21"/>
        <v>0</v>
      </c>
      <c r="R77" s="77">
        <f t="shared" si="21"/>
        <v>0</v>
      </c>
      <c r="S77" s="77">
        <f t="shared" si="21"/>
        <v>152000000</v>
      </c>
      <c r="T77" s="77">
        <f t="shared" si="21"/>
        <v>0</v>
      </c>
      <c r="U77" s="77">
        <f t="shared" si="21"/>
        <v>0</v>
      </c>
      <c r="V77" s="77">
        <f t="shared" si="21"/>
        <v>0</v>
      </c>
      <c r="W77" s="77">
        <f t="shared" si="21"/>
        <v>0</v>
      </c>
      <c r="X77" s="77">
        <f t="shared" si="21"/>
        <v>0</v>
      </c>
      <c r="Y77" s="77">
        <f t="shared" si="21"/>
        <v>8000000</v>
      </c>
      <c r="Z77" s="77">
        <f t="shared" si="21"/>
        <v>8000000</v>
      </c>
      <c r="AA77" s="77">
        <f t="shared" si="21"/>
        <v>0</v>
      </c>
      <c r="AB77" s="77">
        <f t="shared" si="21"/>
        <v>0</v>
      </c>
      <c r="AC77" s="77">
        <f t="shared" si="21"/>
        <v>0</v>
      </c>
      <c r="AD77" s="77">
        <f t="shared" si="21"/>
        <v>0</v>
      </c>
      <c r="AE77" s="77">
        <f t="shared" si="21"/>
        <v>34954450</v>
      </c>
      <c r="AF77" s="77">
        <f t="shared" si="21"/>
        <v>0</v>
      </c>
      <c r="AG77" s="77">
        <f t="shared" si="21"/>
        <v>23954450</v>
      </c>
      <c r="AH77" s="77">
        <f t="shared" si="21"/>
        <v>8000000</v>
      </c>
      <c r="AI77" s="77">
        <f t="shared" si="21"/>
        <v>3000000</v>
      </c>
      <c r="AJ77" s="77">
        <f t="shared" si="21"/>
        <v>380000000</v>
      </c>
      <c r="AK77" s="77">
        <f t="shared" si="21"/>
        <v>380000000</v>
      </c>
      <c r="AL77" s="77">
        <f t="shared" si="21"/>
        <v>0</v>
      </c>
      <c r="AM77" s="77">
        <f t="shared" si="21"/>
        <v>0</v>
      </c>
      <c r="AN77" s="77">
        <f t="shared" si="21"/>
        <v>0</v>
      </c>
      <c r="AO77" s="77">
        <f t="shared" si="21"/>
        <v>0</v>
      </c>
      <c r="AQ77" s="64"/>
      <c r="AR77" s="64"/>
    </row>
    <row r="78" spans="1:44" x14ac:dyDescent="0.25">
      <c r="A78" s="75" t="s">
        <v>119</v>
      </c>
      <c r="B78" s="87" t="s">
        <v>120</v>
      </c>
      <c r="C78" s="75">
        <f>SUM(D78+Y78+AE78+AJ78)</f>
        <v>77802462.5</v>
      </c>
      <c r="D78" s="75">
        <f>SUM(E78:X78)</f>
        <v>66302462.5</v>
      </c>
      <c r="E78" s="75">
        <v>0</v>
      </c>
      <c r="F78" s="75">
        <v>32302462.5</v>
      </c>
      <c r="G78" s="75">
        <v>4000000</v>
      </c>
      <c r="H78" s="75">
        <v>5000000</v>
      </c>
      <c r="I78" s="75">
        <v>0</v>
      </c>
      <c r="J78" s="75">
        <v>0</v>
      </c>
      <c r="K78" s="75">
        <v>5000000</v>
      </c>
      <c r="L78" s="75">
        <v>0</v>
      </c>
      <c r="M78" s="75">
        <v>20000000</v>
      </c>
      <c r="N78" s="75">
        <v>0</v>
      </c>
      <c r="O78" s="75">
        <v>0</v>
      </c>
      <c r="P78" s="75">
        <v>0</v>
      </c>
      <c r="Q78" s="75">
        <v>0</v>
      </c>
      <c r="R78" s="75">
        <v>0</v>
      </c>
      <c r="S78" s="75">
        <v>0</v>
      </c>
      <c r="T78" s="75">
        <v>0</v>
      </c>
      <c r="U78" s="75">
        <v>0</v>
      </c>
      <c r="V78" s="75">
        <v>0</v>
      </c>
      <c r="W78" s="75">
        <v>0</v>
      </c>
      <c r="X78" s="75">
        <v>0</v>
      </c>
      <c r="Y78" s="75">
        <f>SUM(Z78:AD78)</f>
        <v>8000000</v>
      </c>
      <c r="Z78" s="75">
        <v>8000000</v>
      </c>
      <c r="AA78" s="75">
        <v>0</v>
      </c>
      <c r="AB78" s="75">
        <v>0</v>
      </c>
      <c r="AC78" s="75">
        <v>0</v>
      </c>
      <c r="AD78" s="75">
        <v>0</v>
      </c>
      <c r="AE78" s="75">
        <f>SUM(AF78:AI78)</f>
        <v>3500000</v>
      </c>
      <c r="AF78" s="75">
        <v>0</v>
      </c>
      <c r="AG78" s="75">
        <v>3500000</v>
      </c>
      <c r="AH78" s="75">
        <v>0</v>
      </c>
      <c r="AI78" s="75">
        <v>0</v>
      </c>
      <c r="AJ78" s="75">
        <f>SUM(AK78:AL78)</f>
        <v>0</v>
      </c>
      <c r="AK78" s="75">
        <v>0</v>
      </c>
      <c r="AL78" s="75">
        <f>SUM(AM78:AO78)</f>
        <v>0</v>
      </c>
      <c r="AM78" s="75">
        <v>0</v>
      </c>
      <c r="AN78" s="75">
        <v>0</v>
      </c>
      <c r="AO78" s="75">
        <v>0</v>
      </c>
    </row>
    <row r="79" spans="1:44" x14ac:dyDescent="0.25">
      <c r="A79" s="75" t="s">
        <v>121</v>
      </c>
      <c r="B79" s="87" t="s">
        <v>122</v>
      </c>
      <c r="C79" s="75">
        <f>SUM(D79+Y79+AE79+AJ79)</f>
        <v>9500000</v>
      </c>
      <c r="D79" s="75">
        <f>SUM(E79:X79)</f>
        <v>0</v>
      </c>
      <c r="E79" s="75">
        <v>0</v>
      </c>
      <c r="F79" s="75">
        <v>0</v>
      </c>
      <c r="G79" s="75">
        <v>0</v>
      </c>
      <c r="H79" s="75">
        <v>0</v>
      </c>
      <c r="I79" s="75">
        <v>0</v>
      </c>
      <c r="J79" s="75">
        <v>0</v>
      </c>
      <c r="K79" s="75">
        <v>0</v>
      </c>
      <c r="L79" s="75">
        <v>0</v>
      </c>
      <c r="M79" s="75">
        <v>0</v>
      </c>
      <c r="N79" s="75">
        <v>0</v>
      </c>
      <c r="O79" s="75">
        <v>0</v>
      </c>
      <c r="P79" s="75">
        <v>0</v>
      </c>
      <c r="Q79" s="75">
        <v>0</v>
      </c>
      <c r="R79" s="75">
        <v>0</v>
      </c>
      <c r="S79" s="75">
        <v>0</v>
      </c>
      <c r="T79" s="75">
        <v>0</v>
      </c>
      <c r="U79" s="75">
        <v>0</v>
      </c>
      <c r="V79" s="75">
        <v>0</v>
      </c>
      <c r="W79" s="75">
        <v>0</v>
      </c>
      <c r="X79" s="75">
        <v>0</v>
      </c>
      <c r="Y79" s="75">
        <f>SUM(Z79:AD79)</f>
        <v>0</v>
      </c>
      <c r="Z79" s="75">
        <v>0</v>
      </c>
      <c r="AA79" s="75">
        <v>0</v>
      </c>
      <c r="AB79" s="75">
        <v>0</v>
      </c>
      <c r="AC79" s="75">
        <v>0</v>
      </c>
      <c r="AD79" s="75">
        <v>0</v>
      </c>
      <c r="AE79" s="75">
        <f>SUM(AF79:AI79)</f>
        <v>9500000</v>
      </c>
      <c r="AF79" s="75">
        <v>0</v>
      </c>
      <c r="AG79" s="75">
        <v>1500000</v>
      </c>
      <c r="AH79" s="75">
        <v>8000000</v>
      </c>
      <c r="AI79" s="75">
        <v>0</v>
      </c>
      <c r="AJ79" s="75">
        <f>SUM(AK79:AL79)</f>
        <v>0</v>
      </c>
      <c r="AK79" s="75">
        <v>0</v>
      </c>
      <c r="AL79" s="75">
        <f>SUM(AM79:AO79)</f>
        <v>0</v>
      </c>
      <c r="AM79" s="75">
        <v>0</v>
      </c>
      <c r="AN79" s="75">
        <v>0</v>
      </c>
      <c r="AO79" s="75">
        <v>0</v>
      </c>
    </row>
    <row r="80" spans="1:44" x14ac:dyDescent="0.25">
      <c r="A80" s="75" t="s">
        <v>123</v>
      </c>
      <c r="B80" s="87" t="s">
        <v>124</v>
      </c>
      <c r="C80" s="75">
        <f>SUM(D80+Y80+AE80+AJ80)</f>
        <v>18954450</v>
      </c>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f>SUM(AF80:AI80)</f>
        <v>18954450</v>
      </c>
      <c r="AF80" s="75"/>
      <c r="AG80" s="75">
        <f>12360229+3900000+2694221</f>
        <v>18954450</v>
      </c>
      <c r="AH80" s="75"/>
      <c r="AI80" s="75"/>
      <c r="AJ80" s="75"/>
      <c r="AK80" s="75"/>
      <c r="AL80" s="75"/>
      <c r="AM80" s="75"/>
      <c r="AN80" s="75"/>
      <c r="AO80" s="75"/>
    </row>
    <row r="81" spans="1:44" x14ac:dyDescent="0.25">
      <c r="A81" s="75" t="s">
        <v>125</v>
      </c>
      <c r="B81" s="75" t="s">
        <v>126</v>
      </c>
      <c r="C81" s="75">
        <f>SUM(D81+Y81+AE81+AJ81)</f>
        <v>532000000</v>
      </c>
      <c r="D81" s="75">
        <f>SUM(E81:X81)</f>
        <v>152000000</v>
      </c>
      <c r="E81" s="75">
        <v>0</v>
      </c>
      <c r="F81" s="75">
        <v>0</v>
      </c>
      <c r="G81" s="75">
        <v>0</v>
      </c>
      <c r="H81" s="75">
        <v>0</v>
      </c>
      <c r="I81" s="75">
        <v>0</v>
      </c>
      <c r="J81" s="75">
        <v>0</v>
      </c>
      <c r="K81" s="75">
        <v>0</v>
      </c>
      <c r="L81" s="75">
        <v>0</v>
      </c>
      <c r="M81" s="75">
        <v>0</v>
      </c>
      <c r="N81" s="75">
        <v>0</v>
      </c>
      <c r="O81" s="75">
        <v>0</v>
      </c>
      <c r="P81" s="75">
        <v>0</v>
      </c>
      <c r="Q81" s="75">
        <v>0</v>
      </c>
      <c r="R81" s="75">
        <v>0</v>
      </c>
      <c r="S81" s="75">
        <v>152000000</v>
      </c>
      <c r="T81" s="75">
        <v>0</v>
      </c>
      <c r="U81" s="75">
        <v>0</v>
      </c>
      <c r="V81" s="75">
        <v>0</v>
      </c>
      <c r="W81" s="75">
        <v>0</v>
      </c>
      <c r="X81" s="75">
        <v>0</v>
      </c>
      <c r="Y81" s="75">
        <f>SUM(Z81:AD81)</f>
        <v>0</v>
      </c>
      <c r="Z81" s="75">
        <v>0</v>
      </c>
      <c r="AA81" s="75">
        <v>0</v>
      </c>
      <c r="AB81" s="75">
        <v>0</v>
      </c>
      <c r="AC81" s="75">
        <v>0</v>
      </c>
      <c r="AD81" s="75">
        <v>0</v>
      </c>
      <c r="AE81" s="75">
        <f>SUM(AF81:AI81)</f>
        <v>0</v>
      </c>
      <c r="AF81" s="75">
        <v>0</v>
      </c>
      <c r="AG81" s="75">
        <v>0</v>
      </c>
      <c r="AH81" s="75">
        <v>0</v>
      </c>
      <c r="AI81" s="75">
        <v>0</v>
      </c>
      <c r="AJ81" s="75">
        <f>SUM(AK81:AL81)</f>
        <v>380000000</v>
      </c>
      <c r="AK81" s="75">
        <v>380000000</v>
      </c>
      <c r="AL81" s="75">
        <f>SUM(AM81:AO81)</f>
        <v>0</v>
      </c>
      <c r="AM81" s="75">
        <v>0</v>
      </c>
      <c r="AN81" s="75">
        <v>0</v>
      </c>
      <c r="AO81" s="75">
        <v>0</v>
      </c>
    </row>
    <row r="82" spans="1:44" x14ac:dyDescent="0.25">
      <c r="A82" s="75" t="s">
        <v>127</v>
      </c>
      <c r="B82" s="75" t="s">
        <v>128</v>
      </c>
      <c r="C82" s="75">
        <f>SUM(D82+Y82+AE82+AJ82)</f>
        <v>3000000</v>
      </c>
      <c r="D82" s="75">
        <f>SUM(E82:X82)</f>
        <v>0</v>
      </c>
      <c r="E82" s="75">
        <v>0</v>
      </c>
      <c r="F82" s="75">
        <v>0</v>
      </c>
      <c r="G82" s="75">
        <v>0</v>
      </c>
      <c r="H82" s="75">
        <v>0</v>
      </c>
      <c r="I82" s="75">
        <v>0</v>
      </c>
      <c r="J82" s="75">
        <v>0</v>
      </c>
      <c r="K82" s="75">
        <v>0</v>
      </c>
      <c r="L82" s="75">
        <v>0</v>
      </c>
      <c r="M82" s="75">
        <v>0</v>
      </c>
      <c r="N82" s="75">
        <v>0</v>
      </c>
      <c r="O82" s="75">
        <v>0</v>
      </c>
      <c r="P82" s="75">
        <v>0</v>
      </c>
      <c r="Q82" s="75">
        <v>0</v>
      </c>
      <c r="R82" s="75">
        <v>0</v>
      </c>
      <c r="S82" s="75">
        <v>0</v>
      </c>
      <c r="T82" s="75">
        <v>0</v>
      </c>
      <c r="U82" s="75">
        <v>0</v>
      </c>
      <c r="V82" s="75">
        <v>0</v>
      </c>
      <c r="W82" s="75">
        <v>0</v>
      </c>
      <c r="X82" s="75">
        <v>0</v>
      </c>
      <c r="Y82" s="75">
        <f>SUM(Z82:AD82)</f>
        <v>0</v>
      </c>
      <c r="Z82" s="75">
        <v>0</v>
      </c>
      <c r="AA82" s="75">
        <v>0</v>
      </c>
      <c r="AB82" s="75">
        <v>0</v>
      </c>
      <c r="AC82" s="75">
        <v>0</v>
      </c>
      <c r="AD82" s="75">
        <v>0</v>
      </c>
      <c r="AE82" s="75">
        <f>SUM(AF82:AI82)</f>
        <v>3000000</v>
      </c>
      <c r="AF82" s="75">
        <v>0</v>
      </c>
      <c r="AG82" s="75">
        <v>0</v>
      </c>
      <c r="AH82" s="75">
        <v>0</v>
      </c>
      <c r="AI82" s="75">
        <v>3000000</v>
      </c>
      <c r="AJ82" s="75">
        <f>SUM(AK82:AL82)</f>
        <v>0</v>
      </c>
      <c r="AK82" s="75">
        <v>0</v>
      </c>
      <c r="AL82" s="75">
        <f>SUM(AM82:AO82)</f>
        <v>0</v>
      </c>
      <c r="AM82" s="75">
        <v>0</v>
      </c>
      <c r="AN82" s="75">
        <v>0</v>
      </c>
      <c r="AO82" s="75">
        <v>0</v>
      </c>
    </row>
    <row r="83" spans="1:44" x14ac:dyDescent="0.25">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row>
    <row r="84" spans="1:44" s="78" customFormat="1" x14ac:dyDescent="0.25">
      <c r="A84" s="86" t="s">
        <v>129</v>
      </c>
      <c r="B84" s="82" t="s">
        <v>130</v>
      </c>
      <c r="C84" s="77">
        <f>SUM(C85:C94)</f>
        <v>1997049787</v>
      </c>
      <c r="D84" s="77">
        <f t="shared" ref="D84:AO84" si="22">SUM(D85:D94)</f>
        <v>97340130</v>
      </c>
      <c r="E84" s="77">
        <f t="shared" si="22"/>
        <v>0</v>
      </c>
      <c r="F84" s="77">
        <f t="shared" si="22"/>
        <v>0</v>
      </c>
      <c r="G84" s="77">
        <f t="shared" si="22"/>
        <v>0</v>
      </c>
      <c r="H84" s="77">
        <f t="shared" si="22"/>
        <v>0</v>
      </c>
      <c r="I84" s="77">
        <f t="shared" si="22"/>
        <v>0</v>
      </c>
      <c r="J84" s="77">
        <f t="shared" si="22"/>
        <v>0</v>
      </c>
      <c r="K84" s="77">
        <f t="shared" si="22"/>
        <v>0</v>
      </c>
      <c r="L84" s="77">
        <f t="shared" si="22"/>
        <v>0</v>
      </c>
      <c r="M84" s="77">
        <f t="shared" si="22"/>
        <v>0</v>
      </c>
      <c r="N84" s="77">
        <f t="shared" si="22"/>
        <v>0</v>
      </c>
      <c r="O84" s="77">
        <f t="shared" si="22"/>
        <v>97000000</v>
      </c>
      <c r="P84" s="77">
        <f t="shared" si="22"/>
        <v>0</v>
      </c>
      <c r="Q84" s="77">
        <f t="shared" si="22"/>
        <v>0</v>
      </c>
      <c r="R84" s="77">
        <f t="shared" si="22"/>
        <v>0</v>
      </c>
      <c r="S84" s="77">
        <f t="shared" si="22"/>
        <v>0</v>
      </c>
      <c r="T84" s="77">
        <f t="shared" si="22"/>
        <v>0</v>
      </c>
      <c r="U84" s="77">
        <f t="shared" si="22"/>
        <v>0</v>
      </c>
      <c r="V84" s="77">
        <f t="shared" si="22"/>
        <v>0</v>
      </c>
      <c r="W84" s="77">
        <f t="shared" si="22"/>
        <v>340130</v>
      </c>
      <c r="X84" s="77">
        <f t="shared" si="22"/>
        <v>0</v>
      </c>
      <c r="Y84" s="77">
        <f t="shared" si="22"/>
        <v>1821246139</v>
      </c>
      <c r="Z84" s="77">
        <f t="shared" si="22"/>
        <v>0</v>
      </c>
      <c r="AA84" s="77">
        <f t="shared" si="22"/>
        <v>0</v>
      </c>
      <c r="AB84" s="77">
        <f t="shared" si="22"/>
        <v>1821246139</v>
      </c>
      <c r="AC84" s="77">
        <f t="shared" si="22"/>
        <v>0</v>
      </c>
      <c r="AD84" s="77">
        <f t="shared" si="22"/>
        <v>0</v>
      </c>
      <c r="AE84" s="77">
        <f t="shared" si="22"/>
        <v>78463518</v>
      </c>
      <c r="AF84" s="77">
        <f t="shared" si="22"/>
        <v>0</v>
      </c>
      <c r="AG84" s="77">
        <f t="shared" si="22"/>
        <v>39463518</v>
      </c>
      <c r="AH84" s="77">
        <f t="shared" si="22"/>
        <v>7000000</v>
      </c>
      <c r="AI84" s="77">
        <f t="shared" si="22"/>
        <v>32000000</v>
      </c>
      <c r="AJ84" s="77">
        <f t="shared" si="22"/>
        <v>0</v>
      </c>
      <c r="AK84" s="77">
        <f t="shared" si="22"/>
        <v>0</v>
      </c>
      <c r="AL84" s="77">
        <f t="shared" si="22"/>
        <v>0</v>
      </c>
      <c r="AM84" s="77">
        <f t="shared" si="22"/>
        <v>0</v>
      </c>
      <c r="AN84" s="77">
        <f t="shared" si="22"/>
        <v>0</v>
      </c>
      <c r="AO84" s="77">
        <f t="shared" si="22"/>
        <v>0</v>
      </c>
      <c r="AQ84" s="64"/>
      <c r="AR84" s="64"/>
    </row>
    <row r="85" spans="1:44" x14ac:dyDescent="0.25">
      <c r="A85" s="75" t="s">
        <v>131</v>
      </c>
      <c r="B85" s="87" t="s">
        <v>132</v>
      </c>
      <c r="C85" s="75">
        <f t="shared" ref="C85:C94" si="23">SUM(D85+Y85+AE85+AJ85)</f>
        <v>99340130</v>
      </c>
      <c r="D85" s="75">
        <f t="shared" ref="D85:D94" si="24">SUM(E85:X85)</f>
        <v>97340130</v>
      </c>
      <c r="E85" s="75">
        <v>0</v>
      </c>
      <c r="F85" s="75">
        <v>0</v>
      </c>
      <c r="G85" s="75">
        <v>0</v>
      </c>
      <c r="H85" s="75">
        <v>0</v>
      </c>
      <c r="I85" s="75">
        <v>0</v>
      </c>
      <c r="J85" s="75">
        <v>0</v>
      </c>
      <c r="K85" s="75">
        <v>0</v>
      </c>
      <c r="L85" s="75">
        <v>0</v>
      </c>
      <c r="M85" s="75">
        <v>0</v>
      </c>
      <c r="N85" s="75">
        <v>0</v>
      </c>
      <c r="O85" s="75">
        <v>97000000</v>
      </c>
      <c r="P85" s="75">
        <v>0</v>
      </c>
      <c r="Q85" s="75">
        <v>0</v>
      </c>
      <c r="R85" s="75">
        <v>0</v>
      </c>
      <c r="S85" s="75">
        <v>0</v>
      </c>
      <c r="T85" s="75">
        <v>0</v>
      </c>
      <c r="U85" s="75">
        <v>0</v>
      </c>
      <c r="V85" s="75">
        <v>0</v>
      </c>
      <c r="W85" s="75">
        <v>340130</v>
      </c>
      <c r="X85" s="75">
        <v>0</v>
      </c>
      <c r="Y85" s="75">
        <f t="shared" ref="Y85:Y94" si="25">SUM(Z85:AD85)</f>
        <v>0</v>
      </c>
      <c r="Z85" s="75">
        <v>0</v>
      </c>
      <c r="AA85" s="75">
        <v>0</v>
      </c>
      <c r="AB85" s="75">
        <v>0</v>
      </c>
      <c r="AC85" s="75">
        <v>0</v>
      </c>
      <c r="AD85" s="75">
        <v>0</v>
      </c>
      <c r="AE85" s="75">
        <f t="shared" ref="AE85:AE94" si="26">SUM(AF85:AI85)</f>
        <v>2000000</v>
      </c>
      <c r="AF85" s="75">
        <v>0</v>
      </c>
      <c r="AG85" s="75">
        <v>0</v>
      </c>
      <c r="AH85" s="75">
        <v>0</v>
      </c>
      <c r="AI85" s="75">
        <v>2000000</v>
      </c>
      <c r="AJ85" s="75">
        <f t="shared" ref="AJ85:AJ94" si="27">SUM(AK85:AL85)</f>
        <v>0</v>
      </c>
      <c r="AK85" s="75">
        <v>0</v>
      </c>
      <c r="AL85" s="75">
        <f t="shared" ref="AL85:AL94" si="28">SUM(AM85:AO85)</f>
        <v>0</v>
      </c>
      <c r="AM85" s="75">
        <v>0</v>
      </c>
      <c r="AN85" s="75">
        <v>0</v>
      </c>
      <c r="AO85" s="75">
        <v>0</v>
      </c>
    </row>
    <row r="86" spans="1:44" x14ac:dyDescent="0.25">
      <c r="A86" s="75" t="s">
        <v>133</v>
      </c>
      <c r="B86" s="87" t="s">
        <v>134</v>
      </c>
      <c r="C86" s="75">
        <f t="shared" si="23"/>
        <v>7000000</v>
      </c>
      <c r="D86" s="75">
        <f t="shared" si="24"/>
        <v>0</v>
      </c>
      <c r="E86" s="75">
        <v>0</v>
      </c>
      <c r="F86" s="75">
        <v>0</v>
      </c>
      <c r="G86" s="75">
        <v>0</v>
      </c>
      <c r="H86" s="75">
        <v>0</v>
      </c>
      <c r="I86" s="75">
        <v>0</v>
      </c>
      <c r="J86" s="75">
        <v>0</v>
      </c>
      <c r="K86" s="75">
        <v>0</v>
      </c>
      <c r="L86" s="75">
        <v>0</v>
      </c>
      <c r="M86" s="75">
        <v>0</v>
      </c>
      <c r="N86" s="75">
        <v>0</v>
      </c>
      <c r="O86" s="75">
        <v>0</v>
      </c>
      <c r="P86" s="75">
        <v>0</v>
      </c>
      <c r="Q86" s="75">
        <v>0</v>
      </c>
      <c r="R86" s="75">
        <v>0</v>
      </c>
      <c r="S86" s="75">
        <v>0</v>
      </c>
      <c r="T86" s="75">
        <v>0</v>
      </c>
      <c r="U86" s="75">
        <v>0</v>
      </c>
      <c r="V86" s="75">
        <v>0</v>
      </c>
      <c r="W86" s="75">
        <v>0</v>
      </c>
      <c r="X86" s="75">
        <v>0</v>
      </c>
      <c r="Y86" s="75">
        <f t="shared" si="25"/>
        <v>0</v>
      </c>
      <c r="Z86" s="75">
        <v>0</v>
      </c>
      <c r="AA86" s="75">
        <v>0</v>
      </c>
      <c r="AB86" s="75">
        <v>0</v>
      </c>
      <c r="AC86" s="75">
        <v>0</v>
      </c>
      <c r="AD86" s="75">
        <v>0</v>
      </c>
      <c r="AE86" s="75">
        <f t="shared" si="26"/>
        <v>7000000</v>
      </c>
      <c r="AF86" s="75">
        <v>0</v>
      </c>
      <c r="AG86" s="75">
        <v>0</v>
      </c>
      <c r="AH86" s="75">
        <v>7000000</v>
      </c>
      <c r="AI86" s="75">
        <v>0</v>
      </c>
      <c r="AJ86" s="75">
        <f t="shared" si="27"/>
        <v>0</v>
      </c>
      <c r="AK86" s="75">
        <v>0</v>
      </c>
      <c r="AL86" s="75">
        <f t="shared" si="28"/>
        <v>0</v>
      </c>
      <c r="AM86" s="75">
        <v>0</v>
      </c>
      <c r="AN86" s="75">
        <v>0</v>
      </c>
      <c r="AO86" s="75">
        <v>0</v>
      </c>
    </row>
    <row r="87" spans="1:44" x14ac:dyDescent="0.25">
      <c r="A87" s="88" t="s">
        <v>135</v>
      </c>
      <c r="B87" s="87" t="s">
        <v>136</v>
      </c>
      <c r="C87" s="75">
        <f t="shared" si="23"/>
        <v>6978565</v>
      </c>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f t="shared" si="26"/>
        <v>6978565</v>
      </c>
      <c r="AF87" s="75"/>
      <c r="AG87" s="75">
        <f>1725000+4753565+500000</f>
        <v>6978565</v>
      </c>
      <c r="AH87" s="75"/>
      <c r="AI87" s="75"/>
      <c r="AJ87" s="75"/>
      <c r="AK87" s="75"/>
      <c r="AL87" s="75"/>
      <c r="AM87" s="75"/>
      <c r="AN87" s="75"/>
      <c r="AO87" s="75"/>
    </row>
    <row r="88" spans="1:44" x14ac:dyDescent="0.25">
      <c r="A88" s="75" t="s">
        <v>137</v>
      </c>
      <c r="B88" s="87" t="s">
        <v>138</v>
      </c>
      <c r="C88" s="75">
        <f t="shared" si="23"/>
        <v>56246139</v>
      </c>
      <c r="D88" s="75">
        <f t="shared" si="24"/>
        <v>0</v>
      </c>
      <c r="E88" s="75">
        <v>0</v>
      </c>
      <c r="F88" s="75">
        <v>0</v>
      </c>
      <c r="G88" s="75">
        <v>0</v>
      </c>
      <c r="H88" s="75">
        <v>0</v>
      </c>
      <c r="I88" s="75">
        <v>0</v>
      </c>
      <c r="J88" s="75">
        <v>0</v>
      </c>
      <c r="K88" s="75">
        <v>0</v>
      </c>
      <c r="L88" s="75">
        <v>0</v>
      </c>
      <c r="M88" s="75">
        <v>0</v>
      </c>
      <c r="N88" s="75">
        <v>0</v>
      </c>
      <c r="O88" s="75">
        <v>0</v>
      </c>
      <c r="P88" s="75">
        <v>0</v>
      </c>
      <c r="Q88" s="75">
        <v>0</v>
      </c>
      <c r="R88" s="75">
        <v>0</v>
      </c>
      <c r="S88" s="75">
        <v>0</v>
      </c>
      <c r="T88" s="75">
        <v>0</v>
      </c>
      <c r="U88" s="75">
        <v>0</v>
      </c>
      <c r="V88" s="75">
        <v>0</v>
      </c>
      <c r="W88" s="75">
        <v>0</v>
      </c>
      <c r="X88" s="75">
        <v>0</v>
      </c>
      <c r="Y88" s="75">
        <f t="shared" si="25"/>
        <v>56246139</v>
      </c>
      <c r="Z88" s="75">
        <v>0</v>
      </c>
      <c r="AA88" s="75">
        <v>0</v>
      </c>
      <c r="AB88" s="75">
        <v>56246139</v>
      </c>
      <c r="AC88" s="75">
        <v>0</v>
      </c>
      <c r="AD88" s="75">
        <v>0</v>
      </c>
      <c r="AE88" s="75">
        <f t="shared" si="26"/>
        <v>0</v>
      </c>
      <c r="AF88" s="75">
        <v>0</v>
      </c>
      <c r="AG88" s="75"/>
      <c r="AH88" s="75">
        <v>0</v>
      </c>
      <c r="AI88" s="75">
        <v>0</v>
      </c>
      <c r="AJ88" s="75">
        <f t="shared" si="27"/>
        <v>0</v>
      </c>
      <c r="AK88" s="75">
        <v>0</v>
      </c>
      <c r="AL88" s="75">
        <f t="shared" si="28"/>
        <v>0</v>
      </c>
      <c r="AM88" s="75">
        <v>0</v>
      </c>
      <c r="AN88" s="75">
        <v>0</v>
      </c>
      <c r="AO88" s="75">
        <v>0</v>
      </c>
    </row>
    <row r="89" spans="1:44" x14ac:dyDescent="0.25">
      <c r="A89" s="75" t="s">
        <v>139</v>
      </c>
      <c r="B89" s="87" t="s">
        <v>140</v>
      </c>
      <c r="C89" s="75">
        <f t="shared" si="23"/>
        <v>490000000</v>
      </c>
      <c r="D89" s="75">
        <f t="shared" si="24"/>
        <v>0</v>
      </c>
      <c r="E89" s="75">
        <v>0</v>
      </c>
      <c r="F89" s="75">
        <v>0</v>
      </c>
      <c r="G89" s="75">
        <v>0</v>
      </c>
      <c r="H89" s="75">
        <v>0</v>
      </c>
      <c r="I89" s="75">
        <v>0</v>
      </c>
      <c r="J89" s="75">
        <v>0</v>
      </c>
      <c r="K89" s="75">
        <v>0</v>
      </c>
      <c r="L89" s="75">
        <v>0</v>
      </c>
      <c r="M89" s="75">
        <v>0</v>
      </c>
      <c r="N89" s="75">
        <v>0</v>
      </c>
      <c r="O89" s="75">
        <v>0</v>
      </c>
      <c r="P89" s="75">
        <v>0</v>
      </c>
      <c r="Q89" s="75">
        <v>0</v>
      </c>
      <c r="R89" s="75">
        <v>0</v>
      </c>
      <c r="S89" s="75">
        <v>0</v>
      </c>
      <c r="T89" s="75">
        <v>0</v>
      </c>
      <c r="U89" s="75">
        <v>0</v>
      </c>
      <c r="V89" s="75">
        <v>0</v>
      </c>
      <c r="W89" s="75">
        <v>0</v>
      </c>
      <c r="X89" s="75">
        <v>0</v>
      </c>
      <c r="Y89" s="75">
        <f t="shared" si="25"/>
        <v>490000000</v>
      </c>
      <c r="Z89" s="75">
        <v>0</v>
      </c>
      <c r="AA89" s="75">
        <v>0</v>
      </c>
      <c r="AB89" s="75">
        <v>490000000</v>
      </c>
      <c r="AC89" s="75">
        <v>0</v>
      </c>
      <c r="AD89" s="75">
        <v>0</v>
      </c>
      <c r="AE89" s="75">
        <f t="shared" si="26"/>
        <v>0</v>
      </c>
      <c r="AF89" s="75">
        <v>0</v>
      </c>
      <c r="AG89" s="75">
        <v>0</v>
      </c>
      <c r="AH89" s="75">
        <v>0</v>
      </c>
      <c r="AI89" s="75">
        <v>0</v>
      </c>
      <c r="AJ89" s="75">
        <f t="shared" si="27"/>
        <v>0</v>
      </c>
      <c r="AK89" s="75">
        <v>0</v>
      </c>
      <c r="AL89" s="75">
        <f t="shared" si="28"/>
        <v>0</v>
      </c>
      <c r="AM89" s="75">
        <v>0</v>
      </c>
      <c r="AN89" s="75">
        <v>0</v>
      </c>
      <c r="AO89" s="75">
        <v>0</v>
      </c>
    </row>
    <row r="90" spans="1:44" x14ac:dyDescent="0.25">
      <c r="A90" s="89" t="s">
        <v>141</v>
      </c>
      <c r="B90" s="87" t="s">
        <v>142</v>
      </c>
      <c r="C90" s="75">
        <f t="shared" si="23"/>
        <v>32484953</v>
      </c>
      <c r="D90" s="75">
        <f t="shared" si="24"/>
        <v>0</v>
      </c>
      <c r="E90" s="75">
        <v>0</v>
      </c>
      <c r="F90" s="75">
        <v>0</v>
      </c>
      <c r="G90" s="75">
        <v>0</v>
      </c>
      <c r="H90" s="75">
        <v>0</v>
      </c>
      <c r="I90" s="75">
        <v>0</v>
      </c>
      <c r="J90" s="75">
        <v>0</v>
      </c>
      <c r="K90" s="75">
        <v>0</v>
      </c>
      <c r="L90" s="75">
        <v>0</v>
      </c>
      <c r="M90" s="75">
        <v>0</v>
      </c>
      <c r="N90" s="75">
        <v>0</v>
      </c>
      <c r="O90" s="75">
        <v>0</v>
      </c>
      <c r="P90" s="75">
        <v>0</v>
      </c>
      <c r="Q90" s="75">
        <v>0</v>
      </c>
      <c r="R90" s="75">
        <v>0</v>
      </c>
      <c r="S90" s="75">
        <v>0</v>
      </c>
      <c r="T90" s="75">
        <v>0</v>
      </c>
      <c r="U90" s="75">
        <v>0</v>
      </c>
      <c r="V90" s="75">
        <v>0</v>
      </c>
      <c r="W90" s="75">
        <v>0</v>
      </c>
      <c r="X90" s="75">
        <v>0</v>
      </c>
      <c r="Y90" s="75">
        <f t="shared" si="25"/>
        <v>0</v>
      </c>
      <c r="Z90" s="75">
        <v>0</v>
      </c>
      <c r="AA90" s="75">
        <v>0</v>
      </c>
      <c r="AB90" s="75"/>
      <c r="AC90" s="75">
        <v>0</v>
      </c>
      <c r="AD90" s="75">
        <v>0</v>
      </c>
      <c r="AE90" s="75">
        <f t="shared" si="26"/>
        <v>32484953</v>
      </c>
      <c r="AF90" s="75"/>
      <c r="AG90" s="75">
        <v>32484953</v>
      </c>
      <c r="AH90" s="75">
        <v>0</v>
      </c>
      <c r="AI90" s="75">
        <v>0</v>
      </c>
      <c r="AJ90" s="75">
        <f t="shared" si="27"/>
        <v>0</v>
      </c>
      <c r="AK90" s="75">
        <v>0</v>
      </c>
      <c r="AL90" s="75">
        <f t="shared" si="28"/>
        <v>0</v>
      </c>
      <c r="AM90" s="75">
        <v>0</v>
      </c>
      <c r="AN90" s="75">
        <v>0</v>
      </c>
      <c r="AO90" s="75">
        <v>0</v>
      </c>
    </row>
    <row r="91" spans="1:44" x14ac:dyDescent="0.25">
      <c r="A91" s="75" t="s">
        <v>143</v>
      </c>
      <c r="B91" s="75" t="s">
        <v>144</v>
      </c>
      <c r="C91" s="75">
        <f t="shared" si="23"/>
        <v>30000000</v>
      </c>
      <c r="D91" s="75">
        <f t="shared" si="24"/>
        <v>0</v>
      </c>
      <c r="E91" s="75">
        <v>0</v>
      </c>
      <c r="F91" s="75">
        <v>0</v>
      </c>
      <c r="G91" s="75">
        <v>0</v>
      </c>
      <c r="H91" s="75">
        <v>0</v>
      </c>
      <c r="I91" s="75">
        <v>0</v>
      </c>
      <c r="J91" s="75">
        <v>0</v>
      </c>
      <c r="K91" s="75">
        <v>0</v>
      </c>
      <c r="L91" s="75">
        <v>0</v>
      </c>
      <c r="M91" s="75">
        <v>0</v>
      </c>
      <c r="N91" s="75">
        <v>0</v>
      </c>
      <c r="O91" s="75">
        <v>0</v>
      </c>
      <c r="P91" s="75">
        <v>0</v>
      </c>
      <c r="Q91" s="75">
        <v>0</v>
      </c>
      <c r="R91" s="75">
        <v>0</v>
      </c>
      <c r="S91" s="75">
        <v>0</v>
      </c>
      <c r="T91" s="75">
        <v>0</v>
      </c>
      <c r="U91" s="75">
        <v>0</v>
      </c>
      <c r="V91" s="75">
        <v>0</v>
      </c>
      <c r="W91" s="75">
        <v>0</v>
      </c>
      <c r="X91" s="75">
        <v>0</v>
      </c>
      <c r="Y91" s="75">
        <f t="shared" si="25"/>
        <v>0</v>
      </c>
      <c r="Z91" s="75">
        <v>0</v>
      </c>
      <c r="AA91" s="75">
        <v>0</v>
      </c>
      <c r="AB91" s="75">
        <v>0</v>
      </c>
      <c r="AC91" s="75">
        <v>0</v>
      </c>
      <c r="AD91" s="75">
        <v>0</v>
      </c>
      <c r="AE91" s="75">
        <f t="shared" si="26"/>
        <v>30000000</v>
      </c>
      <c r="AF91" s="75">
        <v>0</v>
      </c>
      <c r="AG91" s="75">
        <v>0</v>
      </c>
      <c r="AH91" s="75">
        <v>0</v>
      </c>
      <c r="AI91" s="75">
        <v>30000000</v>
      </c>
      <c r="AJ91" s="75">
        <f t="shared" si="27"/>
        <v>0</v>
      </c>
      <c r="AK91" s="75">
        <v>0</v>
      </c>
      <c r="AL91" s="75">
        <f t="shared" si="28"/>
        <v>0</v>
      </c>
      <c r="AM91" s="75">
        <v>0</v>
      </c>
      <c r="AN91" s="75">
        <v>0</v>
      </c>
      <c r="AO91" s="75">
        <v>0</v>
      </c>
    </row>
    <row r="92" spans="1:44" x14ac:dyDescent="0.25">
      <c r="A92" s="75" t="s">
        <v>145</v>
      </c>
      <c r="B92" s="75" t="s">
        <v>146</v>
      </c>
      <c r="C92" s="75">
        <f t="shared" si="23"/>
        <v>500000000</v>
      </c>
      <c r="D92" s="75">
        <f t="shared" si="24"/>
        <v>0</v>
      </c>
      <c r="E92" s="75">
        <v>0</v>
      </c>
      <c r="F92" s="75">
        <v>0</v>
      </c>
      <c r="G92" s="75">
        <v>0</v>
      </c>
      <c r="H92" s="75">
        <v>0</v>
      </c>
      <c r="I92" s="75">
        <v>0</v>
      </c>
      <c r="J92" s="75">
        <v>0</v>
      </c>
      <c r="K92" s="75">
        <v>0</v>
      </c>
      <c r="L92" s="75">
        <v>0</v>
      </c>
      <c r="M92" s="75">
        <v>0</v>
      </c>
      <c r="N92" s="75">
        <v>0</v>
      </c>
      <c r="O92" s="75">
        <v>0</v>
      </c>
      <c r="P92" s="75">
        <v>0</v>
      </c>
      <c r="Q92" s="75">
        <v>0</v>
      </c>
      <c r="R92" s="75">
        <v>0</v>
      </c>
      <c r="S92" s="75">
        <v>0</v>
      </c>
      <c r="T92" s="75">
        <v>0</v>
      </c>
      <c r="U92" s="75">
        <v>0</v>
      </c>
      <c r="V92" s="75">
        <v>0</v>
      </c>
      <c r="W92" s="75">
        <v>0</v>
      </c>
      <c r="X92" s="75">
        <v>0</v>
      </c>
      <c r="Y92" s="75">
        <f t="shared" si="25"/>
        <v>500000000</v>
      </c>
      <c r="Z92" s="75">
        <v>0</v>
      </c>
      <c r="AA92" s="75">
        <v>0</v>
      </c>
      <c r="AB92" s="75">
        <v>500000000</v>
      </c>
      <c r="AC92" s="75">
        <v>0</v>
      </c>
      <c r="AD92" s="75">
        <v>0</v>
      </c>
      <c r="AE92" s="75">
        <f t="shared" si="26"/>
        <v>0</v>
      </c>
      <c r="AF92" s="75">
        <v>0</v>
      </c>
      <c r="AG92" s="75">
        <v>0</v>
      </c>
      <c r="AH92" s="75">
        <v>0</v>
      </c>
      <c r="AI92" s="75">
        <v>0</v>
      </c>
      <c r="AJ92" s="75">
        <f t="shared" si="27"/>
        <v>0</v>
      </c>
      <c r="AK92" s="75">
        <v>0</v>
      </c>
      <c r="AL92" s="75">
        <f t="shared" si="28"/>
        <v>0</v>
      </c>
      <c r="AM92" s="75">
        <v>0</v>
      </c>
      <c r="AN92" s="75">
        <v>0</v>
      </c>
      <c r="AO92" s="75">
        <v>0</v>
      </c>
    </row>
    <row r="93" spans="1:44" x14ac:dyDescent="0.25">
      <c r="A93" s="75" t="s">
        <v>147</v>
      </c>
      <c r="B93" s="75" t="s">
        <v>148</v>
      </c>
      <c r="C93" s="75">
        <f t="shared" si="23"/>
        <v>425000000</v>
      </c>
      <c r="D93" s="75">
        <f t="shared" si="24"/>
        <v>0</v>
      </c>
      <c r="E93" s="75">
        <v>0</v>
      </c>
      <c r="F93" s="75">
        <v>0</v>
      </c>
      <c r="G93" s="75">
        <v>0</v>
      </c>
      <c r="H93" s="75">
        <v>0</v>
      </c>
      <c r="I93" s="75">
        <v>0</v>
      </c>
      <c r="J93" s="75">
        <v>0</v>
      </c>
      <c r="K93" s="75">
        <v>0</v>
      </c>
      <c r="L93" s="75">
        <v>0</v>
      </c>
      <c r="M93" s="75">
        <v>0</v>
      </c>
      <c r="N93" s="75">
        <v>0</v>
      </c>
      <c r="O93" s="75">
        <v>0</v>
      </c>
      <c r="P93" s="75">
        <v>0</v>
      </c>
      <c r="Q93" s="75">
        <v>0</v>
      </c>
      <c r="R93" s="75">
        <v>0</v>
      </c>
      <c r="S93" s="75">
        <v>0</v>
      </c>
      <c r="T93" s="75">
        <v>0</v>
      </c>
      <c r="U93" s="75">
        <v>0</v>
      </c>
      <c r="V93" s="75">
        <v>0</v>
      </c>
      <c r="W93" s="75">
        <v>0</v>
      </c>
      <c r="X93" s="75">
        <v>0</v>
      </c>
      <c r="Y93" s="75">
        <f t="shared" si="25"/>
        <v>425000000</v>
      </c>
      <c r="Z93" s="75">
        <v>0</v>
      </c>
      <c r="AA93" s="75">
        <v>0</v>
      </c>
      <c r="AB93" s="75">
        <f>500000000-75000000</f>
        <v>425000000</v>
      </c>
      <c r="AC93" s="75">
        <v>0</v>
      </c>
      <c r="AD93" s="75">
        <v>0</v>
      </c>
      <c r="AE93" s="75">
        <f t="shared" si="26"/>
        <v>0</v>
      </c>
      <c r="AF93" s="75">
        <v>0</v>
      </c>
      <c r="AG93" s="75">
        <v>0</v>
      </c>
      <c r="AH93" s="75">
        <v>0</v>
      </c>
      <c r="AI93" s="75">
        <v>0</v>
      </c>
      <c r="AJ93" s="75">
        <f t="shared" si="27"/>
        <v>0</v>
      </c>
      <c r="AK93" s="75">
        <v>0</v>
      </c>
      <c r="AL93" s="75">
        <f t="shared" si="28"/>
        <v>0</v>
      </c>
      <c r="AM93" s="75">
        <v>0</v>
      </c>
      <c r="AN93" s="75">
        <v>0</v>
      </c>
      <c r="AO93" s="75">
        <v>0</v>
      </c>
    </row>
    <row r="94" spans="1:44" x14ac:dyDescent="0.25">
      <c r="A94" s="75" t="s">
        <v>149</v>
      </c>
      <c r="B94" s="75" t="s">
        <v>150</v>
      </c>
      <c r="C94" s="75">
        <f t="shared" si="23"/>
        <v>350000000</v>
      </c>
      <c r="D94" s="75">
        <f t="shared" si="24"/>
        <v>0</v>
      </c>
      <c r="E94" s="75">
        <v>0</v>
      </c>
      <c r="F94" s="75">
        <v>0</v>
      </c>
      <c r="G94" s="75">
        <v>0</v>
      </c>
      <c r="H94" s="75">
        <v>0</v>
      </c>
      <c r="I94" s="75">
        <v>0</v>
      </c>
      <c r="J94" s="75">
        <v>0</v>
      </c>
      <c r="K94" s="75">
        <v>0</v>
      </c>
      <c r="L94" s="75">
        <v>0</v>
      </c>
      <c r="M94" s="75">
        <v>0</v>
      </c>
      <c r="N94" s="75">
        <v>0</v>
      </c>
      <c r="O94" s="75">
        <v>0</v>
      </c>
      <c r="P94" s="75">
        <v>0</v>
      </c>
      <c r="Q94" s="75">
        <v>0</v>
      </c>
      <c r="R94" s="75">
        <v>0</v>
      </c>
      <c r="S94" s="75">
        <v>0</v>
      </c>
      <c r="T94" s="75">
        <v>0</v>
      </c>
      <c r="U94" s="75">
        <v>0</v>
      </c>
      <c r="V94" s="75">
        <v>0</v>
      </c>
      <c r="W94" s="75">
        <v>0</v>
      </c>
      <c r="X94" s="75">
        <v>0</v>
      </c>
      <c r="Y94" s="75">
        <f t="shared" si="25"/>
        <v>350000000</v>
      </c>
      <c r="Z94" s="75">
        <v>0</v>
      </c>
      <c r="AA94" s="75">
        <v>0</v>
      </c>
      <c r="AB94" s="75">
        <f>500000000-150000000</f>
        <v>350000000</v>
      </c>
      <c r="AC94" s="75">
        <v>0</v>
      </c>
      <c r="AD94" s="75">
        <v>0</v>
      </c>
      <c r="AE94" s="75">
        <f t="shared" si="26"/>
        <v>0</v>
      </c>
      <c r="AF94" s="75">
        <v>0</v>
      </c>
      <c r="AG94" s="75">
        <v>0</v>
      </c>
      <c r="AH94" s="75">
        <v>0</v>
      </c>
      <c r="AI94" s="75">
        <v>0</v>
      </c>
      <c r="AJ94" s="75">
        <f t="shared" si="27"/>
        <v>0</v>
      </c>
      <c r="AK94" s="75">
        <v>0</v>
      </c>
      <c r="AL94" s="75">
        <f t="shared" si="28"/>
        <v>0</v>
      </c>
      <c r="AM94" s="75">
        <v>0</v>
      </c>
      <c r="AN94" s="75">
        <v>0</v>
      </c>
      <c r="AO94" s="75">
        <v>0</v>
      </c>
    </row>
    <row r="95" spans="1:44" x14ac:dyDescent="0.2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row>
    <row r="96" spans="1:44" s="78" customFormat="1" x14ac:dyDescent="0.25">
      <c r="A96" s="86" t="s">
        <v>151</v>
      </c>
      <c r="B96" s="76" t="s">
        <v>152</v>
      </c>
      <c r="C96" s="77">
        <f>SUM(C97)</f>
        <v>356150000</v>
      </c>
      <c r="D96" s="77">
        <f t="shared" ref="D96:AO96" si="29">SUM(D97)</f>
        <v>184580000</v>
      </c>
      <c r="E96" s="77">
        <f t="shared" si="29"/>
        <v>0</v>
      </c>
      <c r="F96" s="77">
        <f t="shared" si="29"/>
        <v>62150000</v>
      </c>
      <c r="G96" s="77">
        <f t="shared" si="29"/>
        <v>0</v>
      </c>
      <c r="H96" s="77">
        <f t="shared" si="29"/>
        <v>0</v>
      </c>
      <c r="I96" s="77">
        <f t="shared" si="29"/>
        <v>0</v>
      </c>
      <c r="J96" s="77">
        <f t="shared" si="29"/>
        <v>0</v>
      </c>
      <c r="K96" s="77">
        <f t="shared" si="29"/>
        <v>0</v>
      </c>
      <c r="L96" s="77">
        <f t="shared" si="29"/>
        <v>60000000</v>
      </c>
      <c r="M96" s="77">
        <f t="shared" si="29"/>
        <v>0</v>
      </c>
      <c r="N96" s="77">
        <f t="shared" si="29"/>
        <v>17430000</v>
      </c>
      <c r="O96" s="77">
        <f t="shared" si="29"/>
        <v>20000000</v>
      </c>
      <c r="P96" s="77">
        <f t="shared" si="29"/>
        <v>15000000</v>
      </c>
      <c r="Q96" s="77">
        <f t="shared" si="29"/>
        <v>0</v>
      </c>
      <c r="R96" s="77">
        <f t="shared" si="29"/>
        <v>0</v>
      </c>
      <c r="S96" s="77">
        <f t="shared" si="29"/>
        <v>0</v>
      </c>
      <c r="T96" s="77">
        <f t="shared" si="29"/>
        <v>0</v>
      </c>
      <c r="U96" s="77">
        <f t="shared" si="29"/>
        <v>0</v>
      </c>
      <c r="V96" s="77">
        <f t="shared" si="29"/>
        <v>0</v>
      </c>
      <c r="W96" s="77">
        <f t="shared" si="29"/>
        <v>0</v>
      </c>
      <c r="X96" s="77">
        <f t="shared" si="29"/>
        <v>10000000</v>
      </c>
      <c r="Y96" s="77">
        <f t="shared" si="29"/>
        <v>0</v>
      </c>
      <c r="Z96" s="77">
        <f t="shared" si="29"/>
        <v>0</v>
      </c>
      <c r="AA96" s="77">
        <f t="shared" si="29"/>
        <v>0</v>
      </c>
      <c r="AB96" s="77">
        <f t="shared" si="29"/>
        <v>0</v>
      </c>
      <c r="AC96" s="77">
        <f t="shared" si="29"/>
        <v>0</v>
      </c>
      <c r="AD96" s="77">
        <f t="shared" si="29"/>
        <v>0</v>
      </c>
      <c r="AE96" s="77">
        <f t="shared" si="29"/>
        <v>6000000</v>
      </c>
      <c r="AF96" s="77">
        <f t="shared" si="29"/>
        <v>6000000</v>
      </c>
      <c r="AG96" s="77">
        <f t="shared" si="29"/>
        <v>0</v>
      </c>
      <c r="AH96" s="77">
        <f t="shared" si="29"/>
        <v>0</v>
      </c>
      <c r="AI96" s="77">
        <f t="shared" si="29"/>
        <v>0</v>
      </c>
      <c r="AJ96" s="77">
        <f t="shared" si="29"/>
        <v>165570000</v>
      </c>
      <c r="AK96" s="77">
        <f t="shared" si="29"/>
        <v>165570000</v>
      </c>
      <c r="AL96" s="77">
        <f t="shared" si="29"/>
        <v>0</v>
      </c>
      <c r="AM96" s="77">
        <f t="shared" si="29"/>
        <v>0</v>
      </c>
      <c r="AN96" s="77">
        <f t="shared" si="29"/>
        <v>0</v>
      </c>
      <c r="AO96" s="77">
        <f t="shared" si="29"/>
        <v>0</v>
      </c>
      <c r="AQ96" s="64"/>
      <c r="AR96" s="64"/>
    </row>
    <row r="97" spans="1:44" x14ac:dyDescent="0.25">
      <c r="A97" s="75" t="s">
        <v>153</v>
      </c>
      <c r="B97" s="75" t="s">
        <v>154</v>
      </c>
      <c r="C97" s="75">
        <f>SUM(D97+Y97+AE97+AJ97)</f>
        <v>356150000</v>
      </c>
      <c r="D97" s="75">
        <f>SUM(E97:X97)</f>
        <v>184580000</v>
      </c>
      <c r="E97" s="75">
        <v>0</v>
      </c>
      <c r="F97" s="75">
        <f>24860000-24860000+62150000</f>
        <v>62150000</v>
      </c>
      <c r="G97" s="75">
        <v>0</v>
      </c>
      <c r="H97" s="75">
        <v>0</v>
      </c>
      <c r="I97" s="75">
        <v>0</v>
      </c>
      <c r="J97" s="75">
        <v>0</v>
      </c>
      <c r="K97" s="75">
        <v>0</v>
      </c>
      <c r="L97" s="75">
        <f>80000000-'[4]Costeo SAP'!P18</f>
        <v>60000000</v>
      </c>
      <c r="M97" s="75">
        <v>0</v>
      </c>
      <c r="N97" s="75">
        <f>83000000-'[4]Costeo SAP'!P17</f>
        <v>17430000</v>
      </c>
      <c r="O97" s="75">
        <v>20000000</v>
      </c>
      <c r="P97" s="75">
        <v>15000000</v>
      </c>
      <c r="Q97" s="75">
        <v>0</v>
      </c>
      <c r="R97" s="75">
        <v>0</v>
      </c>
      <c r="S97" s="75">
        <v>0</v>
      </c>
      <c r="T97" s="75">
        <v>0</v>
      </c>
      <c r="U97" s="75">
        <v>0</v>
      </c>
      <c r="V97" s="75">
        <v>0</v>
      </c>
      <c r="W97" s="75">
        <v>0</v>
      </c>
      <c r="X97" s="75">
        <v>10000000</v>
      </c>
      <c r="Y97" s="75">
        <f>SUM(Z97:AD97)</f>
        <v>0</v>
      </c>
      <c r="Z97" s="75">
        <v>0</v>
      </c>
      <c r="AA97" s="75">
        <v>0</v>
      </c>
      <c r="AB97" s="75">
        <v>0</v>
      </c>
      <c r="AC97" s="75">
        <v>0</v>
      </c>
      <c r="AD97" s="75">
        <v>0</v>
      </c>
      <c r="AE97" s="75">
        <f>SUM(AF97:AI97)</f>
        <v>6000000</v>
      </c>
      <c r="AF97" s="75">
        <v>6000000</v>
      </c>
      <c r="AG97" s="75">
        <v>0</v>
      </c>
      <c r="AH97" s="75">
        <v>0</v>
      </c>
      <c r="AI97" s="75">
        <v>0</v>
      </c>
      <c r="AJ97" s="75">
        <f>SUM(AK97:AL97)</f>
        <v>165570000</v>
      </c>
      <c r="AK97" s="75">
        <f>80000000+'[4]Costeo SAP'!P18+'[4]Costeo SAP'!P17</f>
        <v>165570000</v>
      </c>
      <c r="AL97" s="75">
        <f>SUM(AM97:AO97)</f>
        <v>0</v>
      </c>
      <c r="AM97" s="75">
        <v>0</v>
      </c>
      <c r="AN97" s="75">
        <v>0</v>
      </c>
      <c r="AO97" s="75">
        <v>0</v>
      </c>
    </row>
    <row r="98" spans="1:44" x14ac:dyDescent="0.25">
      <c r="A98" s="75"/>
      <c r="B98" s="75"/>
      <c r="C98" s="75"/>
      <c r="D98" s="75"/>
      <c r="E98" s="75"/>
      <c r="F98" s="75"/>
      <c r="G98" s="75"/>
      <c r="H98" s="75"/>
      <c r="I98" s="75"/>
      <c r="J98" s="75"/>
      <c r="K98" s="75"/>
      <c r="L98" s="75"/>
      <c r="M98" s="75"/>
      <c r="N98" s="75"/>
      <c r="O98" s="75"/>
      <c r="P98" s="75"/>
      <c r="Q98" s="75"/>
      <c r="R98" s="75"/>
      <c r="S98" s="75"/>
      <c r="T98" s="75"/>
      <c r="U98" s="75"/>
      <c r="V98" s="75"/>
      <c r="W98" s="75"/>
      <c r="X98" s="75"/>
      <c r="Y98" s="75">
        <f>SUM(Z98:AD98)</f>
        <v>0</v>
      </c>
      <c r="Z98" s="75"/>
      <c r="AA98" s="75"/>
      <c r="AB98" s="75"/>
      <c r="AC98" s="75"/>
      <c r="AD98" s="75"/>
      <c r="AE98" s="75">
        <f>SUM(AF98:AI98)</f>
        <v>0</v>
      </c>
      <c r="AF98" s="75"/>
      <c r="AG98" s="75"/>
      <c r="AH98" s="75"/>
      <c r="AI98" s="75"/>
      <c r="AJ98" s="75"/>
      <c r="AK98" s="75"/>
      <c r="AL98" s="75"/>
      <c r="AM98" s="75"/>
      <c r="AN98" s="75"/>
      <c r="AO98" s="75"/>
    </row>
    <row r="99" spans="1:44" x14ac:dyDescent="0.25">
      <c r="A99" s="75" t="s">
        <v>155</v>
      </c>
      <c r="B99" s="87" t="s">
        <v>156</v>
      </c>
      <c r="C99" s="75">
        <f>SUM(D99+Y99+AE99+AJ99)</f>
        <v>56340763.960000001</v>
      </c>
      <c r="D99" s="75">
        <f>SUM(E99:X99)</f>
        <v>44590763.960000001</v>
      </c>
      <c r="E99" s="75">
        <v>0</v>
      </c>
      <c r="F99" s="75">
        <v>9340763.9600000009</v>
      </c>
      <c r="G99" s="75">
        <v>0</v>
      </c>
      <c r="H99" s="75">
        <v>0</v>
      </c>
      <c r="I99" s="75">
        <f>47000000-'[4]Costeo SAP'!P19</f>
        <v>35250000</v>
      </c>
      <c r="J99" s="75">
        <v>0</v>
      </c>
      <c r="K99" s="75">
        <v>0</v>
      </c>
      <c r="L99" s="75">
        <v>0</v>
      </c>
      <c r="M99" s="75">
        <v>0</v>
      </c>
      <c r="N99" s="75">
        <v>0</v>
      </c>
      <c r="O99" s="75">
        <v>0</v>
      </c>
      <c r="P99" s="75">
        <v>0</v>
      </c>
      <c r="Q99" s="75">
        <v>0</v>
      </c>
      <c r="R99" s="75">
        <v>0</v>
      </c>
      <c r="S99" s="75">
        <v>0</v>
      </c>
      <c r="T99" s="75">
        <v>0</v>
      </c>
      <c r="U99" s="75">
        <v>0</v>
      </c>
      <c r="V99" s="75">
        <v>0</v>
      </c>
      <c r="W99" s="75">
        <v>0</v>
      </c>
      <c r="X99" s="75">
        <v>0</v>
      </c>
      <c r="Y99" s="75">
        <f>SUM(Z99:AD99)</f>
        <v>0</v>
      </c>
      <c r="Z99" s="75">
        <v>0</v>
      </c>
      <c r="AA99" s="75">
        <v>0</v>
      </c>
      <c r="AB99" s="75">
        <v>0</v>
      </c>
      <c r="AC99" s="75">
        <v>0</v>
      </c>
      <c r="AD99" s="75">
        <v>0</v>
      </c>
      <c r="AE99" s="75">
        <f>SUM(AF99:AI99)</f>
        <v>0</v>
      </c>
      <c r="AF99" s="75">
        <v>0</v>
      </c>
      <c r="AG99" s="75">
        <v>0</v>
      </c>
      <c r="AH99" s="75">
        <v>0</v>
      </c>
      <c r="AI99" s="75">
        <v>0</v>
      </c>
      <c r="AJ99" s="75">
        <f>SUM(AK99:AL99)</f>
        <v>11750000</v>
      </c>
      <c r="AK99" s="75">
        <f>+'[4]Costeo SAP'!P19</f>
        <v>11750000</v>
      </c>
      <c r="AL99" s="75">
        <f>SUM(AM99:AO99)</f>
        <v>0</v>
      </c>
      <c r="AM99" s="75">
        <v>0</v>
      </c>
      <c r="AN99" s="75">
        <v>0</v>
      </c>
      <c r="AO99" s="75">
        <v>0</v>
      </c>
    </row>
    <row r="100" spans="1:44" x14ac:dyDescent="0.25">
      <c r="A100" s="75" t="s">
        <v>157</v>
      </c>
      <c r="B100" s="87" t="s">
        <v>158</v>
      </c>
      <c r="C100" s="75">
        <f>SUM(D100+Y100+AE100+AJ100)</f>
        <v>461135732</v>
      </c>
      <c r="D100" s="75">
        <f>SUM(E100:X100)</f>
        <v>401768732</v>
      </c>
      <c r="E100" s="75">
        <v>0</v>
      </c>
      <c r="F100" s="75">
        <v>0</v>
      </c>
      <c r="G100" s="75">
        <v>0</v>
      </c>
      <c r="H100" s="75">
        <v>0</v>
      </c>
      <c r="I100" s="75">
        <v>0</v>
      </c>
      <c r="J100" s="75">
        <v>0</v>
      </c>
      <c r="K100" s="75">
        <v>0</v>
      </c>
      <c r="L100" s="75">
        <v>0</v>
      </c>
      <c r="M100" s="75">
        <v>0</v>
      </c>
      <c r="N100" s="75">
        <v>300000</v>
      </c>
      <c r="O100" s="75">
        <f>439500000-'[4]Costeo SAP'!P20</f>
        <v>392150000</v>
      </c>
      <c r="P100" s="75">
        <v>0</v>
      </c>
      <c r="Q100" s="75">
        <v>0</v>
      </c>
      <c r="R100" s="75">
        <v>20000</v>
      </c>
      <c r="S100" s="75">
        <v>600000</v>
      </c>
      <c r="T100" s="75">
        <v>0</v>
      </c>
      <c r="U100" s="75">
        <f>5668000-'[4]Costeo SAP'!P21</f>
        <v>4251000</v>
      </c>
      <c r="V100" s="75">
        <v>0</v>
      </c>
      <c r="W100" s="75">
        <v>2197732</v>
      </c>
      <c r="X100" s="75">
        <v>2250000</v>
      </c>
      <c r="Y100" s="75">
        <f>SUM(Z100:AD100)</f>
        <v>880000</v>
      </c>
      <c r="Z100" s="75">
        <v>0</v>
      </c>
      <c r="AA100" s="75">
        <v>500000</v>
      </c>
      <c r="AB100" s="75">
        <v>0</v>
      </c>
      <c r="AC100" s="75">
        <v>250000</v>
      </c>
      <c r="AD100" s="75">
        <v>130000</v>
      </c>
      <c r="AE100" s="75">
        <f>SUM(AF100:AI100)</f>
        <v>2600000</v>
      </c>
      <c r="AF100" s="75">
        <v>0</v>
      </c>
      <c r="AG100" s="75">
        <v>1500000</v>
      </c>
      <c r="AH100" s="75">
        <v>100000</v>
      </c>
      <c r="AI100" s="75">
        <v>1000000</v>
      </c>
      <c r="AJ100" s="75">
        <f>SUM(AK100:AL100)</f>
        <v>55887000</v>
      </c>
      <c r="AK100" s="75">
        <f>10000000+'[4]Costeo SAP'!P20+'[4]Costeo SAP'!P21-2880000</f>
        <v>55887000</v>
      </c>
      <c r="AL100" s="75">
        <f>SUM(AM100:AO100)</f>
        <v>0</v>
      </c>
      <c r="AM100" s="75">
        <v>0</v>
      </c>
      <c r="AN100" s="75">
        <v>0</v>
      </c>
      <c r="AO100" s="75">
        <v>0</v>
      </c>
    </row>
    <row r="101" spans="1:44" x14ac:dyDescent="0.25">
      <c r="A101" s="75" t="s">
        <v>159</v>
      </c>
      <c r="B101" s="87" t="s">
        <v>160</v>
      </c>
      <c r="C101" s="75">
        <f>SUM(D101+Y101+AE101+AJ101)</f>
        <v>448350000</v>
      </c>
      <c r="D101" s="75">
        <f>SUM(E101:X101)</f>
        <v>46262500</v>
      </c>
      <c r="E101" s="75">
        <v>0</v>
      </c>
      <c r="F101" s="75">
        <v>0</v>
      </c>
      <c r="G101" s="75">
        <v>0</v>
      </c>
      <c r="H101" s="75">
        <v>0</v>
      </c>
      <c r="I101" s="75">
        <v>0</v>
      </c>
      <c r="J101" s="75">
        <v>0</v>
      </c>
      <c r="K101" s="75">
        <v>0</v>
      </c>
      <c r="L101" s="75">
        <v>0</v>
      </c>
      <c r="M101" s="75">
        <v>0</v>
      </c>
      <c r="N101" s="75">
        <v>0</v>
      </c>
      <c r="O101" s="75">
        <f>8350000-'[4]Costeo SAP'!P22</f>
        <v>6262500</v>
      </c>
      <c r="P101" s="75">
        <v>0</v>
      </c>
      <c r="Q101" s="75">
        <v>0</v>
      </c>
      <c r="R101" s="75">
        <v>0</v>
      </c>
      <c r="S101" s="75">
        <v>0</v>
      </c>
      <c r="T101" s="75">
        <v>0</v>
      </c>
      <c r="U101" s="75">
        <v>0</v>
      </c>
      <c r="V101" s="75">
        <v>0</v>
      </c>
      <c r="W101" s="75">
        <v>0</v>
      </c>
      <c r="X101" s="75">
        <v>40000000</v>
      </c>
      <c r="Y101" s="75">
        <f>SUM(Z101:AD101)</f>
        <v>0</v>
      </c>
      <c r="Z101" s="75">
        <v>0</v>
      </c>
      <c r="AA101" s="75">
        <f>30000000-30000000</f>
        <v>0</v>
      </c>
      <c r="AB101" s="75">
        <v>0</v>
      </c>
      <c r="AC101" s="75">
        <v>0</v>
      </c>
      <c r="AD101" s="75">
        <v>0</v>
      </c>
      <c r="AE101" s="75">
        <f>SUM(AF101:AI101)</f>
        <v>100000000</v>
      </c>
      <c r="AF101" s="75">
        <v>0</v>
      </c>
      <c r="AG101" s="75">
        <v>100000000</v>
      </c>
      <c r="AH101" s="75">
        <v>0</v>
      </c>
      <c r="AI101" s="75">
        <v>0</v>
      </c>
      <c r="AJ101" s="75">
        <f>SUM(AK101:AL101)</f>
        <v>302087500</v>
      </c>
      <c r="AK101" s="75">
        <f>90000000+[5]Matriz!$H$11-90000000+'[4]Costeo SAP'!P22</f>
        <v>302087500</v>
      </c>
      <c r="AL101" s="75">
        <f>SUM(AM101:AO101)</f>
        <v>0</v>
      </c>
      <c r="AM101" s="75">
        <v>0</v>
      </c>
      <c r="AN101" s="75">
        <v>0</v>
      </c>
      <c r="AO101" s="75">
        <v>0</v>
      </c>
    </row>
    <row r="102" spans="1:44"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row>
    <row r="103" spans="1:44" s="78" customFormat="1" x14ac:dyDescent="0.25">
      <c r="A103" s="86" t="s">
        <v>161</v>
      </c>
      <c r="B103" s="82" t="s">
        <v>162</v>
      </c>
      <c r="C103" s="77">
        <f>SUM(C104:C105)</f>
        <v>33270000</v>
      </c>
      <c r="D103" s="77">
        <f t="shared" ref="D103:AO103" si="30">SUM(D104:D105)</f>
        <v>14050000</v>
      </c>
      <c r="E103" s="77">
        <f t="shared" si="30"/>
        <v>0</v>
      </c>
      <c r="F103" s="77">
        <f t="shared" si="30"/>
        <v>0</v>
      </c>
      <c r="G103" s="77">
        <f t="shared" si="30"/>
        <v>500000</v>
      </c>
      <c r="H103" s="77">
        <f t="shared" si="30"/>
        <v>150000</v>
      </c>
      <c r="I103" s="77">
        <f t="shared" si="30"/>
        <v>0</v>
      </c>
      <c r="J103" s="77">
        <f t="shared" si="30"/>
        <v>0</v>
      </c>
      <c r="K103" s="77">
        <f t="shared" si="30"/>
        <v>100000</v>
      </c>
      <c r="L103" s="77">
        <f t="shared" si="30"/>
        <v>0</v>
      </c>
      <c r="M103" s="77">
        <f t="shared" si="30"/>
        <v>500000</v>
      </c>
      <c r="N103" s="77">
        <f t="shared" si="30"/>
        <v>0</v>
      </c>
      <c r="O103" s="77">
        <f t="shared" si="30"/>
        <v>12500000</v>
      </c>
      <c r="P103" s="77">
        <f t="shared" si="30"/>
        <v>0</v>
      </c>
      <c r="Q103" s="77">
        <f t="shared" si="30"/>
        <v>0</v>
      </c>
      <c r="R103" s="77">
        <f t="shared" si="30"/>
        <v>0</v>
      </c>
      <c r="S103" s="77">
        <f t="shared" si="30"/>
        <v>0</v>
      </c>
      <c r="T103" s="77">
        <f t="shared" si="30"/>
        <v>0</v>
      </c>
      <c r="U103" s="77">
        <f t="shared" si="30"/>
        <v>0</v>
      </c>
      <c r="V103" s="77">
        <f t="shared" si="30"/>
        <v>0</v>
      </c>
      <c r="W103" s="77">
        <f t="shared" si="30"/>
        <v>0</v>
      </c>
      <c r="X103" s="77">
        <f t="shared" si="30"/>
        <v>300000</v>
      </c>
      <c r="Y103" s="77">
        <f t="shared" si="30"/>
        <v>8970000</v>
      </c>
      <c r="Z103" s="77">
        <f t="shared" si="30"/>
        <v>200000</v>
      </c>
      <c r="AA103" s="77">
        <f t="shared" si="30"/>
        <v>870000</v>
      </c>
      <c r="AB103" s="77">
        <f t="shared" si="30"/>
        <v>5500000</v>
      </c>
      <c r="AC103" s="77">
        <f t="shared" si="30"/>
        <v>2000000</v>
      </c>
      <c r="AD103" s="77">
        <f t="shared" si="30"/>
        <v>400000</v>
      </c>
      <c r="AE103" s="77">
        <f t="shared" si="30"/>
        <v>7600000</v>
      </c>
      <c r="AF103" s="77">
        <f t="shared" si="30"/>
        <v>400000</v>
      </c>
      <c r="AG103" s="77">
        <f t="shared" si="30"/>
        <v>2500000</v>
      </c>
      <c r="AH103" s="77">
        <f t="shared" si="30"/>
        <v>200000</v>
      </c>
      <c r="AI103" s="77">
        <f t="shared" si="30"/>
        <v>4500000</v>
      </c>
      <c r="AJ103" s="77">
        <f t="shared" si="30"/>
        <v>2650000</v>
      </c>
      <c r="AK103" s="77">
        <f t="shared" si="30"/>
        <v>2650000</v>
      </c>
      <c r="AL103" s="77">
        <f t="shared" si="30"/>
        <v>0</v>
      </c>
      <c r="AM103" s="77">
        <f t="shared" si="30"/>
        <v>0</v>
      </c>
      <c r="AN103" s="77">
        <f t="shared" si="30"/>
        <v>0</v>
      </c>
      <c r="AO103" s="77">
        <f t="shared" si="30"/>
        <v>0</v>
      </c>
      <c r="AQ103" s="64"/>
      <c r="AR103" s="64"/>
    </row>
    <row r="104" spans="1:44" x14ac:dyDescent="0.25">
      <c r="A104" s="75" t="s">
        <v>163</v>
      </c>
      <c r="B104" s="81" t="s">
        <v>164</v>
      </c>
      <c r="C104" s="75">
        <f>SUM(D104+Y104+AE104+AJ104)</f>
        <v>2150000</v>
      </c>
      <c r="D104" s="75">
        <f>SUM(E104:X104)</f>
        <v>1500000</v>
      </c>
      <c r="E104" s="75">
        <v>0</v>
      </c>
      <c r="F104" s="75">
        <v>0</v>
      </c>
      <c r="G104" s="75">
        <v>0</v>
      </c>
      <c r="H104" s="75">
        <v>0</v>
      </c>
      <c r="I104" s="75">
        <v>0</v>
      </c>
      <c r="J104" s="75">
        <v>0</v>
      </c>
      <c r="K104" s="75">
        <v>0</v>
      </c>
      <c r="L104" s="75">
        <v>0</v>
      </c>
      <c r="M104" s="75">
        <v>0</v>
      </c>
      <c r="N104" s="75">
        <v>0</v>
      </c>
      <c r="O104" s="75">
        <v>1500000</v>
      </c>
      <c r="P104" s="75">
        <v>0</v>
      </c>
      <c r="Q104" s="75">
        <v>0</v>
      </c>
      <c r="R104" s="75">
        <v>0</v>
      </c>
      <c r="S104" s="75">
        <v>0</v>
      </c>
      <c r="T104" s="75">
        <v>0</v>
      </c>
      <c r="U104" s="75">
        <v>0</v>
      </c>
      <c r="V104" s="75">
        <v>0</v>
      </c>
      <c r="W104" s="75">
        <v>0</v>
      </c>
      <c r="X104" s="75">
        <v>0</v>
      </c>
      <c r="Y104" s="75">
        <f>SUM(Z104:AD104)</f>
        <v>500000</v>
      </c>
      <c r="Z104" s="75">
        <v>0</v>
      </c>
      <c r="AA104" s="75">
        <v>0</v>
      </c>
      <c r="AB104" s="75">
        <v>500000</v>
      </c>
      <c r="AC104" s="75">
        <v>0</v>
      </c>
      <c r="AD104" s="75">
        <v>0</v>
      </c>
      <c r="AE104" s="75">
        <f>SUM(AF104:AI104)</f>
        <v>0</v>
      </c>
      <c r="AF104" s="75">
        <v>0</v>
      </c>
      <c r="AG104" s="75">
        <v>0</v>
      </c>
      <c r="AH104" s="75">
        <v>0</v>
      </c>
      <c r="AI104" s="75">
        <v>0</v>
      </c>
      <c r="AJ104" s="75">
        <f>SUM(AK104:AL104)</f>
        <v>150000</v>
      </c>
      <c r="AK104" s="75">
        <v>150000</v>
      </c>
      <c r="AL104" s="75">
        <f>SUM(AM104:AO104)</f>
        <v>0</v>
      </c>
      <c r="AM104" s="75">
        <v>0</v>
      </c>
      <c r="AN104" s="75">
        <v>0</v>
      </c>
      <c r="AO104" s="75">
        <v>0</v>
      </c>
    </row>
    <row r="105" spans="1:44" x14ac:dyDescent="0.25">
      <c r="A105" s="75" t="s">
        <v>165</v>
      </c>
      <c r="B105" s="81" t="s">
        <v>166</v>
      </c>
      <c r="C105" s="75">
        <f>SUM(D105+Y105+AE105+AJ105)</f>
        <v>31120000</v>
      </c>
      <c r="D105" s="75">
        <f>SUM(E105:X105)</f>
        <v>12550000</v>
      </c>
      <c r="E105" s="75">
        <v>0</v>
      </c>
      <c r="F105" s="75">
        <v>0</v>
      </c>
      <c r="G105" s="75">
        <v>500000</v>
      </c>
      <c r="H105" s="75">
        <v>150000</v>
      </c>
      <c r="I105" s="75">
        <v>0</v>
      </c>
      <c r="J105" s="75">
        <v>0</v>
      </c>
      <c r="K105" s="75">
        <v>100000</v>
      </c>
      <c r="L105" s="75">
        <v>0</v>
      </c>
      <c r="M105" s="75">
        <v>500000</v>
      </c>
      <c r="N105" s="75">
        <v>0</v>
      </c>
      <c r="O105" s="75">
        <v>11000000</v>
      </c>
      <c r="P105" s="75">
        <v>0</v>
      </c>
      <c r="Q105" s="75">
        <v>0</v>
      </c>
      <c r="R105" s="75">
        <v>0</v>
      </c>
      <c r="S105" s="75">
        <v>0</v>
      </c>
      <c r="T105" s="75">
        <v>0</v>
      </c>
      <c r="U105" s="75">
        <v>0</v>
      </c>
      <c r="V105" s="75">
        <v>0</v>
      </c>
      <c r="W105" s="75">
        <v>0</v>
      </c>
      <c r="X105" s="75">
        <v>300000</v>
      </c>
      <c r="Y105" s="75">
        <f>SUM(Z105:AD105)</f>
        <v>8470000</v>
      </c>
      <c r="Z105" s="75">
        <v>200000</v>
      </c>
      <c r="AA105" s="75">
        <v>870000</v>
      </c>
      <c r="AB105" s="75">
        <v>5000000</v>
      </c>
      <c r="AC105" s="75">
        <v>2000000</v>
      </c>
      <c r="AD105" s="75">
        <v>400000</v>
      </c>
      <c r="AE105" s="75">
        <f>SUM(AF105:AI105)</f>
        <v>7600000</v>
      </c>
      <c r="AF105" s="75">
        <v>400000</v>
      </c>
      <c r="AG105" s="75">
        <v>2500000</v>
      </c>
      <c r="AH105" s="75">
        <v>200000</v>
      </c>
      <c r="AI105" s="75">
        <v>4500000</v>
      </c>
      <c r="AJ105" s="75">
        <f>SUM(AK105:AL105)</f>
        <v>2500000</v>
      </c>
      <c r="AK105" s="75">
        <v>2500000</v>
      </c>
      <c r="AL105" s="75">
        <f>SUM(AM105:AO105)</f>
        <v>0</v>
      </c>
      <c r="AM105" s="75">
        <v>0</v>
      </c>
      <c r="AN105" s="75">
        <v>0</v>
      </c>
      <c r="AO105" s="75">
        <v>0</v>
      </c>
    </row>
    <row r="106" spans="1:44"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row>
    <row r="107" spans="1:44" s="78" customFormat="1" ht="26.4" x14ac:dyDescent="0.25">
      <c r="A107" s="86" t="s">
        <v>167</v>
      </c>
      <c r="B107" s="82" t="s">
        <v>168</v>
      </c>
      <c r="C107" s="77">
        <f>SUM(C108:C112)</f>
        <v>1001196549</v>
      </c>
      <c r="D107" s="77">
        <f t="shared" ref="D107:AO107" si="31">SUM(D108:D112)</f>
        <v>187125000</v>
      </c>
      <c r="E107" s="77">
        <f t="shared" si="31"/>
        <v>0</v>
      </c>
      <c r="F107" s="77">
        <f t="shared" si="31"/>
        <v>0</v>
      </c>
      <c r="G107" s="77">
        <f t="shared" si="31"/>
        <v>0</v>
      </c>
      <c r="H107" s="77">
        <f t="shared" si="31"/>
        <v>0</v>
      </c>
      <c r="I107" s="77">
        <f t="shared" si="31"/>
        <v>0</v>
      </c>
      <c r="J107" s="77">
        <f t="shared" si="31"/>
        <v>0</v>
      </c>
      <c r="K107" s="77">
        <f t="shared" si="31"/>
        <v>0</v>
      </c>
      <c r="L107" s="77">
        <f t="shared" si="31"/>
        <v>0</v>
      </c>
      <c r="M107" s="77">
        <f t="shared" si="31"/>
        <v>0</v>
      </c>
      <c r="N107" s="77">
        <f t="shared" si="31"/>
        <v>0</v>
      </c>
      <c r="O107" s="77">
        <f t="shared" si="31"/>
        <v>16500000</v>
      </c>
      <c r="P107" s="77">
        <f t="shared" si="31"/>
        <v>8625000</v>
      </c>
      <c r="Q107" s="77">
        <f t="shared" si="31"/>
        <v>0</v>
      </c>
      <c r="R107" s="77">
        <f t="shared" si="31"/>
        <v>0</v>
      </c>
      <c r="S107" s="77">
        <f t="shared" si="31"/>
        <v>162000000</v>
      </c>
      <c r="T107" s="77">
        <f t="shared" si="31"/>
        <v>0</v>
      </c>
      <c r="U107" s="77">
        <f t="shared" si="31"/>
        <v>0</v>
      </c>
      <c r="V107" s="77">
        <f t="shared" si="31"/>
        <v>0</v>
      </c>
      <c r="W107" s="77">
        <f t="shared" si="31"/>
        <v>0</v>
      </c>
      <c r="X107" s="77">
        <f t="shared" si="31"/>
        <v>0</v>
      </c>
      <c r="Y107" s="77">
        <f t="shared" si="31"/>
        <v>0</v>
      </c>
      <c r="Z107" s="77">
        <f t="shared" si="31"/>
        <v>0</v>
      </c>
      <c r="AA107" s="77">
        <f t="shared" si="31"/>
        <v>0</v>
      </c>
      <c r="AB107" s="77">
        <f t="shared" si="31"/>
        <v>0</v>
      </c>
      <c r="AC107" s="77">
        <f t="shared" si="31"/>
        <v>0</v>
      </c>
      <c r="AD107" s="77">
        <f t="shared" si="31"/>
        <v>0</v>
      </c>
      <c r="AE107" s="77">
        <f t="shared" si="31"/>
        <v>3647702</v>
      </c>
      <c r="AF107" s="77">
        <f t="shared" si="31"/>
        <v>0</v>
      </c>
      <c r="AG107" s="77">
        <f t="shared" si="31"/>
        <v>2147702</v>
      </c>
      <c r="AH107" s="77">
        <f t="shared" si="31"/>
        <v>1500000</v>
      </c>
      <c r="AI107" s="77">
        <f t="shared" si="31"/>
        <v>0</v>
      </c>
      <c r="AJ107" s="77">
        <f t="shared" si="31"/>
        <v>810423847</v>
      </c>
      <c r="AK107" s="77">
        <f t="shared" si="31"/>
        <v>788701420</v>
      </c>
      <c r="AL107" s="77">
        <f t="shared" si="31"/>
        <v>21722427</v>
      </c>
      <c r="AM107" s="77">
        <f t="shared" si="31"/>
        <v>0</v>
      </c>
      <c r="AN107" s="77">
        <f t="shared" si="31"/>
        <v>0</v>
      </c>
      <c r="AO107" s="77">
        <f t="shared" si="31"/>
        <v>21722427</v>
      </c>
      <c r="AQ107" s="64"/>
      <c r="AR107" s="64"/>
    </row>
    <row r="108" spans="1:44" x14ac:dyDescent="0.25">
      <c r="A108" s="75" t="s">
        <v>169</v>
      </c>
      <c r="B108" s="81" t="s">
        <v>170</v>
      </c>
      <c r="C108" s="75">
        <f>SUM(D108+Y108+AE108+AJ108)</f>
        <v>31500020</v>
      </c>
      <c r="D108" s="75">
        <f>SUM(E108:X108)</f>
        <v>23625000</v>
      </c>
      <c r="E108" s="75">
        <v>0</v>
      </c>
      <c r="F108" s="75">
        <v>0</v>
      </c>
      <c r="G108" s="75">
        <v>0</v>
      </c>
      <c r="H108" s="75">
        <v>0</v>
      </c>
      <c r="I108" s="75">
        <v>0</v>
      </c>
      <c r="J108" s="75">
        <v>0</v>
      </c>
      <c r="K108" s="75">
        <v>0</v>
      </c>
      <c r="L108" s="75">
        <v>0</v>
      </c>
      <c r="M108" s="75">
        <v>0</v>
      </c>
      <c r="N108" s="75">
        <v>0</v>
      </c>
      <c r="O108" s="75">
        <f>20000000-'[4]Costeo SAP'!P23</f>
        <v>15000000</v>
      </c>
      <c r="P108" s="75">
        <f>11500000-'[4]Costeo SAP'!P24</f>
        <v>8625000</v>
      </c>
      <c r="Q108" s="75">
        <v>0</v>
      </c>
      <c r="R108" s="75">
        <v>0</v>
      </c>
      <c r="S108" s="75">
        <v>0</v>
      </c>
      <c r="T108" s="75">
        <v>0</v>
      </c>
      <c r="U108" s="75">
        <v>0</v>
      </c>
      <c r="V108" s="75">
        <v>0</v>
      </c>
      <c r="W108" s="75">
        <v>0</v>
      </c>
      <c r="X108" s="75">
        <v>0</v>
      </c>
      <c r="Y108" s="75">
        <f>SUM(Z108:AD108)</f>
        <v>0</v>
      </c>
      <c r="Z108" s="75">
        <v>0</v>
      </c>
      <c r="AA108" s="75">
        <v>0</v>
      </c>
      <c r="AB108" s="75">
        <v>0</v>
      </c>
      <c r="AC108" s="75">
        <v>0</v>
      </c>
      <c r="AD108" s="75">
        <v>0</v>
      </c>
      <c r="AE108" s="75">
        <f>SUM(AF108:AI108)</f>
        <v>0</v>
      </c>
      <c r="AF108" s="75">
        <v>0</v>
      </c>
      <c r="AG108" s="75">
        <v>0</v>
      </c>
      <c r="AH108" s="75">
        <v>0</v>
      </c>
      <c r="AI108" s="75">
        <v>0</v>
      </c>
      <c r="AJ108" s="75">
        <f>SUM(AK108:AL108)</f>
        <v>7875020</v>
      </c>
      <c r="AK108" s="75">
        <f>+'[4]Costeo SAP'!P24+'[4]Costeo SAP'!P23+20</f>
        <v>7875020</v>
      </c>
      <c r="AL108" s="75">
        <f>SUM(AM108:AO108)</f>
        <v>0</v>
      </c>
      <c r="AM108" s="75">
        <v>0</v>
      </c>
      <c r="AN108" s="75">
        <v>0</v>
      </c>
      <c r="AO108" s="75">
        <v>0</v>
      </c>
    </row>
    <row r="109" spans="1:44" x14ac:dyDescent="0.25">
      <c r="A109" s="75" t="s">
        <v>171</v>
      </c>
      <c r="B109" s="81" t="s">
        <v>172</v>
      </c>
      <c r="C109" s="75">
        <f>SUM(D109+Y109+AE109+AJ109)</f>
        <v>964548827</v>
      </c>
      <c r="D109" s="75">
        <f>SUM(E109:X109)</f>
        <v>162000000</v>
      </c>
      <c r="E109" s="75">
        <v>0</v>
      </c>
      <c r="F109" s="75">
        <v>0</v>
      </c>
      <c r="G109" s="75">
        <v>0</v>
      </c>
      <c r="H109" s="75">
        <v>0</v>
      </c>
      <c r="I109" s="75">
        <v>0</v>
      </c>
      <c r="J109" s="75">
        <v>0</v>
      </c>
      <c r="K109" s="75">
        <v>0</v>
      </c>
      <c r="L109" s="75">
        <v>0</v>
      </c>
      <c r="M109" s="75">
        <v>0</v>
      </c>
      <c r="N109" s="75">
        <v>0</v>
      </c>
      <c r="O109" s="75">
        <v>0</v>
      </c>
      <c r="P109" s="75">
        <v>0</v>
      </c>
      <c r="Q109" s="75">
        <v>0</v>
      </c>
      <c r="R109" s="75">
        <v>0</v>
      </c>
      <c r="S109" s="75">
        <v>162000000</v>
      </c>
      <c r="T109" s="75">
        <v>0</v>
      </c>
      <c r="U109" s="75">
        <v>0</v>
      </c>
      <c r="V109" s="75">
        <v>0</v>
      </c>
      <c r="W109" s="75">
        <v>0</v>
      </c>
      <c r="X109" s="75">
        <v>0</v>
      </c>
      <c r="Y109" s="75">
        <f>SUM(Z109:AD109)</f>
        <v>0</v>
      </c>
      <c r="Z109" s="75">
        <v>0</v>
      </c>
      <c r="AA109" s="75">
        <v>0</v>
      </c>
      <c r="AB109" s="75">
        <v>0</v>
      </c>
      <c r="AC109" s="75">
        <v>0</v>
      </c>
      <c r="AD109" s="75">
        <v>0</v>
      </c>
      <c r="AE109" s="75">
        <f>SUM(AF109:AI109)</f>
        <v>0</v>
      </c>
      <c r="AF109" s="75">
        <v>0</v>
      </c>
      <c r="AG109" s="75">
        <v>0</v>
      </c>
      <c r="AH109" s="75">
        <v>0</v>
      </c>
      <c r="AI109" s="75">
        <v>0</v>
      </c>
      <c r="AJ109" s="75">
        <f>SUM(AK109:AL109)</f>
        <v>802548827</v>
      </c>
      <c r="AK109" s="75">
        <f>105826420+675000000-20</f>
        <v>780826400</v>
      </c>
      <c r="AL109" s="75">
        <f>SUM(AM109:AO109)</f>
        <v>21722427</v>
      </c>
      <c r="AM109" s="75">
        <v>0</v>
      </c>
      <c r="AN109" s="75">
        <v>0</v>
      </c>
      <c r="AO109" s="75">
        <f>18705124+3017303</f>
        <v>21722427</v>
      </c>
    </row>
    <row r="110" spans="1:44" x14ac:dyDescent="0.25">
      <c r="A110" s="75" t="s">
        <v>173</v>
      </c>
      <c r="B110" s="81" t="s">
        <v>174</v>
      </c>
      <c r="C110" s="75">
        <f>SUM(D110+Y110+AE110+AJ110)</f>
        <v>2147702</v>
      </c>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f>SUM(AF110:AI110)</f>
        <v>2147702</v>
      </c>
      <c r="AF110" s="75"/>
      <c r="AG110" s="75">
        <v>2147702</v>
      </c>
      <c r="AH110" s="75"/>
      <c r="AI110" s="75"/>
      <c r="AJ110" s="75"/>
      <c r="AK110" s="75"/>
      <c r="AL110" s="75"/>
      <c r="AM110" s="75"/>
      <c r="AN110" s="75"/>
      <c r="AO110" s="75"/>
    </row>
    <row r="111" spans="1:44" x14ac:dyDescent="0.25">
      <c r="A111" s="75" t="s">
        <v>175</v>
      </c>
      <c r="B111" s="81" t="s">
        <v>176</v>
      </c>
      <c r="C111" s="75">
        <f>SUM(D111+Y111+AE111+AJ111)</f>
        <v>2500000</v>
      </c>
      <c r="D111" s="75">
        <f>SUM(E111:X111)</f>
        <v>1000000</v>
      </c>
      <c r="E111" s="75">
        <v>0</v>
      </c>
      <c r="F111" s="75">
        <v>0</v>
      </c>
      <c r="G111" s="75">
        <v>0</v>
      </c>
      <c r="H111" s="75">
        <v>0</v>
      </c>
      <c r="I111" s="75">
        <v>0</v>
      </c>
      <c r="J111" s="75">
        <v>0</v>
      </c>
      <c r="K111" s="75">
        <v>0</v>
      </c>
      <c r="L111" s="75">
        <v>0</v>
      </c>
      <c r="M111" s="75">
        <v>0</v>
      </c>
      <c r="N111" s="75">
        <v>0</v>
      </c>
      <c r="O111" s="75">
        <v>1000000</v>
      </c>
      <c r="P111" s="75">
        <v>0</v>
      </c>
      <c r="Q111" s="75">
        <v>0</v>
      </c>
      <c r="R111" s="75">
        <v>0</v>
      </c>
      <c r="S111" s="75">
        <v>0</v>
      </c>
      <c r="T111" s="75">
        <v>0</v>
      </c>
      <c r="U111" s="75">
        <v>0</v>
      </c>
      <c r="V111" s="75">
        <v>0</v>
      </c>
      <c r="W111" s="75">
        <v>0</v>
      </c>
      <c r="X111" s="75">
        <v>0</v>
      </c>
      <c r="Y111" s="75">
        <f>SUM(Z111:AD111)</f>
        <v>0</v>
      </c>
      <c r="Z111" s="75">
        <v>0</v>
      </c>
      <c r="AA111" s="75">
        <v>0</v>
      </c>
      <c r="AB111" s="75">
        <v>0</v>
      </c>
      <c r="AC111" s="75">
        <v>0</v>
      </c>
      <c r="AD111" s="75">
        <v>0</v>
      </c>
      <c r="AE111" s="75">
        <f>SUM(AF111:AI111)</f>
        <v>1500000</v>
      </c>
      <c r="AF111" s="75">
        <v>0</v>
      </c>
      <c r="AG111" s="75">
        <v>0</v>
      </c>
      <c r="AH111" s="75">
        <v>1500000</v>
      </c>
      <c r="AI111" s="75">
        <v>0</v>
      </c>
      <c r="AJ111" s="75">
        <f>SUM(AK111:AL111)</f>
        <v>0</v>
      </c>
      <c r="AK111" s="75">
        <v>0</v>
      </c>
      <c r="AL111" s="75">
        <f>SUM(AM111:AO111)</f>
        <v>0</v>
      </c>
      <c r="AM111" s="75">
        <v>0</v>
      </c>
      <c r="AN111" s="75">
        <v>0</v>
      </c>
      <c r="AO111" s="75">
        <v>0</v>
      </c>
    </row>
    <row r="112" spans="1:44" x14ac:dyDescent="0.25">
      <c r="A112" s="75" t="s">
        <v>177</v>
      </c>
      <c r="B112" s="81" t="s">
        <v>178</v>
      </c>
      <c r="C112" s="75">
        <f>SUM(D112+Y112+AE112+AJ112)</f>
        <v>500000</v>
      </c>
      <c r="D112" s="75">
        <f>SUM(E112:X112)</f>
        <v>500000</v>
      </c>
      <c r="E112" s="75">
        <v>0</v>
      </c>
      <c r="F112" s="75">
        <v>0</v>
      </c>
      <c r="G112" s="75">
        <v>0</v>
      </c>
      <c r="H112" s="75">
        <v>0</v>
      </c>
      <c r="I112" s="75">
        <v>0</v>
      </c>
      <c r="J112" s="75">
        <v>0</v>
      </c>
      <c r="K112" s="75">
        <v>0</v>
      </c>
      <c r="L112" s="75">
        <v>0</v>
      </c>
      <c r="M112" s="75">
        <v>0</v>
      </c>
      <c r="N112" s="75">
        <v>0</v>
      </c>
      <c r="O112" s="75">
        <v>500000</v>
      </c>
      <c r="P112" s="75">
        <v>0</v>
      </c>
      <c r="Q112" s="75">
        <v>0</v>
      </c>
      <c r="R112" s="75">
        <v>0</v>
      </c>
      <c r="S112" s="75">
        <v>0</v>
      </c>
      <c r="T112" s="75">
        <v>0</v>
      </c>
      <c r="U112" s="75">
        <v>0</v>
      </c>
      <c r="V112" s="75">
        <v>0</v>
      </c>
      <c r="W112" s="75">
        <v>0</v>
      </c>
      <c r="X112" s="75">
        <v>0</v>
      </c>
      <c r="Y112" s="75">
        <f>SUM(Z112:AD112)</f>
        <v>0</v>
      </c>
      <c r="Z112" s="75">
        <v>0</v>
      </c>
      <c r="AA112" s="75">
        <v>0</v>
      </c>
      <c r="AB112" s="75">
        <v>0</v>
      </c>
      <c r="AC112" s="75">
        <v>0</v>
      </c>
      <c r="AD112" s="75">
        <v>0</v>
      </c>
      <c r="AE112" s="75">
        <f>SUM(AF112:AI112)</f>
        <v>0</v>
      </c>
      <c r="AF112" s="75">
        <v>0</v>
      </c>
      <c r="AG112" s="75">
        <v>0</v>
      </c>
      <c r="AH112" s="75">
        <v>0</v>
      </c>
      <c r="AI112" s="75">
        <v>0</v>
      </c>
      <c r="AJ112" s="75">
        <f>SUM(AK112:AL112)</f>
        <v>0</v>
      </c>
      <c r="AK112" s="75">
        <v>0</v>
      </c>
      <c r="AL112" s="75">
        <f>SUM(AM112:AO112)</f>
        <v>0</v>
      </c>
      <c r="AM112" s="75">
        <v>0</v>
      </c>
      <c r="AN112" s="75">
        <v>0</v>
      </c>
      <c r="AO112" s="75">
        <v>0</v>
      </c>
    </row>
    <row r="113" spans="1:44" x14ac:dyDescent="0.2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row>
    <row r="114" spans="1:44" s="78" customFormat="1" x14ac:dyDescent="0.25">
      <c r="A114" s="86" t="s">
        <v>179</v>
      </c>
      <c r="B114" s="82" t="s">
        <v>180</v>
      </c>
      <c r="C114" s="77">
        <f>SUM(C115:C116)</f>
        <v>107205827.28999999</v>
      </c>
      <c r="D114" s="77">
        <f t="shared" ref="D114:AO114" si="32">SUM(D115:D116)</f>
        <v>62205827.289999999</v>
      </c>
      <c r="E114" s="77">
        <f t="shared" si="32"/>
        <v>0</v>
      </c>
      <c r="F114" s="77">
        <f t="shared" si="32"/>
        <v>3350827.29</v>
      </c>
      <c r="G114" s="77">
        <f t="shared" si="32"/>
        <v>2000000</v>
      </c>
      <c r="H114" s="77">
        <f t="shared" si="32"/>
        <v>0</v>
      </c>
      <c r="I114" s="77">
        <f t="shared" si="32"/>
        <v>0</v>
      </c>
      <c r="J114" s="77">
        <f t="shared" si="32"/>
        <v>0</v>
      </c>
      <c r="K114" s="77">
        <f t="shared" si="32"/>
        <v>0</v>
      </c>
      <c r="L114" s="77">
        <f t="shared" si="32"/>
        <v>0</v>
      </c>
      <c r="M114" s="77">
        <f t="shared" si="32"/>
        <v>0</v>
      </c>
      <c r="N114" s="77">
        <f t="shared" si="32"/>
        <v>0</v>
      </c>
      <c r="O114" s="77">
        <f t="shared" si="32"/>
        <v>0</v>
      </c>
      <c r="P114" s="77">
        <f t="shared" si="32"/>
        <v>46000000</v>
      </c>
      <c r="Q114" s="77">
        <f t="shared" si="32"/>
        <v>0</v>
      </c>
      <c r="R114" s="77">
        <f t="shared" si="32"/>
        <v>0</v>
      </c>
      <c r="S114" s="77">
        <f t="shared" si="32"/>
        <v>0</v>
      </c>
      <c r="T114" s="77">
        <f t="shared" si="32"/>
        <v>0</v>
      </c>
      <c r="U114" s="77">
        <f t="shared" si="32"/>
        <v>0</v>
      </c>
      <c r="V114" s="77">
        <f t="shared" si="32"/>
        <v>0</v>
      </c>
      <c r="W114" s="77">
        <f t="shared" si="32"/>
        <v>5855000</v>
      </c>
      <c r="X114" s="77">
        <f t="shared" si="32"/>
        <v>5000000</v>
      </c>
      <c r="Y114" s="77">
        <f t="shared" si="32"/>
        <v>9000000</v>
      </c>
      <c r="Z114" s="77">
        <f t="shared" si="32"/>
        <v>1500000</v>
      </c>
      <c r="AA114" s="77">
        <f t="shared" si="32"/>
        <v>1500000</v>
      </c>
      <c r="AB114" s="77">
        <f t="shared" si="32"/>
        <v>2500000</v>
      </c>
      <c r="AC114" s="77">
        <f t="shared" si="32"/>
        <v>2500000</v>
      </c>
      <c r="AD114" s="77">
        <f t="shared" si="32"/>
        <v>1000000</v>
      </c>
      <c r="AE114" s="77">
        <f t="shared" si="32"/>
        <v>5000000</v>
      </c>
      <c r="AF114" s="77">
        <f t="shared" si="32"/>
        <v>500000</v>
      </c>
      <c r="AG114" s="77">
        <f t="shared" si="32"/>
        <v>1000000</v>
      </c>
      <c r="AH114" s="77">
        <f t="shared" si="32"/>
        <v>2500000</v>
      </c>
      <c r="AI114" s="77">
        <f t="shared" si="32"/>
        <v>1000000</v>
      </c>
      <c r="AJ114" s="77">
        <f t="shared" si="32"/>
        <v>31000000</v>
      </c>
      <c r="AK114" s="77">
        <f t="shared" si="32"/>
        <v>31000000</v>
      </c>
      <c r="AL114" s="77">
        <f t="shared" si="32"/>
        <v>0</v>
      </c>
      <c r="AM114" s="77">
        <f t="shared" si="32"/>
        <v>0</v>
      </c>
      <c r="AN114" s="77">
        <f t="shared" si="32"/>
        <v>0</v>
      </c>
      <c r="AO114" s="77">
        <f t="shared" si="32"/>
        <v>0</v>
      </c>
      <c r="AQ114" s="64"/>
      <c r="AR114" s="64"/>
    </row>
    <row r="115" spans="1:44" x14ac:dyDescent="0.25">
      <c r="A115" s="75" t="s">
        <v>181</v>
      </c>
      <c r="B115" s="81" t="s">
        <v>182</v>
      </c>
      <c r="C115" s="75">
        <f>SUM(D115+Y115+AE115+AJ115)</f>
        <v>89205827.289999992</v>
      </c>
      <c r="D115" s="75">
        <f>SUM(E115:X115)</f>
        <v>55205827.289999999</v>
      </c>
      <c r="E115" s="75">
        <v>0</v>
      </c>
      <c r="F115" s="75">
        <v>3350827.29</v>
      </c>
      <c r="G115" s="75">
        <v>0</v>
      </c>
      <c r="H115" s="75">
        <v>0</v>
      </c>
      <c r="I115" s="75">
        <v>0</v>
      </c>
      <c r="J115" s="75">
        <v>0</v>
      </c>
      <c r="K115" s="75">
        <v>0</v>
      </c>
      <c r="L115" s="75">
        <v>0</v>
      </c>
      <c r="M115" s="75">
        <v>0</v>
      </c>
      <c r="N115" s="75">
        <v>0</v>
      </c>
      <c r="O115" s="75">
        <v>0</v>
      </c>
      <c r="P115" s="75">
        <v>46000000</v>
      </c>
      <c r="Q115" s="75">
        <v>0</v>
      </c>
      <c r="R115" s="75">
        <v>0</v>
      </c>
      <c r="S115" s="75">
        <v>0</v>
      </c>
      <c r="T115" s="75">
        <v>0</v>
      </c>
      <c r="U115" s="75">
        <v>0</v>
      </c>
      <c r="V115" s="75">
        <v>0</v>
      </c>
      <c r="W115" s="75">
        <v>5855000</v>
      </c>
      <c r="X115" s="75">
        <v>0</v>
      </c>
      <c r="Y115" s="75">
        <f>SUM(Z115:AD115)</f>
        <v>9000000</v>
      </c>
      <c r="Z115" s="75">
        <v>1500000</v>
      </c>
      <c r="AA115" s="75">
        <v>1500000</v>
      </c>
      <c r="AB115" s="75">
        <v>2500000</v>
      </c>
      <c r="AC115" s="75">
        <v>2500000</v>
      </c>
      <c r="AD115" s="75">
        <v>1000000</v>
      </c>
      <c r="AE115" s="75">
        <f>SUM(AF115:AI115)</f>
        <v>5000000</v>
      </c>
      <c r="AF115" s="75">
        <v>500000</v>
      </c>
      <c r="AG115" s="75">
        <v>1000000</v>
      </c>
      <c r="AH115" s="75">
        <v>2500000</v>
      </c>
      <c r="AI115" s="75">
        <v>1000000</v>
      </c>
      <c r="AJ115" s="75">
        <f>SUM(AK115:AL115)</f>
        <v>20000000</v>
      </c>
      <c r="AK115" s="75">
        <v>20000000</v>
      </c>
      <c r="AL115" s="75">
        <f>SUM(AM115:AO115)</f>
        <v>0</v>
      </c>
      <c r="AM115" s="75">
        <v>0</v>
      </c>
      <c r="AN115" s="75">
        <v>0</v>
      </c>
      <c r="AO115" s="75">
        <v>0</v>
      </c>
    </row>
    <row r="116" spans="1:44" x14ac:dyDescent="0.25">
      <c r="A116" s="75" t="s">
        <v>183</v>
      </c>
      <c r="B116" s="81" t="s">
        <v>184</v>
      </c>
      <c r="C116" s="75">
        <f>SUM(D116+Y116+AE116+AJ116)</f>
        <v>18000000</v>
      </c>
      <c r="D116" s="75">
        <f>SUM(E116:X116)</f>
        <v>7000000</v>
      </c>
      <c r="E116" s="75">
        <v>0</v>
      </c>
      <c r="F116" s="75">
        <v>0</v>
      </c>
      <c r="G116" s="75">
        <v>2000000</v>
      </c>
      <c r="H116" s="75">
        <v>0</v>
      </c>
      <c r="I116" s="75">
        <v>0</v>
      </c>
      <c r="J116" s="75">
        <v>0</v>
      </c>
      <c r="K116" s="75">
        <v>0</v>
      </c>
      <c r="L116" s="75">
        <v>0</v>
      </c>
      <c r="M116" s="75">
        <v>0</v>
      </c>
      <c r="N116" s="75">
        <v>0</v>
      </c>
      <c r="O116" s="75">
        <v>0</v>
      </c>
      <c r="P116" s="75">
        <v>0</v>
      </c>
      <c r="Q116" s="75">
        <v>0</v>
      </c>
      <c r="R116" s="75">
        <v>0</v>
      </c>
      <c r="S116" s="75">
        <v>0</v>
      </c>
      <c r="T116" s="75">
        <v>0</v>
      </c>
      <c r="U116" s="75">
        <v>0</v>
      </c>
      <c r="V116" s="75">
        <v>0</v>
      </c>
      <c r="W116" s="75">
        <v>0</v>
      </c>
      <c r="X116" s="75">
        <v>5000000</v>
      </c>
      <c r="Y116" s="75">
        <f>SUM(Z116:AD116)</f>
        <v>0</v>
      </c>
      <c r="Z116" s="75">
        <v>0</v>
      </c>
      <c r="AA116" s="75">
        <v>0</v>
      </c>
      <c r="AB116" s="75">
        <v>0</v>
      </c>
      <c r="AC116" s="75">
        <v>0</v>
      </c>
      <c r="AD116" s="75">
        <v>0</v>
      </c>
      <c r="AE116" s="75">
        <f>SUM(AF116:AI116)</f>
        <v>0</v>
      </c>
      <c r="AF116" s="75">
        <v>0</v>
      </c>
      <c r="AG116" s="75">
        <v>0</v>
      </c>
      <c r="AH116" s="75">
        <v>0</v>
      </c>
      <c r="AI116" s="75">
        <v>0</v>
      </c>
      <c r="AJ116" s="75">
        <f>SUM(AK116:AL116)</f>
        <v>11000000</v>
      </c>
      <c r="AK116" s="75">
        <f>1000000+[5]Matriz!$H$12</f>
        <v>11000000</v>
      </c>
      <c r="AL116" s="75">
        <f>SUM(AM116:AO116)</f>
        <v>0</v>
      </c>
      <c r="AM116" s="75">
        <v>0</v>
      </c>
      <c r="AN116" s="75">
        <v>0</v>
      </c>
      <c r="AO116" s="75">
        <v>0</v>
      </c>
    </row>
    <row r="117" spans="1:44" x14ac:dyDescent="0.2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row>
    <row r="118" spans="1:44" s="78" customFormat="1" x14ac:dyDescent="0.25">
      <c r="A118" s="86" t="s">
        <v>185</v>
      </c>
      <c r="B118" s="82" t="s">
        <v>186</v>
      </c>
      <c r="C118" s="77">
        <f>SUM(C119:C125)</f>
        <v>107813138</v>
      </c>
      <c r="D118" s="77">
        <f t="shared" ref="D118:AO118" si="33">SUM(D119:D125)</f>
        <v>83779387.75</v>
      </c>
      <c r="E118" s="77">
        <f t="shared" si="33"/>
        <v>0</v>
      </c>
      <c r="F118" s="77">
        <f t="shared" si="33"/>
        <v>0</v>
      </c>
      <c r="G118" s="77">
        <f t="shared" si="33"/>
        <v>0</v>
      </c>
      <c r="H118" s="77">
        <f t="shared" si="33"/>
        <v>0</v>
      </c>
      <c r="I118" s="77">
        <f t="shared" si="33"/>
        <v>25198862.75</v>
      </c>
      <c r="J118" s="77">
        <f t="shared" si="33"/>
        <v>0</v>
      </c>
      <c r="K118" s="77">
        <f t="shared" si="33"/>
        <v>0</v>
      </c>
      <c r="L118" s="77">
        <f t="shared" si="33"/>
        <v>0</v>
      </c>
      <c r="M118" s="77">
        <f t="shared" si="33"/>
        <v>0</v>
      </c>
      <c r="N118" s="77">
        <f t="shared" si="33"/>
        <v>0</v>
      </c>
      <c r="O118" s="77">
        <f t="shared" si="33"/>
        <v>57650000</v>
      </c>
      <c r="P118" s="77">
        <f t="shared" si="33"/>
        <v>0</v>
      </c>
      <c r="Q118" s="77">
        <f t="shared" si="33"/>
        <v>0</v>
      </c>
      <c r="R118" s="77">
        <f t="shared" si="33"/>
        <v>0</v>
      </c>
      <c r="S118" s="77">
        <f t="shared" si="33"/>
        <v>300000</v>
      </c>
      <c r="T118" s="77">
        <f t="shared" si="33"/>
        <v>0</v>
      </c>
      <c r="U118" s="77">
        <f t="shared" si="33"/>
        <v>0</v>
      </c>
      <c r="V118" s="77">
        <f t="shared" si="33"/>
        <v>0</v>
      </c>
      <c r="W118" s="77">
        <f t="shared" si="33"/>
        <v>330525</v>
      </c>
      <c r="X118" s="77">
        <f t="shared" si="33"/>
        <v>300000</v>
      </c>
      <c r="Y118" s="77">
        <f t="shared" si="33"/>
        <v>6690000</v>
      </c>
      <c r="Z118" s="77">
        <f t="shared" si="33"/>
        <v>0</v>
      </c>
      <c r="AA118" s="77">
        <f t="shared" si="33"/>
        <v>3940000</v>
      </c>
      <c r="AB118" s="77">
        <f t="shared" si="33"/>
        <v>2500000</v>
      </c>
      <c r="AC118" s="77">
        <f t="shared" si="33"/>
        <v>200000</v>
      </c>
      <c r="AD118" s="77">
        <f t="shared" si="33"/>
        <v>50000</v>
      </c>
      <c r="AE118" s="77">
        <f t="shared" si="33"/>
        <v>300000</v>
      </c>
      <c r="AF118" s="77">
        <f t="shared" si="33"/>
        <v>0</v>
      </c>
      <c r="AG118" s="77">
        <f t="shared" si="33"/>
        <v>0</v>
      </c>
      <c r="AH118" s="77">
        <f t="shared" si="33"/>
        <v>0</v>
      </c>
      <c r="AI118" s="77">
        <f t="shared" si="33"/>
        <v>300000</v>
      </c>
      <c r="AJ118" s="77">
        <f t="shared" si="33"/>
        <v>17043750.25</v>
      </c>
      <c r="AK118" s="77">
        <f t="shared" si="33"/>
        <v>17043750.25</v>
      </c>
      <c r="AL118" s="77">
        <f t="shared" si="33"/>
        <v>0</v>
      </c>
      <c r="AM118" s="77">
        <f t="shared" si="33"/>
        <v>0</v>
      </c>
      <c r="AN118" s="77">
        <f t="shared" si="33"/>
        <v>0</v>
      </c>
      <c r="AO118" s="77">
        <f t="shared" si="33"/>
        <v>0</v>
      </c>
      <c r="AQ118" s="64"/>
      <c r="AR118" s="64"/>
    </row>
    <row r="119" spans="1:44" x14ac:dyDescent="0.25">
      <c r="A119" s="75" t="s">
        <v>187</v>
      </c>
      <c r="B119" s="81" t="s">
        <v>188</v>
      </c>
      <c r="C119" s="75">
        <f t="shared" ref="C119:C125" si="34">SUM(D119+Y119+AE119+AJ119)</f>
        <v>36800000</v>
      </c>
      <c r="D119" s="75">
        <f t="shared" ref="D119:D125" si="35">SUM(E119:X119)</f>
        <v>24750000</v>
      </c>
      <c r="E119" s="75">
        <v>0</v>
      </c>
      <c r="F119" s="75">
        <v>0</v>
      </c>
      <c r="G119" s="75">
        <v>0</v>
      </c>
      <c r="H119" s="75">
        <v>0</v>
      </c>
      <c r="I119" s="75">
        <v>0</v>
      </c>
      <c r="J119" s="75">
        <v>0</v>
      </c>
      <c r="K119" s="75">
        <v>0</v>
      </c>
      <c r="L119" s="75">
        <v>0</v>
      </c>
      <c r="M119" s="75">
        <v>0</v>
      </c>
      <c r="N119" s="75">
        <v>0</v>
      </c>
      <c r="O119" s="75">
        <f>33000000-'[4]Costeo SAP'!P25</f>
        <v>24750000</v>
      </c>
      <c r="P119" s="75">
        <v>0</v>
      </c>
      <c r="Q119" s="75">
        <v>0</v>
      </c>
      <c r="R119" s="75">
        <v>0</v>
      </c>
      <c r="S119" s="75">
        <v>0</v>
      </c>
      <c r="T119" s="75">
        <v>0</v>
      </c>
      <c r="U119" s="75">
        <v>0</v>
      </c>
      <c r="V119" s="75">
        <v>0</v>
      </c>
      <c r="W119" s="75">
        <v>0</v>
      </c>
      <c r="X119" s="75">
        <v>0</v>
      </c>
      <c r="Y119" s="75">
        <f t="shared" ref="Y119:Y125" si="36">SUM(Z119:AD119)</f>
        <v>3800000</v>
      </c>
      <c r="Z119" s="75">
        <v>0</v>
      </c>
      <c r="AA119" s="75">
        <v>3800000</v>
      </c>
      <c r="AB119" s="75">
        <v>0</v>
      </c>
      <c r="AC119" s="75">
        <v>0</v>
      </c>
      <c r="AD119" s="75">
        <v>0</v>
      </c>
      <c r="AE119" s="75">
        <f t="shared" ref="AE119:AE125" si="37">SUM(AF119:AI119)</f>
        <v>0</v>
      </c>
      <c r="AF119" s="75">
        <v>0</v>
      </c>
      <c r="AG119" s="75">
        <v>0</v>
      </c>
      <c r="AH119" s="75">
        <v>0</v>
      </c>
      <c r="AI119" s="75">
        <v>0</v>
      </c>
      <c r="AJ119" s="75">
        <f t="shared" ref="AJ119:AJ125" si="38">SUM(AK119:AL119)</f>
        <v>8250000</v>
      </c>
      <c r="AK119" s="75">
        <f>+'[4]Costeo SAP'!P25</f>
        <v>8250000</v>
      </c>
      <c r="AL119" s="75">
        <f t="shared" ref="AL119:AL125" si="39">SUM(AM119:AO119)</f>
        <v>0</v>
      </c>
      <c r="AM119" s="75">
        <v>0</v>
      </c>
      <c r="AN119" s="75">
        <v>0</v>
      </c>
      <c r="AO119" s="75">
        <v>0</v>
      </c>
    </row>
    <row r="120" spans="1:44" ht="26.4" x14ac:dyDescent="0.25">
      <c r="A120" s="75" t="s">
        <v>189</v>
      </c>
      <c r="B120" s="81" t="s">
        <v>190</v>
      </c>
      <c r="C120" s="75">
        <f t="shared" si="34"/>
        <v>2000000</v>
      </c>
      <c r="D120" s="75">
        <f t="shared" si="35"/>
        <v>2000000</v>
      </c>
      <c r="E120" s="75">
        <v>0</v>
      </c>
      <c r="F120" s="75">
        <v>0</v>
      </c>
      <c r="G120" s="75">
        <v>0</v>
      </c>
      <c r="H120" s="75">
        <v>0</v>
      </c>
      <c r="I120" s="75">
        <v>0</v>
      </c>
      <c r="J120" s="75">
        <v>0</v>
      </c>
      <c r="K120" s="75">
        <v>0</v>
      </c>
      <c r="L120" s="75">
        <v>0</v>
      </c>
      <c r="M120" s="75">
        <v>0</v>
      </c>
      <c r="N120" s="75">
        <v>0</v>
      </c>
      <c r="O120" s="75">
        <v>2000000</v>
      </c>
      <c r="P120" s="75">
        <v>0</v>
      </c>
      <c r="Q120" s="75">
        <v>0</v>
      </c>
      <c r="R120" s="75">
        <v>0</v>
      </c>
      <c r="S120" s="75">
        <v>0</v>
      </c>
      <c r="T120" s="75">
        <v>0</v>
      </c>
      <c r="U120" s="75">
        <v>0</v>
      </c>
      <c r="V120" s="75">
        <v>0</v>
      </c>
      <c r="W120" s="75">
        <v>0</v>
      </c>
      <c r="X120" s="75">
        <v>0</v>
      </c>
      <c r="Y120" s="75">
        <f t="shared" si="36"/>
        <v>0</v>
      </c>
      <c r="Z120" s="75">
        <v>0</v>
      </c>
      <c r="AA120" s="75">
        <v>0</v>
      </c>
      <c r="AB120" s="75">
        <v>0</v>
      </c>
      <c r="AC120" s="75">
        <v>0</v>
      </c>
      <c r="AD120" s="75">
        <v>0</v>
      </c>
      <c r="AE120" s="75">
        <f t="shared" si="37"/>
        <v>0</v>
      </c>
      <c r="AF120" s="75">
        <v>0</v>
      </c>
      <c r="AG120" s="75">
        <v>0</v>
      </c>
      <c r="AH120" s="75">
        <v>0</v>
      </c>
      <c r="AI120" s="75">
        <v>0</v>
      </c>
      <c r="AJ120" s="75">
        <f t="shared" si="38"/>
        <v>0</v>
      </c>
      <c r="AK120" s="75">
        <v>0</v>
      </c>
      <c r="AL120" s="75">
        <f t="shared" si="39"/>
        <v>0</v>
      </c>
      <c r="AM120" s="75">
        <v>0</v>
      </c>
      <c r="AN120" s="75">
        <v>0</v>
      </c>
      <c r="AO120" s="75">
        <v>0</v>
      </c>
    </row>
    <row r="121" spans="1:44" x14ac:dyDescent="0.25">
      <c r="A121" s="75" t="s">
        <v>191</v>
      </c>
      <c r="B121" s="81" t="s">
        <v>192</v>
      </c>
      <c r="C121" s="75">
        <f t="shared" si="34"/>
        <v>22500000</v>
      </c>
      <c r="D121" s="75">
        <f t="shared" si="35"/>
        <v>22500000</v>
      </c>
      <c r="E121" s="75">
        <v>0</v>
      </c>
      <c r="F121" s="75">
        <v>0</v>
      </c>
      <c r="G121" s="75">
        <v>0</v>
      </c>
      <c r="H121" s="75">
        <v>0</v>
      </c>
      <c r="I121" s="75">
        <v>0</v>
      </c>
      <c r="J121" s="75">
        <v>0</v>
      </c>
      <c r="K121" s="75">
        <v>0</v>
      </c>
      <c r="L121" s="75">
        <v>0</v>
      </c>
      <c r="M121" s="75">
        <v>0</v>
      </c>
      <c r="N121" s="75">
        <v>0</v>
      </c>
      <c r="O121" s="75">
        <v>22500000</v>
      </c>
      <c r="P121" s="75">
        <v>0</v>
      </c>
      <c r="Q121" s="75">
        <v>0</v>
      </c>
      <c r="R121" s="75">
        <v>0</v>
      </c>
      <c r="S121" s="75">
        <v>0</v>
      </c>
      <c r="T121" s="75">
        <v>0</v>
      </c>
      <c r="U121" s="75">
        <v>0</v>
      </c>
      <c r="V121" s="75">
        <v>0</v>
      </c>
      <c r="W121" s="75">
        <v>0</v>
      </c>
      <c r="X121" s="75">
        <v>0</v>
      </c>
      <c r="Y121" s="75">
        <f t="shared" si="36"/>
        <v>0</v>
      </c>
      <c r="Z121" s="75">
        <v>0</v>
      </c>
      <c r="AA121" s="75">
        <v>0</v>
      </c>
      <c r="AB121" s="75">
        <v>0</v>
      </c>
      <c r="AC121" s="75">
        <v>0</v>
      </c>
      <c r="AD121" s="75">
        <v>0</v>
      </c>
      <c r="AE121" s="75">
        <f t="shared" si="37"/>
        <v>0</v>
      </c>
      <c r="AF121" s="75">
        <v>0</v>
      </c>
      <c r="AG121" s="75">
        <v>0</v>
      </c>
      <c r="AH121" s="75">
        <v>0</v>
      </c>
      <c r="AI121" s="75">
        <v>0</v>
      </c>
      <c r="AJ121" s="75">
        <f t="shared" si="38"/>
        <v>0</v>
      </c>
      <c r="AK121" s="75">
        <v>0</v>
      </c>
      <c r="AL121" s="75">
        <f t="shared" si="39"/>
        <v>0</v>
      </c>
      <c r="AM121" s="75">
        <v>0</v>
      </c>
      <c r="AN121" s="75">
        <v>0</v>
      </c>
      <c r="AO121" s="75">
        <v>0</v>
      </c>
    </row>
    <row r="122" spans="1:44" ht="26.4" x14ac:dyDescent="0.25">
      <c r="A122" s="75" t="s">
        <v>193</v>
      </c>
      <c r="B122" s="81" t="s">
        <v>194</v>
      </c>
      <c r="C122" s="75">
        <f t="shared" si="34"/>
        <v>100000</v>
      </c>
      <c r="D122" s="75">
        <f t="shared" si="35"/>
        <v>0</v>
      </c>
      <c r="E122" s="75">
        <v>0</v>
      </c>
      <c r="F122" s="75">
        <v>0</v>
      </c>
      <c r="G122" s="75">
        <v>0</v>
      </c>
      <c r="H122" s="75">
        <v>0</v>
      </c>
      <c r="I122" s="75">
        <v>0</v>
      </c>
      <c r="J122" s="75">
        <v>0</v>
      </c>
      <c r="K122" s="75">
        <v>0</v>
      </c>
      <c r="L122" s="75">
        <v>0</v>
      </c>
      <c r="M122" s="75">
        <v>0</v>
      </c>
      <c r="N122" s="75">
        <v>0</v>
      </c>
      <c r="O122" s="75">
        <v>0</v>
      </c>
      <c r="P122" s="75">
        <v>0</v>
      </c>
      <c r="Q122" s="75">
        <v>0</v>
      </c>
      <c r="R122" s="75">
        <v>0</v>
      </c>
      <c r="S122" s="75">
        <v>0</v>
      </c>
      <c r="T122" s="75">
        <v>0</v>
      </c>
      <c r="U122" s="75">
        <v>0</v>
      </c>
      <c r="V122" s="75">
        <v>0</v>
      </c>
      <c r="W122" s="75">
        <v>0</v>
      </c>
      <c r="X122" s="75">
        <v>0</v>
      </c>
      <c r="Y122" s="75">
        <f t="shared" si="36"/>
        <v>0</v>
      </c>
      <c r="Z122" s="75">
        <v>0</v>
      </c>
      <c r="AA122" s="75">
        <v>0</v>
      </c>
      <c r="AB122" s="75">
        <v>0</v>
      </c>
      <c r="AC122" s="75">
        <v>0</v>
      </c>
      <c r="AD122" s="75">
        <v>0</v>
      </c>
      <c r="AE122" s="75">
        <f t="shared" si="37"/>
        <v>100000</v>
      </c>
      <c r="AF122" s="75">
        <v>0</v>
      </c>
      <c r="AG122" s="75">
        <v>0</v>
      </c>
      <c r="AH122" s="75">
        <v>0</v>
      </c>
      <c r="AI122" s="75">
        <v>100000</v>
      </c>
      <c r="AJ122" s="75">
        <f t="shared" si="38"/>
        <v>0</v>
      </c>
      <c r="AK122" s="75">
        <v>0</v>
      </c>
      <c r="AL122" s="75">
        <f t="shared" si="39"/>
        <v>0</v>
      </c>
      <c r="AM122" s="75">
        <v>0</v>
      </c>
      <c r="AN122" s="75">
        <v>0</v>
      </c>
      <c r="AO122" s="75">
        <v>0</v>
      </c>
    </row>
    <row r="123" spans="1:44" ht="26.4" x14ac:dyDescent="0.25">
      <c r="A123" s="75" t="s">
        <v>195</v>
      </c>
      <c r="B123" s="81" t="s">
        <v>196</v>
      </c>
      <c r="C123" s="75">
        <f t="shared" si="34"/>
        <v>12017612</v>
      </c>
      <c r="D123" s="75">
        <f t="shared" si="35"/>
        <v>9717612</v>
      </c>
      <c r="E123" s="75">
        <v>0</v>
      </c>
      <c r="F123" s="75">
        <v>0</v>
      </c>
      <c r="G123" s="75">
        <v>0</v>
      </c>
      <c r="H123" s="75">
        <v>0</v>
      </c>
      <c r="I123" s="75">
        <v>4217612</v>
      </c>
      <c r="J123" s="75">
        <v>0</v>
      </c>
      <c r="K123" s="75">
        <v>0</v>
      </c>
      <c r="L123" s="75">
        <v>0</v>
      </c>
      <c r="M123" s="75">
        <v>0</v>
      </c>
      <c r="N123" s="75">
        <v>0</v>
      </c>
      <c r="O123" s="75">
        <f>7200000-'[4]Costeo SAP'!P26</f>
        <v>5400000</v>
      </c>
      <c r="P123" s="75">
        <v>0</v>
      </c>
      <c r="Q123" s="75">
        <v>0</v>
      </c>
      <c r="R123" s="75">
        <v>0</v>
      </c>
      <c r="S123" s="75">
        <v>100000</v>
      </c>
      <c r="T123" s="75">
        <v>0</v>
      </c>
      <c r="U123" s="75">
        <v>0</v>
      </c>
      <c r="V123" s="75">
        <v>0</v>
      </c>
      <c r="W123" s="75">
        <v>0</v>
      </c>
      <c r="X123" s="75">
        <v>0</v>
      </c>
      <c r="Y123" s="75">
        <f t="shared" si="36"/>
        <v>500000</v>
      </c>
      <c r="Z123" s="75">
        <v>0</v>
      </c>
      <c r="AA123" s="75">
        <v>0</v>
      </c>
      <c r="AB123" s="75">
        <v>500000</v>
      </c>
      <c r="AC123" s="75">
        <v>0</v>
      </c>
      <c r="AD123" s="75">
        <v>0</v>
      </c>
      <c r="AE123" s="75">
        <f t="shared" si="37"/>
        <v>0</v>
      </c>
      <c r="AF123" s="75">
        <v>0</v>
      </c>
      <c r="AG123" s="75">
        <v>0</v>
      </c>
      <c r="AH123" s="75">
        <v>0</v>
      </c>
      <c r="AI123" s="75">
        <v>0</v>
      </c>
      <c r="AJ123" s="75">
        <f t="shared" si="38"/>
        <v>1800000</v>
      </c>
      <c r="AK123" s="75">
        <f>+'[4]Costeo SAP'!P26</f>
        <v>1800000</v>
      </c>
      <c r="AL123" s="75">
        <f t="shared" si="39"/>
        <v>0</v>
      </c>
      <c r="AM123" s="75">
        <v>0</v>
      </c>
      <c r="AN123" s="75">
        <v>0</v>
      </c>
      <c r="AO123" s="75">
        <v>0</v>
      </c>
    </row>
    <row r="124" spans="1:44" ht="26.4" x14ac:dyDescent="0.25">
      <c r="A124" s="75" t="s">
        <v>197</v>
      </c>
      <c r="B124" s="81" t="s">
        <v>198</v>
      </c>
      <c r="C124" s="75">
        <f t="shared" si="34"/>
        <v>29765001</v>
      </c>
      <c r="D124" s="75">
        <f t="shared" si="35"/>
        <v>21381250.75</v>
      </c>
      <c r="E124" s="75">
        <v>0</v>
      </c>
      <c r="F124" s="75">
        <v>0</v>
      </c>
      <c r="G124" s="75">
        <v>0</v>
      </c>
      <c r="H124" s="75">
        <v>0</v>
      </c>
      <c r="I124" s="75">
        <f>27975001-'[4]Costeo SAP'!P27</f>
        <v>20981250.75</v>
      </c>
      <c r="J124" s="75">
        <v>0</v>
      </c>
      <c r="K124" s="75">
        <v>0</v>
      </c>
      <c r="L124" s="75">
        <v>0</v>
      </c>
      <c r="M124" s="75">
        <v>0</v>
      </c>
      <c r="N124" s="75">
        <v>0</v>
      </c>
      <c r="O124" s="75">
        <v>0</v>
      </c>
      <c r="P124" s="75">
        <v>0</v>
      </c>
      <c r="Q124" s="75">
        <v>0</v>
      </c>
      <c r="R124" s="75">
        <v>0</v>
      </c>
      <c r="S124" s="75">
        <v>100000</v>
      </c>
      <c r="T124" s="75">
        <v>0</v>
      </c>
      <c r="U124" s="75">
        <v>0</v>
      </c>
      <c r="V124" s="75">
        <v>0</v>
      </c>
      <c r="W124" s="75">
        <v>0</v>
      </c>
      <c r="X124" s="75">
        <v>300000</v>
      </c>
      <c r="Y124" s="75">
        <f t="shared" si="36"/>
        <v>1390000</v>
      </c>
      <c r="Z124" s="75">
        <v>0</v>
      </c>
      <c r="AA124" s="75">
        <v>140000</v>
      </c>
      <c r="AB124" s="75">
        <v>1000000</v>
      </c>
      <c r="AC124" s="75">
        <v>200000</v>
      </c>
      <c r="AD124" s="75">
        <v>50000</v>
      </c>
      <c r="AE124" s="75">
        <f t="shared" si="37"/>
        <v>0</v>
      </c>
      <c r="AF124" s="75">
        <v>0</v>
      </c>
      <c r="AG124" s="75">
        <v>0</v>
      </c>
      <c r="AH124" s="75">
        <v>0</v>
      </c>
      <c r="AI124" s="75">
        <v>0</v>
      </c>
      <c r="AJ124" s="75">
        <f t="shared" si="38"/>
        <v>6993750.25</v>
      </c>
      <c r="AK124" s="75">
        <f>+'[4]Costeo SAP'!P27</f>
        <v>6993750.25</v>
      </c>
      <c r="AL124" s="75">
        <f t="shared" si="39"/>
        <v>0</v>
      </c>
      <c r="AM124" s="75">
        <v>0</v>
      </c>
      <c r="AN124" s="75">
        <v>0</v>
      </c>
      <c r="AO124" s="75">
        <v>0</v>
      </c>
    </row>
    <row r="125" spans="1:44" x14ac:dyDescent="0.25">
      <c r="A125" s="75" t="s">
        <v>199</v>
      </c>
      <c r="B125" s="81" t="s">
        <v>200</v>
      </c>
      <c r="C125" s="75">
        <f t="shared" si="34"/>
        <v>4630525</v>
      </c>
      <c r="D125" s="75">
        <f t="shared" si="35"/>
        <v>3430525</v>
      </c>
      <c r="E125" s="75">
        <v>0</v>
      </c>
      <c r="F125" s="75">
        <v>0</v>
      </c>
      <c r="G125" s="75">
        <v>0</v>
      </c>
      <c r="H125" s="75">
        <v>0</v>
      </c>
      <c r="I125" s="75">
        <v>0</v>
      </c>
      <c r="J125" s="75">
        <v>0</v>
      </c>
      <c r="K125" s="75">
        <v>0</v>
      </c>
      <c r="L125" s="75">
        <v>0</v>
      </c>
      <c r="M125" s="75">
        <v>0</v>
      </c>
      <c r="N125" s="75">
        <v>0</v>
      </c>
      <c r="O125" s="75">
        <v>3000000</v>
      </c>
      <c r="P125" s="75">
        <v>0</v>
      </c>
      <c r="Q125" s="75">
        <v>0</v>
      </c>
      <c r="R125" s="75">
        <v>0</v>
      </c>
      <c r="S125" s="75">
        <v>100000</v>
      </c>
      <c r="T125" s="75">
        <v>0</v>
      </c>
      <c r="U125" s="75">
        <v>0</v>
      </c>
      <c r="V125" s="75">
        <v>0</v>
      </c>
      <c r="W125" s="75">
        <v>330525</v>
      </c>
      <c r="X125" s="75">
        <v>0</v>
      </c>
      <c r="Y125" s="75">
        <f t="shared" si="36"/>
        <v>1000000</v>
      </c>
      <c r="Z125" s="75">
        <v>0</v>
      </c>
      <c r="AA125" s="75">
        <v>0</v>
      </c>
      <c r="AB125" s="75">
        <v>1000000</v>
      </c>
      <c r="AC125" s="75">
        <v>0</v>
      </c>
      <c r="AD125" s="75">
        <v>0</v>
      </c>
      <c r="AE125" s="75">
        <f t="shared" si="37"/>
        <v>200000</v>
      </c>
      <c r="AF125" s="75">
        <v>0</v>
      </c>
      <c r="AG125" s="75">
        <v>0</v>
      </c>
      <c r="AH125" s="75">
        <v>0</v>
      </c>
      <c r="AI125" s="75">
        <v>200000</v>
      </c>
      <c r="AJ125" s="75">
        <f t="shared" si="38"/>
        <v>0</v>
      </c>
      <c r="AK125" s="75">
        <v>0</v>
      </c>
      <c r="AL125" s="75">
        <f t="shared" si="39"/>
        <v>0</v>
      </c>
      <c r="AM125" s="75">
        <v>0</v>
      </c>
      <c r="AN125" s="75">
        <v>0</v>
      </c>
      <c r="AO125" s="75">
        <v>0</v>
      </c>
    </row>
    <row r="126" spans="1:44" x14ac:dyDescent="0.25">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row>
    <row r="127" spans="1:44" s="78" customFormat="1" x14ac:dyDescent="0.25">
      <c r="A127" s="86" t="s">
        <v>201</v>
      </c>
      <c r="B127" s="82" t="s">
        <v>202</v>
      </c>
      <c r="C127" s="77">
        <f>SUM(C128)</f>
        <v>7500000</v>
      </c>
      <c r="D127" s="77">
        <f t="shared" ref="D127:AO127" si="40">SUM(D128)</f>
        <v>6500000</v>
      </c>
      <c r="E127" s="77">
        <f t="shared" si="40"/>
        <v>0</v>
      </c>
      <c r="F127" s="77">
        <f t="shared" si="40"/>
        <v>0</v>
      </c>
      <c r="G127" s="77">
        <f t="shared" si="40"/>
        <v>0</v>
      </c>
      <c r="H127" s="77">
        <f t="shared" si="40"/>
        <v>0</v>
      </c>
      <c r="I127" s="77">
        <f t="shared" si="40"/>
        <v>0</v>
      </c>
      <c r="J127" s="77">
        <f t="shared" si="40"/>
        <v>0</v>
      </c>
      <c r="K127" s="77">
        <f t="shared" si="40"/>
        <v>0</v>
      </c>
      <c r="L127" s="77">
        <f t="shared" si="40"/>
        <v>0</v>
      </c>
      <c r="M127" s="77">
        <f t="shared" si="40"/>
        <v>0</v>
      </c>
      <c r="N127" s="77">
        <f t="shared" si="40"/>
        <v>0</v>
      </c>
      <c r="O127" s="77">
        <f t="shared" si="40"/>
        <v>6500000</v>
      </c>
      <c r="P127" s="77">
        <f t="shared" si="40"/>
        <v>0</v>
      </c>
      <c r="Q127" s="77">
        <f t="shared" si="40"/>
        <v>0</v>
      </c>
      <c r="R127" s="77">
        <f t="shared" si="40"/>
        <v>0</v>
      </c>
      <c r="S127" s="77">
        <f t="shared" si="40"/>
        <v>0</v>
      </c>
      <c r="T127" s="77">
        <f t="shared" si="40"/>
        <v>0</v>
      </c>
      <c r="U127" s="77">
        <f t="shared" si="40"/>
        <v>0</v>
      </c>
      <c r="V127" s="77">
        <f t="shared" si="40"/>
        <v>0</v>
      </c>
      <c r="W127" s="77">
        <f t="shared" si="40"/>
        <v>0</v>
      </c>
      <c r="X127" s="77">
        <f t="shared" si="40"/>
        <v>0</v>
      </c>
      <c r="Y127" s="77">
        <f t="shared" si="40"/>
        <v>0</v>
      </c>
      <c r="Z127" s="77">
        <f t="shared" si="40"/>
        <v>0</v>
      </c>
      <c r="AA127" s="77">
        <f t="shared" si="40"/>
        <v>0</v>
      </c>
      <c r="AB127" s="77">
        <f t="shared" si="40"/>
        <v>0</v>
      </c>
      <c r="AC127" s="77">
        <f t="shared" si="40"/>
        <v>0</v>
      </c>
      <c r="AD127" s="77">
        <f t="shared" si="40"/>
        <v>0</v>
      </c>
      <c r="AE127" s="77">
        <f t="shared" si="40"/>
        <v>1000000</v>
      </c>
      <c r="AF127" s="77">
        <f t="shared" si="40"/>
        <v>0</v>
      </c>
      <c r="AG127" s="77">
        <f t="shared" si="40"/>
        <v>0</v>
      </c>
      <c r="AH127" s="77">
        <f t="shared" si="40"/>
        <v>0</v>
      </c>
      <c r="AI127" s="77">
        <f t="shared" si="40"/>
        <v>1000000</v>
      </c>
      <c r="AJ127" s="77">
        <f t="shared" si="40"/>
        <v>0</v>
      </c>
      <c r="AK127" s="77">
        <f t="shared" si="40"/>
        <v>0</v>
      </c>
      <c r="AL127" s="77">
        <f t="shared" si="40"/>
        <v>0</v>
      </c>
      <c r="AM127" s="77">
        <f t="shared" si="40"/>
        <v>0</v>
      </c>
      <c r="AN127" s="77">
        <f t="shared" si="40"/>
        <v>0</v>
      </c>
      <c r="AO127" s="77">
        <f t="shared" si="40"/>
        <v>0</v>
      </c>
      <c r="AQ127" s="64"/>
      <c r="AR127" s="64"/>
    </row>
    <row r="128" spans="1:44" x14ac:dyDescent="0.25">
      <c r="A128" s="75" t="s">
        <v>203</v>
      </c>
      <c r="B128" s="81" t="s">
        <v>204</v>
      </c>
      <c r="C128" s="75">
        <f>SUM(D128+Y128+AE128+AJ128)</f>
        <v>7500000</v>
      </c>
      <c r="D128" s="75">
        <f>SUM(E128:X128)</f>
        <v>6500000</v>
      </c>
      <c r="E128" s="75">
        <v>0</v>
      </c>
      <c r="F128" s="75">
        <v>0</v>
      </c>
      <c r="G128" s="75">
        <v>0</v>
      </c>
      <c r="H128" s="75">
        <v>0</v>
      </c>
      <c r="I128" s="75">
        <v>0</v>
      </c>
      <c r="J128" s="75">
        <v>0</v>
      </c>
      <c r="K128" s="75">
        <v>0</v>
      </c>
      <c r="L128" s="75">
        <v>0</v>
      </c>
      <c r="M128" s="75">
        <v>0</v>
      </c>
      <c r="N128" s="75">
        <v>0</v>
      </c>
      <c r="O128" s="75">
        <v>6500000</v>
      </c>
      <c r="P128" s="75">
        <v>0</v>
      </c>
      <c r="Q128" s="75">
        <v>0</v>
      </c>
      <c r="R128" s="75">
        <v>0</v>
      </c>
      <c r="S128" s="75">
        <v>0</v>
      </c>
      <c r="T128" s="75">
        <v>0</v>
      </c>
      <c r="U128" s="75">
        <v>0</v>
      </c>
      <c r="V128" s="75">
        <v>0</v>
      </c>
      <c r="W128" s="75">
        <v>0</v>
      </c>
      <c r="X128" s="75">
        <v>0</v>
      </c>
      <c r="Y128" s="75">
        <f>SUM(Z128:AD128)</f>
        <v>0</v>
      </c>
      <c r="Z128" s="75">
        <v>0</v>
      </c>
      <c r="AA128" s="75">
        <v>0</v>
      </c>
      <c r="AB128" s="75">
        <v>0</v>
      </c>
      <c r="AC128" s="75">
        <v>0</v>
      </c>
      <c r="AD128" s="75">
        <v>0</v>
      </c>
      <c r="AE128" s="75">
        <f>SUM(AF128:AI128)</f>
        <v>1000000</v>
      </c>
      <c r="AF128" s="75">
        <v>0</v>
      </c>
      <c r="AG128" s="75">
        <v>0</v>
      </c>
      <c r="AH128" s="75">
        <v>0</v>
      </c>
      <c r="AI128" s="75">
        <v>1000000</v>
      </c>
      <c r="AJ128" s="75">
        <f>SUM(AK128:AL128)</f>
        <v>0</v>
      </c>
      <c r="AK128" s="75">
        <v>0</v>
      </c>
      <c r="AL128" s="75">
        <f>SUM(AM128:AO128)</f>
        <v>0</v>
      </c>
      <c r="AM128" s="75">
        <v>0</v>
      </c>
      <c r="AN128" s="75">
        <v>0</v>
      </c>
      <c r="AO128" s="75">
        <v>0</v>
      </c>
    </row>
    <row r="129" spans="1:44" x14ac:dyDescent="0.25">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row>
    <row r="130" spans="1:44" s="78" customFormat="1" x14ac:dyDescent="0.25">
      <c r="A130" s="86" t="s">
        <v>205</v>
      </c>
      <c r="B130" s="82" t="s">
        <v>206</v>
      </c>
      <c r="C130" s="77">
        <f>SUM(C131:C133)</f>
        <v>1850000</v>
      </c>
      <c r="D130" s="77">
        <f t="shared" ref="D130:AO130" si="41">SUM(D131:D133)</f>
        <v>1850000</v>
      </c>
      <c r="E130" s="77">
        <f t="shared" si="41"/>
        <v>0</v>
      </c>
      <c r="F130" s="77">
        <f t="shared" si="41"/>
        <v>0</v>
      </c>
      <c r="G130" s="77">
        <f t="shared" si="41"/>
        <v>0</v>
      </c>
      <c r="H130" s="77">
        <f t="shared" si="41"/>
        <v>0</v>
      </c>
      <c r="I130" s="77">
        <f t="shared" si="41"/>
        <v>0</v>
      </c>
      <c r="J130" s="77">
        <f t="shared" si="41"/>
        <v>0</v>
      </c>
      <c r="K130" s="77">
        <f t="shared" si="41"/>
        <v>0</v>
      </c>
      <c r="L130" s="77">
        <f t="shared" si="41"/>
        <v>0</v>
      </c>
      <c r="M130" s="77">
        <f t="shared" si="41"/>
        <v>0</v>
      </c>
      <c r="N130" s="77">
        <f t="shared" si="41"/>
        <v>0</v>
      </c>
      <c r="O130" s="77">
        <f t="shared" si="41"/>
        <v>1850000</v>
      </c>
      <c r="P130" s="77">
        <f t="shared" si="41"/>
        <v>0</v>
      </c>
      <c r="Q130" s="77">
        <f t="shared" si="41"/>
        <v>0</v>
      </c>
      <c r="R130" s="77">
        <f t="shared" si="41"/>
        <v>0</v>
      </c>
      <c r="S130" s="77">
        <f t="shared" si="41"/>
        <v>0</v>
      </c>
      <c r="T130" s="77">
        <f t="shared" si="41"/>
        <v>0</v>
      </c>
      <c r="U130" s="77">
        <f t="shared" si="41"/>
        <v>0</v>
      </c>
      <c r="V130" s="77">
        <f t="shared" si="41"/>
        <v>0</v>
      </c>
      <c r="W130" s="77">
        <f t="shared" si="41"/>
        <v>0</v>
      </c>
      <c r="X130" s="77">
        <f t="shared" si="41"/>
        <v>0</v>
      </c>
      <c r="Y130" s="77">
        <f t="shared" si="41"/>
        <v>0</v>
      </c>
      <c r="Z130" s="77">
        <f t="shared" si="41"/>
        <v>0</v>
      </c>
      <c r="AA130" s="77">
        <f t="shared" si="41"/>
        <v>0</v>
      </c>
      <c r="AB130" s="77">
        <f t="shared" si="41"/>
        <v>0</v>
      </c>
      <c r="AC130" s="77">
        <f t="shared" si="41"/>
        <v>0</v>
      </c>
      <c r="AD130" s="77">
        <f t="shared" si="41"/>
        <v>0</v>
      </c>
      <c r="AE130" s="77">
        <f t="shared" si="41"/>
        <v>0</v>
      </c>
      <c r="AF130" s="77">
        <f t="shared" si="41"/>
        <v>0</v>
      </c>
      <c r="AG130" s="77">
        <f t="shared" si="41"/>
        <v>0</v>
      </c>
      <c r="AH130" s="77">
        <f t="shared" si="41"/>
        <v>0</v>
      </c>
      <c r="AI130" s="77">
        <f t="shared" si="41"/>
        <v>0</v>
      </c>
      <c r="AJ130" s="77">
        <f t="shared" si="41"/>
        <v>0</v>
      </c>
      <c r="AK130" s="77">
        <f t="shared" si="41"/>
        <v>0</v>
      </c>
      <c r="AL130" s="77">
        <f t="shared" si="41"/>
        <v>0</v>
      </c>
      <c r="AM130" s="77">
        <f t="shared" si="41"/>
        <v>0</v>
      </c>
      <c r="AN130" s="77">
        <f t="shared" si="41"/>
        <v>0</v>
      </c>
      <c r="AO130" s="77">
        <f t="shared" si="41"/>
        <v>0</v>
      </c>
      <c r="AQ130" s="64"/>
      <c r="AR130" s="64"/>
    </row>
    <row r="131" spans="1:44" x14ac:dyDescent="0.25">
      <c r="A131" s="75" t="s">
        <v>207</v>
      </c>
      <c r="B131" s="81" t="s">
        <v>208</v>
      </c>
      <c r="C131" s="75">
        <f>SUM(D131+Y131+AE131+AJ131)</f>
        <v>200000</v>
      </c>
      <c r="D131" s="75">
        <f>SUM(E131:X131)</f>
        <v>200000</v>
      </c>
      <c r="E131" s="75">
        <v>0</v>
      </c>
      <c r="F131" s="75">
        <v>0</v>
      </c>
      <c r="G131" s="75">
        <v>0</v>
      </c>
      <c r="H131" s="75">
        <v>0</v>
      </c>
      <c r="I131" s="75">
        <v>0</v>
      </c>
      <c r="J131" s="75">
        <v>0</v>
      </c>
      <c r="K131" s="75">
        <v>0</v>
      </c>
      <c r="L131" s="75">
        <v>0</v>
      </c>
      <c r="M131" s="75">
        <v>0</v>
      </c>
      <c r="N131" s="75">
        <v>0</v>
      </c>
      <c r="O131" s="75">
        <v>200000</v>
      </c>
      <c r="P131" s="75">
        <v>0</v>
      </c>
      <c r="Q131" s="75">
        <v>0</v>
      </c>
      <c r="R131" s="75">
        <v>0</v>
      </c>
      <c r="S131" s="75">
        <v>0</v>
      </c>
      <c r="T131" s="75">
        <v>0</v>
      </c>
      <c r="U131" s="75">
        <v>0</v>
      </c>
      <c r="V131" s="75">
        <v>0</v>
      </c>
      <c r="W131" s="75">
        <v>0</v>
      </c>
      <c r="X131" s="75">
        <v>0</v>
      </c>
      <c r="Y131" s="75">
        <f>SUM(Z131:AD131)</f>
        <v>0</v>
      </c>
      <c r="Z131" s="75">
        <v>0</v>
      </c>
      <c r="AA131" s="75">
        <v>0</v>
      </c>
      <c r="AB131" s="75">
        <v>0</v>
      </c>
      <c r="AC131" s="75">
        <v>0</v>
      </c>
      <c r="AD131" s="75">
        <v>0</v>
      </c>
      <c r="AE131" s="75">
        <f>SUM(AF131:AI131)</f>
        <v>0</v>
      </c>
      <c r="AF131" s="75">
        <v>0</v>
      </c>
      <c r="AG131" s="75">
        <v>0</v>
      </c>
      <c r="AH131" s="75">
        <v>0</v>
      </c>
      <c r="AI131" s="75">
        <v>0</v>
      </c>
      <c r="AJ131" s="75">
        <f>SUM(AK131:AL131)</f>
        <v>0</v>
      </c>
      <c r="AK131" s="75">
        <v>0</v>
      </c>
      <c r="AL131" s="75">
        <f>SUM(AM131:AO131)</f>
        <v>0</v>
      </c>
      <c r="AM131" s="75">
        <v>0</v>
      </c>
      <c r="AN131" s="75">
        <v>0</v>
      </c>
      <c r="AO131" s="75">
        <v>0</v>
      </c>
    </row>
    <row r="132" spans="1:44" x14ac:dyDescent="0.25">
      <c r="A132" s="75" t="s">
        <v>209</v>
      </c>
      <c r="B132" s="81" t="s">
        <v>210</v>
      </c>
      <c r="C132" s="75">
        <f>SUM(D132+Y132+AE132+AJ132)</f>
        <v>1400000</v>
      </c>
      <c r="D132" s="75">
        <f>SUM(E132:X132)</f>
        <v>1400000</v>
      </c>
      <c r="E132" s="75">
        <v>0</v>
      </c>
      <c r="F132" s="75">
        <v>0</v>
      </c>
      <c r="G132" s="75">
        <v>0</v>
      </c>
      <c r="H132" s="75">
        <v>0</v>
      </c>
      <c r="I132" s="75">
        <v>0</v>
      </c>
      <c r="J132" s="75">
        <v>0</v>
      </c>
      <c r="K132" s="75">
        <v>0</v>
      </c>
      <c r="L132" s="75">
        <v>0</v>
      </c>
      <c r="M132" s="75">
        <v>0</v>
      </c>
      <c r="N132" s="75">
        <v>0</v>
      </c>
      <c r="O132" s="75">
        <v>1400000</v>
      </c>
      <c r="P132" s="75">
        <v>0</v>
      </c>
      <c r="Q132" s="75">
        <v>0</v>
      </c>
      <c r="R132" s="75">
        <v>0</v>
      </c>
      <c r="S132" s="75">
        <v>0</v>
      </c>
      <c r="T132" s="75">
        <v>0</v>
      </c>
      <c r="U132" s="75">
        <v>0</v>
      </c>
      <c r="V132" s="75">
        <v>0</v>
      </c>
      <c r="W132" s="75">
        <v>0</v>
      </c>
      <c r="X132" s="75">
        <v>0</v>
      </c>
      <c r="Y132" s="75">
        <f>SUM(Z132:AD132)</f>
        <v>0</v>
      </c>
      <c r="Z132" s="75">
        <v>0</v>
      </c>
      <c r="AA132" s="75">
        <v>0</v>
      </c>
      <c r="AB132" s="75">
        <v>0</v>
      </c>
      <c r="AC132" s="75">
        <v>0</v>
      </c>
      <c r="AD132" s="75">
        <v>0</v>
      </c>
      <c r="AE132" s="75">
        <f>SUM(AF132:AI132)</f>
        <v>0</v>
      </c>
      <c r="AF132" s="75">
        <v>0</v>
      </c>
      <c r="AG132" s="75">
        <v>0</v>
      </c>
      <c r="AH132" s="75">
        <v>0</v>
      </c>
      <c r="AI132" s="75">
        <v>0</v>
      </c>
      <c r="AJ132" s="75">
        <f>SUM(AK132:AL132)</f>
        <v>0</v>
      </c>
      <c r="AK132" s="75">
        <v>0</v>
      </c>
      <c r="AL132" s="75">
        <f>SUM(AM132:AO132)</f>
        <v>0</v>
      </c>
      <c r="AM132" s="75">
        <v>0</v>
      </c>
      <c r="AN132" s="75">
        <v>0</v>
      </c>
      <c r="AO132" s="75">
        <v>0</v>
      </c>
    </row>
    <row r="133" spans="1:44" x14ac:dyDescent="0.25">
      <c r="A133" s="75" t="s">
        <v>211</v>
      </c>
      <c r="B133" s="81" t="s">
        <v>212</v>
      </c>
      <c r="C133" s="75">
        <f>SUM(D133+Y133+AE133+AJ133)</f>
        <v>250000</v>
      </c>
      <c r="D133" s="75">
        <f>SUM(E133:X133)</f>
        <v>250000</v>
      </c>
      <c r="E133" s="75">
        <v>0</v>
      </c>
      <c r="F133" s="75">
        <v>0</v>
      </c>
      <c r="G133" s="75">
        <v>0</v>
      </c>
      <c r="H133" s="75">
        <v>0</v>
      </c>
      <c r="I133" s="75">
        <v>0</v>
      </c>
      <c r="J133" s="75">
        <v>0</v>
      </c>
      <c r="K133" s="75">
        <v>0</v>
      </c>
      <c r="L133" s="75">
        <v>0</v>
      </c>
      <c r="M133" s="75">
        <v>0</v>
      </c>
      <c r="N133" s="75">
        <v>0</v>
      </c>
      <c r="O133" s="75">
        <v>250000</v>
      </c>
      <c r="P133" s="75">
        <v>0</v>
      </c>
      <c r="Q133" s="75">
        <v>0</v>
      </c>
      <c r="R133" s="75">
        <v>0</v>
      </c>
      <c r="S133" s="75">
        <v>0</v>
      </c>
      <c r="T133" s="75">
        <v>0</v>
      </c>
      <c r="U133" s="75">
        <v>0</v>
      </c>
      <c r="V133" s="75">
        <v>0</v>
      </c>
      <c r="W133" s="75">
        <v>0</v>
      </c>
      <c r="X133" s="75">
        <v>0</v>
      </c>
      <c r="Y133" s="75">
        <f>SUM(Z133:AD133)</f>
        <v>0</v>
      </c>
      <c r="Z133" s="75">
        <v>0</v>
      </c>
      <c r="AA133" s="75">
        <v>0</v>
      </c>
      <c r="AB133" s="75">
        <v>0</v>
      </c>
      <c r="AC133" s="75">
        <v>0</v>
      </c>
      <c r="AD133" s="75">
        <v>0</v>
      </c>
      <c r="AE133" s="75">
        <f>SUM(AF133:AI133)</f>
        <v>0</v>
      </c>
      <c r="AF133" s="75">
        <v>0</v>
      </c>
      <c r="AG133" s="75">
        <v>0</v>
      </c>
      <c r="AH133" s="75">
        <v>0</v>
      </c>
      <c r="AI133" s="75">
        <v>0</v>
      </c>
      <c r="AJ133" s="75">
        <f>SUM(AK133:AL133)</f>
        <v>0</v>
      </c>
      <c r="AK133" s="75">
        <v>0</v>
      </c>
      <c r="AL133" s="75">
        <f>SUM(AM133:AO133)</f>
        <v>0</v>
      </c>
      <c r="AM133" s="75">
        <v>0</v>
      </c>
      <c r="AN133" s="75">
        <v>0</v>
      </c>
      <c r="AO133" s="75">
        <v>0</v>
      </c>
    </row>
    <row r="134" spans="1:44" x14ac:dyDescent="0.25">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row>
    <row r="135" spans="1:44" s="78" customFormat="1" x14ac:dyDescent="0.25">
      <c r="A135" s="90">
        <v>2</v>
      </c>
      <c r="B135" s="82" t="s">
        <v>213</v>
      </c>
      <c r="C135" s="77">
        <f>SUM(C137+C144+C148+C157+C161)</f>
        <v>139416877.12</v>
      </c>
      <c r="D135" s="77">
        <f t="shared" ref="D135:AO135" si="42">SUM(D137+D144+D148+D157+D161)</f>
        <v>122140877.12</v>
      </c>
      <c r="E135" s="77">
        <f t="shared" si="42"/>
        <v>3000</v>
      </c>
      <c r="F135" s="77">
        <f t="shared" si="42"/>
        <v>91498.03</v>
      </c>
      <c r="G135" s="77">
        <f t="shared" si="42"/>
        <v>6000000</v>
      </c>
      <c r="H135" s="77">
        <f t="shared" si="42"/>
        <v>0</v>
      </c>
      <c r="I135" s="77">
        <f t="shared" si="42"/>
        <v>9050000</v>
      </c>
      <c r="J135" s="77">
        <f t="shared" si="42"/>
        <v>0</v>
      </c>
      <c r="K135" s="77">
        <f t="shared" si="42"/>
        <v>0</v>
      </c>
      <c r="L135" s="77">
        <f t="shared" si="42"/>
        <v>0</v>
      </c>
      <c r="M135" s="77">
        <f t="shared" si="42"/>
        <v>0</v>
      </c>
      <c r="N135" s="77">
        <f t="shared" si="42"/>
        <v>0</v>
      </c>
      <c r="O135" s="77">
        <f t="shared" si="42"/>
        <v>73400000</v>
      </c>
      <c r="P135" s="77">
        <f t="shared" si="42"/>
        <v>0</v>
      </c>
      <c r="Q135" s="77">
        <f t="shared" si="42"/>
        <v>0</v>
      </c>
      <c r="R135" s="77">
        <f t="shared" si="42"/>
        <v>1260000</v>
      </c>
      <c r="S135" s="77">
        <f t="shared" si="42"/>
        <v>0</v>
      </c>
      <c r="T135" s="77">
        <f t="shared" si="42"/>
        <v>1300000</v>
      </c>
      <c r="U135" s="77">
        <f t="shared" si="42"/>
        <v>541000</v>
      </c>
      <c r="V135" s="77">
        <f t="shared" si="42"/>
        <v>14378924</v>
      </c>
      <c r="W135" s="77">
        <f t="shared" si="42"/>
        <v>13416455.09</v>
      </c>
      <c r="X135" s="77">
        <f t="shared" si="42"/>
        <v>2700000</v>
      </c>
      <c r="Y135" s="77">
        <f t="shared" si="42"/>
        <v>2151000</v>
      </c>
      <c r="Z135" s="77">
        <f t="shared" si="42"/>
        <v>335000</v>
      </c>
      <c r="AA135" s="77">
        <f t="shared" si="42"/>
        <v>700000</v>
      </c>
      <c r="AB135" s="77">
        <f t="shared" si="42"/>
        <v>600000</v>
      </c>
      <c r="AC135" s="77">
        <f t="shared" si="42"/>
        <v>271000</v>
      </c>
      <c r="AD135" s="77">
        <f t="shared" si="42"/>
        <v>245000</v>
      </c>
      <c r="AE135" s="77">
        <f t="shared" si="42"/>
        <v>0</v>
      </c>
      <c r="AF135" s="77">
        <f t="shared" si="42"/>
        <v>0</v>
      </c>
      <c r="AG135" s="77">
        <f t="shared" si="42"/>
        <v>0</v>
      </c>
      <c r="AH135" s="77">
        <f t="shared" si="42"/>
        <v>0</v>
      </c>
      <c r="AI135" s="77">
        <f t="shared" si="42"/>
        <v>0</v>
      </c>
      <c r="AJ135" s="77">
        <f t="shared" si="42"/>
        <v>15125000</v>
      </c>
      <c r="AK135" s="77">
        <f t="shared" si="42"/>
        <v>14625000</v>
      </c>
      <c r="AL135" s="77">
        <f t="shared" si="42"/>
        <v>500000</v>
      </c>
      <c r="AM135" s="77">
        <f t="shared" si="42"/>
        <v>500000</v>
      </c>
      <c r="AN135" s="77">
        <f t="shared" si="42"/>
        <v>0</v>
      </c>
      <c r="AO135" s="77">
        <f t="shared" si="42"/>
        <v>0</v>
      </c>
      <c r="AQ135" s="64"/>
      <c r="AR135" s="64"/>
    </row>
    <row r="136" spans="1:44" s="78" customFormat="1" x14ac:dyDescent="0.25">
      <c r="A136" s="90"/>
      <c r="B136" s="82"/>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Q136" s="64"/>
      <c r="AR136" s="64"/>
    </row>
    <row r="137" spans="1:44" s="78" customFormat="1" x14ac:dyDescent="0.25">
      <c r="A137" s="86" t="s">
        <v>214</v>
      </c>
      <c r="B137" s="82" t="s">
        <v>215</v>
      </c>
      <c r="C137" s="77">
        <f>SUM(C138:C142)</f>
        <v>13761851.030000001</v>
      </c>
      <c r="D137" s="77">
        <f t="shared" ref="D137:AO137" si="43">SUM(D138:D142)</f>
        <v>11511851.030000001</v>
      </c>
      <c r="E137" s="77">
        <f t="shared" si="43"/>
        <v>0</v>
      </c>
      <c r="F137" s="77">
        <f t="shared" si="43"/>
        <v>91498.03</v>
      </c>
      <c r="G137" s="77">
        <f t="shared" si="43"/>
        <v>0</v>
      </c>
      <c r="H137" s="77">
        <f t="shared" si="43"/>
        <v>0</v>
      </c>
      <c r="I137" s="77">
        <f t="shared" si="43"/>
        <v>100000</v>
      </c>
      <c r="J137" s="77">
        <f t="shared" si="43"/>
        <v>0</v>
      </c>
      <c r="K137" s="77">
        <f t="shared" si="43"/>
        <v>0</v>
      </c>
      <c r="L137" s="77">
        <f t="shared" si="43"/>
        <v>0</v>
      </c>
      <c r="M137" s="77">
        <f t="shared" si="43"/>
        <v>0</v>
      </c>
      <c r="N137" s="77">
        <f t="shared" si="43"/>
        <v>0</v>
      </c>
      <c r="O137" s="77">
        <f t="shared" si="43"/>
        <v>8325000</v>
      </c>
      <c r="P137" s="77">
        <f t="shared" si="43"/>
        <v>0</v>
      </c>
      <c r="Q137" s="77">
        <f t="shared" si="43"/>
        <v>0</v>
      </c>
      <c r="R137" s="77">
        <f t="shared" si="43"/>
        <v>0</v>
      </c>
      <c r="S137" s="77">
        <f t="shared" si="43"/>
        <v>0</v>
      </c>
      <c r="T137" s="77">
        <f t="shared" si="43"/>
        <v>0</v>
      </c>
      <c r="U137" s="77">
        <f t="shared" si="43"/>
        <v>12000</v>
      </c>
      <c r="V137" s="77">
        <f t="shared" si="43"/>
        <v>1733353</v>
      </c>
      <c r="W137" s="77">
        <f t="shared" si="43"/>
        <v>1250000</v>
      </c>
      <c r="X137" s="77">
        <f t="shared" si="43"/>
        <v>0</v>
      </c>
      <c r="Y137" s="77">
        <f t="shared" si="43"/>
        <v>50000</v>
      </c>
      <c r="Z137" s="77">
        <f t="shared" si="43"/>
        <v>50000</v>
      </c>
      <c r="AA137" s="77">
        <f t="shared" si="43"/>
        <v>0</v>
      </c>
      <c r="AB137" s="77">
        <f t="shared" si="43"/>
        <v>0</v>
      </c>
      <c r="AC137" s="77">
        <f t="shared" si="43"/>
        <v>0</v>
      </c>
      <c r="AD137" s="77">
        <f t="shared" si="43"/>
        <v>0</v>
      </c>
      <c r="AE137" s="77">
        <f t="shared" si="43"/>
        <v>0</v>
      </c>
      <c r="AF137" s="77">
        <f t="shared" si="43"/>
        <v>0</v>
      </c>
      <c r="AG137" s="77">
        <f t="shared" si="43"/>
        <v>0</v>
      </c>
      <c r="AH137" s="77">
        <f t="shared" si="43"/>
        <v>0</v>
      </c>
      <c r="AI137" s="77">
        <f t="shared" si="43"/>
        <v>0</v>
      </c>
      <c r="AJ137" s="77">
        <f t="shared" si="43"/>
        <v>2200000</v>
      </c>
      <c r="AK137" s="77">
        <f t="shared" si="43"/>
        <v>2050000</v>
      </c>
      <c r="AL137" s="77">
        <f t="shared" si="43"/>
        <v>150000</v>
      </c>
      <c r="AM137" s="77">
        <f t="shared" si="43"/>
        <v>150000</v>
      </c>
      <c r="AN137" s="77">
        <f t="shared" si="43"/>
        <v>0</v>
      </c>
      <c r="AO137" s="77">
        <f t="shared" si="43"/>
        <v>0</v>
      </c>
      <c r="AQ137" s="64"/>
      <c r="AR137" s="64"/>
    </row>
    <row r="138" spans="1:44" x14ac:dyDescent="0.25">
      <c r="A138" s="75" t="s">
        <v>216</v>
      </c>
      <c r="B138" s="81" t="s">
        <v>217</v>
      </c>
      <c r="C138" s="75">
        <f>SUM(D138+Y138+AE138+AJ138)</f>
        <v>7425000</v>
      </c>
      <c r="D138" s="75">
        <f>SUM(E138:X138)</f>
        <v>7425000</v>
      </c>
      <c r="E138" s="75">
        <v>0</v>
      </c>
      <c r="F138" s="75">
        <v>0</v>
      </c>
      <c r="G138" s="75">
        <v>0</v>
      </c>
      <c r="H138" s="75">
        <v>0</v>
      </c>
      <c r="I138" s="75">
        <v>0</v>
      </c>
      <c r="J138" s="75">
        <v>0</v>
      </c>
      <c r="K138" s="75">
        <v>0</v>
      </c>
      <c r="L138" s="75">
        <v>0</v>
      </c>
      <c r="M138" s="75">
        <v>0</v>
      </c>
      <c r="N138" s="75">
        <v>0</v>
      </c>
      <c r="O138" s="75">
        <v>7425000</v>
      </c>
      <c r="P138" s="75">
        <v>0</v>
      </c>
      <c r="Q138" s="75">
        <v>0</v>
      </c>
      <c r="R138" s="75">
        <v>0</v>
      </c>
      <c r="S138" s="75">
        <v>0</v>
      </c>
      <c r="T138" s="75">
        <v>0</v>
      </c>
      <c r="U138" s="75">
        <v>0</v>
      </c>
      <c r="V138" s="75">
        <v>0</v>
      </c>
      <c r="W138" s="75">
        <v>0</v>
      </c>
      <c r="X138" s="75">
        <v>0</v>
      </c>
      <c r="Y138" s="75">
        <f>SUM(Z138:AD138)</f>
        <v>0</v>
      </c>
      <c r="Z138" s="75">
        <v>0</v>
      </c>
      <c r="AA138" s="75">
        <v>0</v>
      </c>
      <c r="AB138" s="75">
        <v>0</v>
      </c>
      <c r="AC138" s="75">
        <v>0</v>
      </c>
      <c r="AD138" s="75">
        <v>0</v>
      </c>
      <c r="AE138" s="75">
        <f>SUM(AF138:AI138)</f>
        <v>0</v>
      </c>
      <c r="AF138" s="75">
        <v>0</v>
      </c>
      <c r="AG138" s="75">
        <v>0</v>
      </c>
      <c r="AH138" s="75">
        <v>0</v>
      </c>
      <c r="AI138" s="75">
        <v>0</v>
      </c>
      <c r="AJ138" s="75">
        <f>SUM(AK138:AL138)</f>
        <v>0</v>
      </c>
      <c r="AK138" s="75">
        <v>0</v>
      </c>
      <c r="AL138" s="75">
        <f>SUM(AM138:AO138)</f>
        <v>0</v>
      </c>
      <c r="AM138" s="75">
        <v>0</v>
      </c>
      <c r="AN138" s="75">
        <v>0</v>
      </c>
      <c r="AO138" s="75">
        <v>0</v>
      </c>
    </row>
    <row r="139" spans="1:44" x14ac:dyDescent="0.25">
      <c r="A139" s="75" t="s">
        <v>218</v>
      </c>
      <c r="B139" s="81" t="s">
        <v>219</v>
      </c>
      <c r="C139" s="75">
        <f>SUM(D139+Y139+AE139+AJ139)</f>
        <v>1700000</v>
      </c>
      <c r="D139" s="75">
        <f>SUM(E139:X139)</f>
        <v>1700000</v>
      </c>
      <c r="E139" s="75">
        <v>0</v>
      </c>
      <c r="F139" s="75">
        <v>0</v>
      </c>
      <c r="G139" s="75">
        <v>0</v>
      </c>
      <c r="H139" s="75">
        <v>0</v>
      </c>
      <c r="I139" s="75">
        <v>0</v>
      </c>
      <c r="J139" s="75">
        <v>0</v>
      </c>
      <c r="K139" s="75">
        <v>0</v>
      </c>
      <c r="L139" s="75">
        <v>0</v>
      </c>
      <c r="M139" s="75">
        <v>0</v>
      </c>
      <c r="N139" s="75">
        <v>0</v>
      </c>
      <c r="O139" s="75">
        <v>450000</v>
      </c>
      <c r="P139" s="75">
        <v>0</v>
      </c>
      <c r="Q139" s="75">
        <v>0</v>
      </c>
      <c r="R139" s="75">
        <v>0</v>
      </c>
      <c r="S139" s="75">
        <v>0</v>
      </c>
      <c r="T139" s="75">
        <v>0</v>
      </c>
      <c r="U139" s="75">
        <v>0</v>
      </c>
      <c r="V139" s="75">
        <v>0</v>
      </c>
      <c r="W139" s="75">
        <v>1250000</v>
      </c>
      <c r="X139" s="75">
        <v>0</v>
      </c>
      <c r="Y139" s="75">
        <f>SUM(Z139:AD139)</f>
        <v>0</v>
      </c>
      <c r="Z139" s="75">
        <v>0</v>
      </c>
      <c r="AA139" s="75">
        <v>0</v>
      </c>
      <c r="AB139" s="75">
        <v>0</v>
      </c>
      <c r="AC139" s="75">
        <v>0</v>
      </c>
      <c r="AD139" s="75">
        <v>0</v>
      </c>
      <c r="AE139" s="75">
        <f>SUM(AF139:AI139)</f>
        <v>0</v>
      </c>
      <c r="AF139" s="75">
        <v>0</v>
      </c>
      <c r="AG139" s="75">
        <v>0</v>
      </c>
      <c r="AH139" s="75">
        <v>0</v>
      </c>
      <c r="AI139" s="75">
        <v>0</v>
      </c>
      <c r="AJ139" s="75">
        <f>SUM(AK139:AL139)</f>
        <v>0</v>
      </c>
      <c r="AK139" s="75">
        <v>0</v>
      </c>
      <c r="AL139" s="75">
        <f>SUM(AM139:AO139)</f>
        <v>0</v>
      </c>
      <c r="AM139" s="75">
        <v>0</v>
      </c>
      <c r="AN139" s="75">
        <v>0</v>
      </c>
      <c r="AO139" s="75">
        <v>0</v>
      </c>
    </row>
    <row r="140" spans="1:44" x14ac:dyDescent="0.25">
      <c r="A140" s="75" t="s">
        <v>220</v>
      </c>
      <c r="B140" s="87" t="s">
        <v>221</v>
      </c>
      <c r="C140" s="75">
        <f>SUM(D140+Y140+AE140+AJ140)</f>
        <v>150000</v>
      </c>
      <c r="D140" s="75">
        <f>SUM(E140:X140)</f>
        <v>150000</v>
      </c>
      <c r="E140" s="75">
        <v>0</v>
      </c>
      <c r="F140" s="75">
        <v>0</v>
      </c>
      <c r="G140" s="75">
        <v>0</v>
      </c>
      <c r="H140" s="75">
        <v>0</v>
      </c>
      <c r="I140" s="75">
        <v>0</v>
      </c>
      <c r="J140" s="75">
        <v>0</v>
      </c>
      <c r="K140" s="75">
        <v>0</v>
      </c>
      <c r="L140" s="75">
        <v>0</v>
      </c>
      <c r="M140" s="75">
        <v>0</v>
      </c>
      <c r="N140" s="75">
        <v>0</v>
      </c>
      <c r="O140" s="75">
        <v>150000</v>
      </c>
      <c r="P140" s="75">
        <v>0</v>
      </c>
      <c r="Q140" s="75">
        <v>0</v>
      </c>
      <c r="R140" s="75">
        <v>0</v>
      </c>
      <c r="S140" s="75">
        <v>0</v>
      </c>
      <c r="T140" s="75">
        <v>0</v>
      </c>
      <c r="U140" s="75">
        <v>0</v>
      </c>
      <c r="V140" s="75">
        <v>0</v>
      </c>
      <c r="W140" s="75">
        <v>0</v>
      </c>
      <c r="X140" s="75">
        <v>0</v>
      </c>
      <c r="Y140" s="75">
        <f>SUM(Z140:AD140)</f>
        <v>0</v>
      </c>
      <c r="Z140" s="75">
        <v>0</v>
      </c>
      <c r="AA140" s="75">
        <v>0</v>
      </c>
      <c r="AB140" s="75">
        <v>0</v>
      </c>
      <c r="AC140" s="75">
        <v>0</v>
      </c>
      <c r="AD140" s="75">
        <v>0</v>
      </c>
      <c r="AE140" s="75">
        <f>SUM(AF140:AI140)</f>
        <v>0</v>
      </c>
      <c r="AF140" s="75">
        <v>0</v>
      </c>
      <c r="AG140" s="75">
        <v>0</v>
      </c>
      <c r="AH140" s="75">
        <v>0</v>
      </c>
      <c r="AI140" s="75">
        <v>0</v>
      </c>
      <c r="AJ140" s="75">
        <f>SUM(AK140:AL140)</f>
        <v>0</v>
      </c>
      <c r="AK140" s="75">
        <v>0</v>
      </c>
      <c r="AL140" s="75">
        <f>SUM(AM140:AO140)</f>
        <v>0</v>
      </c>
      <c r="AM140" s="75">
        <v>0</v>
      </c>
      <c r="AN140" s="75">
        <v>0</v>
      </c>
      <c r="AO140" s="75">
        <v>0</v>
      </c>
    </row>
    <row r="141" spans="1:44" x14ac:dyDescent="0.25">
      <c r="A141" s="75" t="s">
        <v>222</v>
      </c>
      <c r="B141" s="81" t="s">
        <v>223</v>
      </c>
      <c r="C141" s="75">
        <f>SUM(D141+Y141+AE141+AJ141)</f>
        <v>4424851.03</v>
      </c>
      <c r="D141" s="75">
        <f>SUM(E141:X141)</f>
        <v>2224851.0300000003</v>
      </c>
      <c r="E141" s="75">
        <v>0</v>
      </c>
      <c r="F141" s="75">
        <v>91498.03</v>
      </c>
      <c r="G141" s="75">
        <v>0</v>
      </c>
      <c r="H141" s="75">
        <v>0</v>
      </c>
      <c r="I141" s="75">
        <v>100000</v>
      </c>
      <c r="J141" s="75">
        <v>0</v>
      </c>
      <c r="K141" s="75">
        <v>0</v>
      </c>
      <c r="L141" s="75">
        <v>0</v>
      </c>
      <c r="M141" s="75">
        <v>0</v>
      </c>
      <c r="N141" s="75">
        <v>0</v>
      </c>
      <c r="O141" s="75">
        <v>300000</v>
      </c>
      <c r="P141" s="75">
        <v>0</v>
      </c>
      <c r="Q141" s="75">
        <v>0</v>
      </c>
      <c r="R141" s="75">
        <v>0</v>
      </c>
      <c r="S141" s="75">
        <v>0</v>
      </c>
      <c r="T141" s="75">
        <v>0</v>
      </c>
      <c r="U141" s="75">
        <v>0</v>
      </c>
      <c r="V141" s="75">
        <f>1036046+697307</f>
        <v>1733353</v>
      </c>
      <c r="W141" s="75">
        <v>0</v>
      </c>
      <c r="X141" s="75">
        <v>0</v>
      </c>
      <c r="Y141" s="75">
        <f>SUM(Z141:AD141)</f>
        <v>50000</v>
      </c>
      <c r="Z141" s="75">
        <v>50000</v>
      </c>
      <c r="AA141" s="75">
        <v>0</v>
      </c>
      <c r="AB141" s="75">
        <v>0</v>
      </c>
      <c r="AC141" s="75">
        <v>0</v>
      </c>
      <c r="AD141" s="75">
        <v>0</v>
      </c>
      <c r="AE141" s="75">
        <f>SUM(AF141:AI141)</f>
        <v>0</v>
      </c>
      <c r="AF141" s="75">
        <v>0</v>
      </c>
      <c r="AG141" s="75">
        <v>0</v>
      </c>
      <c r="AH141" s="75">
        <v>0</v>
      </c>
      <c r="AI141" s="75">
        <v>0</v>
      </c>
      <c r="AJ141" s="75">
        <f>SUM(AK141:AL141)</f>
        <v>2150000</v>
      </c>
      <c r="AK141" s="75">
        <v>2000000</v>
      </c>
      <c r="AL141" s="75">
        <f>SUM(AM141:AO141)</f>
        <v>150000</v>
      </c>
      <c r="AM141" s="75">
        <v>150000</v>
      </c>
      <c r="AN141" s="75">
        <v>0</v>
      </c>
      <c r="AO141" s="75">
        <v>0</v>
      </c>
    </row>
    <row r="142" spans="1:44" x14ac:dyDescent="0.25">
      <c r="A142" s="75" t="s">
        <v>224</v>
      </c>
      <c r="B142" s="81" t="s">
        <v>225</v>
      </c>
      <c r="C142" s="75">
        <f>SUM(D142+Y142+AE142+AJ142)</f>
        <v>62000</v>
      </c>
      <c r="D142" s="75">
        <f>SUM(E142:X142)</f>
        <v>12000</v>
      </c>
      <c r="E142" s="75">
        <v>0</v>
      </c>
      <c r="F142" s="75">
        <v>0</v>
      </c>
      <c r="G142" s="75">
        <v>0</v>
      </c>
      <c r="H142" s="75">
        <v>0</v>
      </c>
      <c r="I142" s="75">
        <v>0</v>
      </c>
      <c r="J142" s="75">
        <v>0</v>
      </c>
      <c r="K142" s="75">
        <v>0</v>
      </c>
      <c r="L142" s="75">
        <v>0</v>
      </c>
      <c r="M142" s="75">
        <v>0</v>
      </c>
      <c r="N142" s="75">
        <v>0</v>
      </c>
      <c r="O142" s="75">
        <v>0</v>
      </c>
      <c r="P142" s="75">
        <v>0</v>
      </c>
      <c r="Q142" s="75">
        <v>0</v>
      </c>
      <c r="R142" s="75">
        <v>0</v>
      </c>
      <c r="S142" s="75">
        <v>0</v>
      </c>
      <c r="T142" s="75">
        <v>0</v>
      </c>
      <c r="U142" s="75">
        <v>12000</v>
      </c>
      <c r="V142" s="75">
        <v>0</v>
      </c>
      <c r="W142" s="75">
        <v>0</v>
      </c>
      <c r="X142" s="75">
        <v>0</v>
      </c>
      <c r="Y142" s="75">
        <f>SUM(Z142:AD142)</f>
        <v>0</v>
      </c>
      <c r="Z142" s="75">
        <v>0</v>
      </c>
      <c r="AA142" s="75">
        <v>0</v>
      </c>
      <c r="AB142" s="75">
        <v>0</v>
      </c>
      <c r="AC142" s="75">
        <v>0</v>
      </c>
      <c r="AD142" s="75">
        <v>0</v>
      </c>
      <c r="AE142" s="75">
        <f>SUM(AF142:AI142)</f>
        <v>0</v>
      </c>
      <c r="AF142" s="75">
        <v>0</v>
      </c>
      <c r="AG142" s="75">
        <v>0</v>
      </c>
      <c r="AH142" s="75">
        <v>0</v>
      </c>
      <c r="AI142" s="75">
        <v>0</v>
      </c>
      <c r="AJ142" s="75">
        <f>SUM(AK142:AL142)</f>
        <v>50000</v>
      </c>
      <c r="AK142" s="75">
        <v>50000</v>
      </c>
      <c r="AL142" s="75">
        <f>SUM(AM142:AO142)</f>
        <v>0</v>
      </c>
      <c r="AM142" s="75">
        <v>0</v>
      </c>
      <c r="AN142" s="75">
        <v>0</v>
      </c>
      <c r="AO142" s="75">
        <v>0</v>
      </c>
    </row>
    <row r="143" spans="1:44" x14ac:dyDescent="0.25">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row>
    <row r="144" spans="1:44" s="78" customFormat="1" x14ac:dyDescent="0.25">
      <c r="A144" s="86" t="s">
        <v>226</v>
      </c>
      <c r="B144" s="82" t="s">
        <v>227</v>
      </c>
      <c r="C144" s="77">
        <f>SUM(C145:C146)</f>
        <v>3750000</v>
      </c>
      <c r="D144" s="77">
        <f t="shared" ref="D144:AO144" si="44">SUM(D145:D146)</f>
        <v>2100000</v>
      </c>
      <c r="E144" s="77">
        <f t="shared" si="44"/>
        <v>0</v>
      </c>
      <c r="F144" s="77">
        <f t="shared" si="44"/>
        <v>0</v>
      </c>
      <c r="G144" s="77">
        <f t="shared" si="44"/>
        <v>0</v>
      </c>
      <c r="H144" s="77">
        <f t="shared" si="44"/>
        <v>0</v>
      </c>
      <c r="I144" s="77">
        <f t="shared" si="44"/>
        <v>0</v>
      </c>
      <c r="J144" s="77">
        <f t="shared" si="44"/>
        <v>0</v>
      </c>
      <c r="K144" s="77">
        <f t="shared" si="44"/>
        <v>0</v>
      </c>
      <c r="L144" s="77">
        <f t="shared" si="44"/>
        <v>0</v>
      </c>
      <c r="M144" s="77">
        <f t="shared" si="44"/>
        <v>0</v>
      </c>
      <c r="N144" s="77">
        <f t="shared" si="44"/>
        <v>0</v>
      </c>
      <c r="O144" s="77">
        <f t="shared" si="44"/>
        <v>600000</v>
      </c>
      <c r="P144" s="77">
        <f t="shared" si="44"/>
        <v>0</v>
      </c>
      <c r="Q144" s="77">
        <f t="shared" si="44"/>
        <v>0</v>
      </c>
      <c r="R144" s="77">
        <f t="shared" si="44"/>
        <v>0</v>
      </c>
      <c r="S144" s="77">
        <f t="shared" si="44"/>
        <v>0</v>
      </c>
      <c r="T144" s="77">
        <f t="shared" si="44"/>
        <v>0</v>
      </c>
      <c r="U144" s="77">
        <f t="shared" si="44"/>
        <v>0</v>
      </c>
      <c r="V144" s="77">
        <f t="shared" si="44"/>
        <v>0</v>
      </c>
      <c r="W144" s="77">
        <f t="shared" si="44"/>
        <v>0</v>
      </c>
      <c r="X144" s="77">
        <f t="shared" si="44"/>
        <v>1500000</v>
      </c>
      <c r="Y144" s="77">
        <f t="shared" si="44"/>
        <v>150000</v>
      </c>
      <c r="Z144" s="77">
        <f t="shared" si="44"/>
        <v>0</v>
      </c>
      <c r="AA144" s="77">
        <f t="shared" si="44"/>
        <v>150000</v>
      </c>
      <c r="AB144" s="77">
        <f t="shared" si="44"/>
        <v>0</v>
      </c>
      <c r="AC144" s="77">
        <f t="shared" si="44"/>
        <v>0</v>
      </c>
      <c r="AD144" s="77">
        <f t="shared" si="44"/>
        <v>0</v>
      </c>
      <c r="AE144" s="77">
        <f t="shared" si="44"/>
        <v>0</v>
      </c>
      <c r="AF144" s="77">
        <f t="shared" si="44"/>
        <v>0</v>
      </c>
      <c r="AG144" s="77">
        <f t="shared" si="44"/>
        <v>0</v>
      </c>
      <c r="AH144" s="77">
        <f t="shared" si="44"/>
        <v>0</v>
      </c>
      <c r="AI144" s="77">
        <f t="shared" si="44"/>
        <v>0</v>
      </c>
      <c r="AJ144" s="77">
        <f t="shared" si="44"/>
        <v>1500000</v>
      </c>
      <c r="AK144" s="77">
        <f t="shared" si="44"/>
        <v>1500000</v>
      </c>
      <c r="AL144" s="77">
        <f t="shared" si="44"/>
        <v>0</v>
      </c>
      <c r="AM144" s="77">
        <f t="shared" si="44"/>
        <v>0</v>
      </c>
      <c r="AN144" s="77">
        <f t="shared" si="44"/>
        <v>0</v>
      </c>
      <c r="AO144" s="77">
        <f t="shared" si="44"/>
        <v>0</v>
      </c>
      <c r="AQ144" s="64"/>
      <c r="AR144" s="64"/>
    </row>
    <row r="145" spans="1:44" x14ac:dyDescent="0.25">
      <c r="A145" s="75" t="s">
        <v>228</v>
      </c>
      <c r="B145" s="81" t="s">
        <v>229</v>
      </c>
      <c r="C145" s="75">
        <f>SUM(D145+Y145+AE145+AJ145)</f>
        <v>3150000</v>
      </c>
      <c r="D145" s="75">
        <f>SUM(E145:X145)</f>
        <v>1500000</v>
      </c>
      <c r="E145" s="75">
        <v>0</v>
      </c>
      <c r="F145" s="75">
        <v>0</v>
      </c>
      <c r="G145" s="75">
        <v>0</v>
      </c>
      <c r="H145" s="75">
        <v>0</v>
      </c>
      <c r="I145" s="75">
        <v>0</v>
      </c>
      <c r="J145" s="75">
        <v>0</v>
      </c>
      <c r="K145" s="75">
        <v>0</v>
      </c>
      <c r="L145" s="75">
        <v>0</v>
      </c>
      <c r="M145" s="75">
        <v>0</v>
      </c>
      <c r="N145" s="75">
        <v>0</v>
      </c>
      <c r="O145" s="75">
        <v>0</v>
      </c>
      <c r="P145" s="75">
        <v>0</v>
      </c>
      <c r="Q145" s="75">
        <v>0</v>
      </c>
      <c r="R145" s="75">
        <v>0</v>
      </c>
      <c r="S145" s="75">
        <v>0</v>
      </c>
      <c r="T145" s="75">
        <v>0</v>
      </c>
      <c r="U145" s="75">
        <v>0</v>
      </c>
      <c r="V145" s="75">
        <v>0</v>
      </c>
      <c r="W145" s="75">
        <v>0</v>
      </c>
      <c r="X145" s="75">
        <v>1500000</v>
      </c>
      <c r="Y145" s="75">
        <f>SUM(Z145:AD145)</f>
        <v>150000</v>
      </c>
      <c r="Z145" s="75">
        <v>0</v>
      </c>
      <c r="AA145" s="75">
        <v>150000</v>
      </c>
      <c r="AB145" s="75">
        <v>0</v>
      </c>
      <c r="AC145" s="75">
        <v>0</v>
      </c>
      <c r="AD145" s="75">
        <v>0</v>
      </c>
      <c r="AE145" s="75">
        <f>SUM(AF145:AI145)</f>
        <v>0</v>
      </c>
      <c r="AF145" s="75">
        <v>0</v>
      </c>
      <c r="AG145" s="75">
        <v>0</v>
      </c>
      <c r="AH145" s="75">
        <v>0</v>
      </c>
      <c r="AI145" s="75">
        <v>0</v>
      </c>
      <c r="AJ145" s="75">
        <f>SUM(AK145:AL145)</f>
        <v>1500000</v>
      </c>
      <c r="AK145" s="75">
        <f>+[5]Matriz!$H$13</f>
        <v>1500000</v>
      </c>
      <c r="AL145" s="75">
        <f>SUM(AM145:AO145)</f>
        <v>0</v>
      </c>
      <c r="AM145" s="75">
        <v>0</v>
      </c>
      <c r="AN145" s="75">
        <v>0</v>
      </c>
      <c r="AO145" s="75">
        <v>0</v>
      </c>
    </row>
    <row r="146" spans="1:44" x14ac:dyDescent="0.25">
      <c r="A146" s="75" t="s">
        <v>230</v>
      </c>
      <c r="B146" s="87" t="s">
        <v>231</v>
      </c>
      <c r="C146" s="75">
        <f>SUM(D146+Y146+AE146+AJ146)</f>
        <v>600000</v>
      </c>
      <c r="D146" s="75">
        <f>SUM(E146:X146)</f>
        <v>600000</v>
      </c>
      <c r="E146" s="75">
        <v>0</v>
      </c>
      <c r="F146" s="75">
        <v>0</v>
      </c>
      <c r="G146" s="75">
        <v>0</v>
      </c>
      <c r="H146" s="75">
        <v>0</v>
      </c>
      <c r="I146" s="75">
        <v>0</v>
      </c>
      <c r="J146" s="75">
        <v>0</v>
      </c>
      <c r="K146" s="75">
        <v>0</v>
      </c>
      <c r="L146" s="75">
        <v>0</v>
      </c>
      <c r="M146" s="75">
        <v>0</v>
      </c>
      <c r="N146" s="75">
        <v>0</v>
      </c>
      <c r="O146" s="75">
        <v>600000</v>
      </c>
      <c r="P146" s="75">
        <v>0</v>
      </c>
      <c r="Q146" s="75">
        <v>0</v>
      </c>
      <c r="R146" s="75">
        <v>0</v>
      </c>
      <c r="S146" s="75">
        <v>0</v>
      </c>
      <c r="T146" s="75">
        <v>0</v>
      </c>
      <c r="U146" s="75">
        <v>0</v>
      </c>
      <c r="V146" s="75">
        <v>0</v>
      </c>
      <c r="W146" s="75">
        <v>0</v>
      </c>
      <c r="X146" s="75">
        <v>0</v>
      </c>
      <c r="Y146" s="75">
        <f>SUM(Z146:AD146)</f>
        <v>0</v>
      </c>
      <c r="Z146" s="75">
        <v>0</v>
      </c>
      <c r="AA146" s="75">
        <v>0</v>
      </c>
      <c r="AB146" s="75">
        <v>0</v>
      </c>
      <c r="AC146" s="75">
        <v>0</v>
      </c>
      <c r="AD146" s="75">
        <v>0</v>
      </c>
      <c r="AE146" s="75">
        <f>SUM(AF146:AI146)</f>
        <v>0</v>
      </c>
      <c r="AF146" s="75">
        <v>0</v>
      </c>
      <c r="AG146" s="75">
        <v>0</v>
      </c>
      <c r="AH146" s="75">
        <v>0</v>
      </c>
      <c r="AI146" s="75">
        <v>0</v>
      </c>
      <c r="AJ146" s="75">
        <f>SUM(AK146:AL146)</f>
        <v>0</v>
      </c>
      <c r="AK146" s="75">
        <v>0</v>
      </c>
      <c r="AL146" s="75">
        <f>SUM(AM146:AO146)</f>
        <v>0</v>
      </c>
      <c r="AM146" s="75">
        <v>0</v>
      </c>
      <c r="AN146" s="75">
        <v>0</v>
      </c>
      <c r="AO146" s="75">
        <v>0</v>
      </c>
    </row>
    <row r="147" spans="1:44" x14ac:dyDescent="0.25">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row>
    <row r="148" spans="1:44" s="78" customFormat="1" ht="26.4" x14ac:dyDescent="0.25">
      <c r="A148" s="86" t="s">
        <v>232</v>
      </c>
      <c r="B148" s="82" t="s">
        <v>233</v>
      </c>
      <c r="C148" s="77">
        <f>SUM(C149:C155)</f>
        <v>63657797</v>
      </c>
      <c r="D148" s="77">
        <f t="shared" ref="D148:AO148" si="45">SUM(D149:D155)</f>
        <v>55831797</v>
      </c>
      <c r="E148" s="77">
        <f t="shared" si="45"/>
        <v>0</v>
      </c>
      <c r="F148" s="77">
        <f t="shared" si="45"/>
        <v>0</v>
      </c>
      <c r="G148" s="77">
        <f t="shared" si="45"/>
        <v>0</v>
      </c>
      <c r="H148" s="77">
        <f t="shared" si="45"/>
        <v>0</v>
      </c>
      <c r="I148" s="77">
        <f t="shared" si="45"/>
        <v>3750000</v>
      </c>
      <c r="J148" s="77">
        <f t="shared" si="45"/>
        <v>0</v>
      </c>
      <c r="K148" s="77">
        <f t="shared" si="45"/>
        <v>0</v>
      </c>
      <c r="L148" s="77">
        <f t="shared" si="45"/>
        <v>0</v>
      </c>
      <c r="M148" s="77">
        <f t="shared" si="45"/>
        <v>0</v>
      </c>
      <c r="N148" s="77">
        <f t="shared" si="45"/>
        <v>0</v>
      </c>
      <c r="O148" s="77">
        <f t="shared" si="45"/>
        <v>51225000</v>
      </c>
      <c r="P148" s="77">
        <f t="shared" si="45"/>
        <v>0</v>
      </c>
      <c r="Q148" s="77">
        <f t="shared" si="45"/>
        <v>0</v>
      </c>
      <c r="R148" s="77">
        <f t="shared" si="45"/>
        <v>0</v>
      </c>
      <c r="S148" s="77">
        <f t="shared" si="45"/>
        <v>0</v>
      </c>
      <c r="T148" s="77">
        <f t="shared" si="45"/>
        <v>0</v>
      </c>
      <c r="U148" s="77">
        <f t="shared" si="45"/>
        <v>48000</v>
      </c>
      <c r="V148" s="77">
        <f t="shared" si="45"/>
        <v>683797</v>
      </c>
      <c r="W148" s="77">
        <f t="shared" si="45"/>
        <v>125000</v>
      </c>
      <c r="X148" s="77">
        <f t="shared" si="45"/>
        <v>0</v>
      </c>
      <c r="Y148" s="77">
        <f t="shared" si="45"/>
        <v>851000</v>
      </c>
      <c r="Z148" s="77">
        <f t="shared" si="45"/>
        <v>100000</v>
      </c>
      <c r="AA148" s="77">
        <f t="shared" si="45"/>
        <v>300000</v>
      </c>
      <c r="AB148" s="77">
        <f t="shared" si="45"/>
        <v>100000</v>
      </c>
      <c r="AC148" s="77">
        <f t="shared" si="45"/>
        <v>151000</v>
      </c>
      <c r="AD148" s="77">
        <f t="shared" si="45"/>
        <v>200000</v>
      </c>
      <c r="AE148" s="77">
        <f t="shared" si="45"/>
        <v>0</v>
      </c>
      <c r="AF148" s="77">
        <f t="shared" si="45"/>
        <v>0</v>
      </c>
      <c r="AG148" s="77">
        <f t="shared" si="45"/>
        <v>0</v>
      </c>
      <c r="AH148" s="77">
        <f t="shared" si="45"/>
        <v>0</v>
      </c>
      <c r="AI148" s="77">
        <f t="shared" si="45"/>
        <v>0</v>
      </c>
      <c r="AJ148" s="77">
        <f t="shared" si="45"/>
        <v>6975000</v>
      </c>
      <c r="AK148" s="77">
        <f t="shared" si="45"/>
        <v>6975000</v>
      </c>
      <c r="AL148" s="77">
        <f t="shared" si="45"/>
        <v>0</v>
      </c>
      <c r="AM148" s="77">
        <f t="shared" si="45"/>
        <v>0</v>
      </c>
      <c r="AN148" s="77">
        <f t="shared" si="45"/>
        <v>0</v>
      </c>
      <c r="AO148" s="77">
        <f t="shared" si="45"/>
        <v>0</v>
      </c>
      <c r="AQ148" s="64"/>
      <c r="AR148" s="64"/>
    </row>
    <row r="149" spans="1:44" x14ac:dyDescent="0.25">
      <c r="A149" s="75" t="s">
        <v>234</v>
      </c>
      <c r="B149" s="81" t="s">
        <v>235</v>
      </c>
      <c r="C149" s="75">
        <f t="shared" ref="C149:C155" si="46">SUM(D149+Y149+AE149+AJ149)</f>
        <v>4150000</v>
      </c>
      <c r="D149" s="75">
        <f t="shared" ref="D149:D155" si="47">SUM(E149:X149)</f>
        <v>3000000</v>
      </c>
      <c r="E149" s="75">
        <v>0</v>
      </c>
      <c r="F149" s="75">
        <v>0</v>
      </c>
      <c r="G149" s="75">
        <v>0</v>
      </c>
      <c r="H149" s="75">
        <v>0</v>
      </c>
      <c r="I149" s="75">
        <v>0</v>
      </c>
      <c r="J149" s="75">
        <v>0</v>
      </c>
      <c r="K149" s="75">
        <v>0</v>
      </c>
      <c r="L149" s="75">
        <v>0</v>
      </c>
      <c r="M149" s="75">
        <v>0</v>
      </c>
      <c r="N149" s="75">
        <v>0</v>
      </c>
      <c r="O149" s="75">
        <f>4000000-'[4]Costeo SAP'!P28</f>
        <v>3000000</v>
      </c>
      <c r="P149" s="75">
        <v>0</v>
      </c>
      <c r="Q149" s="75">
        <v>0</v>
      </c>
      <c r="R149" s="75">
        <v>0</v>
      </c>
      <c r="S149" s="75">
        <v>0</v>
      </c>
      <c r="T149" s="75">
        <v>0</v>
      </c>
      <c r="U149" s="75">
        <v>0</v>
      </c>
      <c r="V149" s="75">
        <v>0</v>
      </c>
      <c r="W149" s="75">
        <v>0</v>
      </c>
      <c r="X149" s="75">
        <v>0</v>
      </c>
      <c r="Y149" s="75">
        <f t="shared" ref="Y149:Y155" si="48">SUM(Z149:AD149)</f>
        <v>0</v>
      </c>
      <c r="Z149" s="75">
        <v>0</v>
      </c>
      <c r="AA149" s="75">
        <v>0</v>
      </c>
      <c r="AB149" s="75">
        <v>0</v>
      </c>
      <c r="AC149" s="75">
        <v>0</v>
      </c>
      <c r="AD149" s="75">
        <v>0</v>
      </c>
      <c r="AE149" s="75">
        <f t="shared" ref="AE149:AE155" si="49">SUM(AF149:AI149)</f>
        <v>0</v>
      </c>
      <c r="AF149" s="75">
        <v>0</v>
      </c>
      <c r="AG149" s="75">
        <v>0</v>
      </c>
      <c r="AH149" s="75">
        <v>0</v>
      </c>
      <c r="AI149" s="75">
        <v>0</v>
      </c>
      <c r="AJ149" s="75">
        <f t="shared" ref="AJ149:AJ155" si="50">SUM(AK149:AL149)</f>
        <v>1150000</v>
      </c>
      <c r="AK149" s="75">
        <f>150000+'[4]Costeo SAP'!P28</f>
        <v>1150000</v>
      </c>
      <c r="AL149" s="75">
        <f t="shared" ref="AL149:AL155" si="51">SUM(AM149:AO149)</f>
        <v>0</v>
      </c>
      <c r="AM149" s="75">
        <v>0</v>
      </c>
      <c r="AN149" s="75">
        <v>0</v>
      </c>
      <c r="AO149" s="75">
        <v>0</v>
      </c>
    </row>
    <row r="150" spans="1:44" x14ac:dyDescent="0.25">
      <c r="A150" s="75" t="s">
        <v>236</v>
      </c>
      <c r="B150" s="81" t="s">
        <v>237</v>
      </c>
      <c r="C150" s="75">
        <f t="shared" si="46"/>
        <v>2900000</v>
      </c>
      <c r="D150" s="75">
        <f t="shared" si="47"/>
        <v>2175000</v>
      </c>
      <c r="E150" s="75">
        <v>0</v>
      </c>
      <c r="F150" s="75">
        <v>0</v>
      </c>
      <c r="G150" s="75">
        <v>0</v>
      </c>
      <c r="H150" s="75">
        <v>0</v>
      </c>
      <c r="I150" s="75">
        <v>0</v>
      </c>
      <c r="J150" s="75">
        <v>0</v>
      </c>
      <c r="K150" s="75">
        <v>0</v>
      </c>
      <c r="L150" s="75">
        <v>0</v>
      </c>
      <c r="M150" s="75">
        <v>0</v>
      </c>
      <c r="N150" s="75">
        <v>0</v>
      </c>
      <c r="O150" s="75">
        <f>2900000-'[4]Costeo SAP'!P29</f>
        <v>2175000</v>
      </c>
      <c r="P150" s="75">
        <v>0</v>
      </c>
      <c r="Q150" s="75">
        <v>0</v>
      </c>
      <c r="R150" s="75">
        <v>0</v>
      </c>
      <c r="S150" s="75">
        <v>0</v>
      </c>
      <c r="T150" s="75">
        <v>0</v>
      </c>
      <c r="U150" s="75">
        <v>0</v>
      </c>
      <c r="V150" s="75">
        <v>0</v>
      </c>
      <c r="W150" s="75">
        <v>0</v>
      </c>
      <c r="X150" s="75">
        <v>0</v>
      </c>
      <c r="Y150" s="75">
        <f t="shared" si="48"/>
        <v>0</v>
      </c>
      <c r="Z150" s="75">
        <v>0</v>
      </c>
      <c r="AA150" s="75">
        <v>0</v>
      </c>
      <c r="AB150" s="75">
        <v>0</v>
      </c>
      <c r="AC150" s="75">
        <v>0</v>
      </c>
      <c r="AD150" s="75">
        <v>0</v>
      </c>
      <c r="AE150" s="75">
        <f t="shared" si="49"/>
        <v>0</v>
      </c>
      <c r="AF150" s="75">
        <v>0</v>
      </c>
      <c r="AG150" s="75">
        <v>0</v>
      </c>
      <c r="AH150" s="75">
        <v>0</v>
      </c>
      <c r="AI150" s="75">
        <v>0</v>
      </c>
      <c r="AJ150" s="75">
        <f t="shared" si="50"/>
        <v>725000</v>
      </c>
      <c r="AK150" s="75">
        <f>+'[4]Costeo SAP'!P29</f>
        <v>725000</v>
      </c>
      <c r="AL150" s="75">
        <f t="shared" si="51"/>
        <v>0</v>
      </c>
      <c r="AM150" s="75">
        <v>0</v>
      </c>
      <c r="AN150" s="75">
        <v>0</v>
      </c>
      <c r="AO150" s="75">
        <v>0</v>
      </c>
    </row>
    <row r="151" spans="1:44" x14ac:dyDescent="0.25">
      <c r="A151" s="75" t="s">
        <v>238</v>
      </c>
      <c r="B151" s="81" t="s">
        <v>239</v>
      </c>
      <c r="C151" s="75">
        <f t="shared" si="46"/>
        <v>3025000</v>
      </c>
      <c r="D151" s="75">
        <f t="shared" si="47"/>
        <v>2300000</v>
      </c>
      <c r="E151" s="75">
        <v>0</v>
      </c>
      <c r="F151" s="75">
        <v>0</v>
      </c>
      <c r="G151" s="75">
        <v>0</v>
      </c>
      <c r="H151" s="75">
        <v>0</v>
      </c>
      <c r="I151" s="75">
        <v>0</v>
      </c>
      <c r="J151" s="75">
        <v>0</v>
      </c>
      <c r="K151" s="75">
        <v>0</v>
      </c>
      <c r="L151" s="75">
        <v>0</v>
      </c>
      <c r="M151" s="75">
        <v>0</v>
      </c>
      <c r="N151" s="75">
        <v>0</v>
      </c>
      <c r="O151" s="75">
        <f>2900000-'[4]Costeo SAP'!P30</f>
        <v>2175000</v>
      </c>
      <c r="P151" s="75">
        <v>0</v>
      </c>
      <c r="Q151" s="75">
        <v>0</v>
      </c>
      <c r="R151" s="75">
        <v>0</v>
      </c>
      <c r="S151" s="75">
        <v>0</v>
      </c>
      <c r="T151" s="75">
        <v>0</v>
      </c>
      <c r="U151" s="75">
        <v>0</v>
      </c>
      <c r="V151" s="75">
        <v>0</v>
      </c>
      <c r="W151" s="75">
        <v>125000</v>
      </c>
      <c r="X151" s="75">
        <v>0</v>
      </c>
      <c r="Y151" s="75">
        <f t="shared" si="48"/>
        <v>0</v>
      </c>
      <c r="Z151" s="75">
        <v>0</v>
      </c>
      <c r="AA151" s="75">
        <v>0</v>
      </c>
      <c r="AB151" s="75">
        <v>0</v>
      </c>
      <c r="AC151" s="75">
        <v>0</v>
      </c>
      <c r="AD151" s="75">
        <v>0</v>
      </c>
      <c r="AE151" s="75">
        <f t="shared" si="49"/>
        <v>0</v>
      </c>
      <c r="AF151" s="75">
        <v>0</v>
      </c>
      <c r="AG151" s="75">
        <v>0</v>
      </c>
      <c r="AH151" s="75">
        <v>0</v>
      </c>
      <c r="AI151" s="75">
        <v>0</v>
      </c>
      <c r="AJ151" s="75">
        <f t="shared" si="50"/>
        <v>725000</v>
      </c>
      <c r="AK151" s="75">
        <f>+'[4]Costeo SAP'!P30</f>
        <v>725000</v>
      </c>
      <c r="AL151" s="75">
        <f t="shared" si="51"/>
        <v>0</v>
      </c>
      <c r="AM151" s="75">
        <v>0</v>
      </c>
      <c r="AN151" s="75">
        <v>0</v>
      </c>
      <c r="AO151" s="75">
        <v>0</v>
      </c>
    </row>
    <row r="152" spans="1:44" ht="26.4" x14ac:dyDescent="0.25">
      <c r="A152" s="75" t="s">
        <v>240</v>
      </c>
      <c r="B152" s="81" t="s">
        <v>241</v>
      </c>
      <c r="C152" s="75">
        <f t="shared" si="46"/>
        <v>16082797</v>
      </c>
      <c r="D152" s="75">
        <f t="shared" si="47"/>
        <v>10856797</v>
      </c>
      <c r="E152" s="75">
        <v>0</v>
      </c>
      <c r="F152" s="75">
        <v>0</v>
      </c>
      <c r="G152" s="75">
        <v>0</v>
      </c>
      <c r="H152" s="75">
        <v>0</v>
      </c>
      <c r="I152" s="75">
        <f>5000000-'[4]Costeo SAP'!P32</f>
        <v>3750000</v>
      </c>
      <c r="J152" s="75">
        <v>0</v>
      </c>
      <c r="K152" s="75">
        <v>0</v>
      </c>
      <c r="L152" s="75">
        <v>0</v>
      </c>
      <c r="M152" s="75">
        <v>0</v>
      </c>
      <c r="N152" s="75">
        <v>0</v>
      </c>
      <c r="O152" s="75">
        <f>8500000-'[4]Costeo SAP'!P31</f>
        <v>6375000</v>
      </c>
      <c r="P152" s="75">
        <v>0</v>
      </c>
      <c r="Q152" s="75">
        <v>0</v>
      </c>
      <c r="R152" s="75">
        <v>0</v>
      </c>
      <c r="S152" s="75">
        <v>0</v>
      </c>
      <c r="T152" s="75">
        <v>0</v>
      </c>
      <c r="U152" s="75">
        <v>48000</v>
      </c>
      <c r="V152" s="75">
        <v>683797</v>
      </c>
      <c r="W152" s="75">
        <v>0</v>
      </c>
      <c r="X152" s="75">
        <v>0</v>
      </c>
      <c r="Y152" s="75">
        <f t="shared" si="48"/>
        <v>851000</v>
      </c>
      <c r="Z152" s="75">
        <v>100000</v>
      </c>
      <c r="AA152" s="75">
        <v>300000</v>
      </c>
      <c r="AB152" s="75">
        <v>100000</v>
      </c>
      <c r="AC152" s="75">
        <v>151000</v>
      </c>
      <c r="AD152" s="75">
        <v>200000</v>
      </c>
      <c r="AE152" s="75">
        <f t="shared" si="49"/>
        <v>0</v>
      </c>
      <c r="AF152" s="75">
        <v>0</v>
      </c>
      <c r="AG152" s="75">
        <v>0</v>
      </c>
      <c r="AH152" s="75">
        <v>0</v>
      </c>
      <c r="AI152" s="75">
        <v>0</v>
      </c>
      <c r="AJ152" s="75">
        <f t="shared" si="50"/>
        <v>4375000</v>
      </c>
      <c r="AK152" s="75">
        <f>1000000+'[4]Costeo SAP'!P31+'[4]Costeo SAP'!P32</f>
        <v>4375000</v>
      </c>
      <c r="AL152" s="75">
        <f t="shared" si="51"/>
        <v>0</v>
      </c>
      <c r="AM152" s="75">
        <v>0</v>
      </c>
      <c r="AN152" s="75">
        <v>0</v>
      </c>
      <c r="AO152" s="75">
        <v>0</v>
      </c>
    </row>
    <row r="153" spans="1:44" x14ac:dyDescent="0.25">
      <c r="A153" s="75" t="s">
        <v>242</v>
      </c>
      <c r="B153" s="81" t="s">
        <v>243</v>
      </c>
      <c r="C153" s="75">
        <f t="shared" si="46"/>
        <v>2500000</v>
      </c>
      <c r="D153" s="75">
        <f t="shared" si="47"/>
        <v>2500000</v>
      </c>
      <c r="E153" s="75">
        <v>0</v>
      </c>
      <c r="F153" s="75">
        <v>0</v>
      </c>
      <c r="G153" s="75">
        <v>0</v>
      </c>
      <c r="H153" s="75">
        <v>0</v>
      </c>
      <c r="I153" s="75">
        <v>0</v>
      </c>
      <c r="J153" s="75">
        <v>0</v>
      </c>
      <c r="K153" s="75">
        <v>0</v>
      </c>
      <c r="L153" s="75">
        <v>0</v>
      </c>
      <c r="M153" s="75">
        <v>0</v>
      </c>
      <c r="N153" s="75">
        <v>0</v>
      </c>
      <c r="O153" s="75">
        <v>2500000</v>
      </c>
      <c r="P153" s="75">
        <v>0</v>
      </c>
      <c r="Q153" s="75">
        <v>0</v>
      </c>
      <c r="R153" s="75">
        <v>0</v>
      </c>
      <c r="S153" s="75">
        <v>0</v>
      </c>
      <c r="T153" s="75">
        <v>0</v>
      </c>
      <c r="U153" s="75">
        <v>0</v>
      </c>
      <c r="V153" s="75">
        <v>0</v>
      </c>
      <c r="W153" s="75">
        <v>0</v>
      </c>
      <c r="X153" s="75">
        <v>0</v>
      </c>
      <c r="Y153" s="75">
        <f t="shared" si="48"/>
        <v>0</v>
      </c>
      <c r="Z153" s="75">
        <v>0</v>
      </c>
      <c r="AA153" s="75">
        <v>0</v>
      </c>
      <c r="AB153" s="75">
        <v>0</v>
      </c>
      <c r="AC153" s="75">
        <v>0</v>
      </c>
      <c r="AD153" s="75">
        <v>0</v>
      </c>
      <c r="AE153" s="75">
        <f t="shared" si="49"/>
        <v>0</v>
      </c>
      <c r="AF153" s="75">
        <v>0</v>
      </c>
      <c r="AG153" s="75">
        <v>0</v>
      </c>
      <c r="AH153" s="75">
        <v>0</v>
      </c>
      <c r="AI153" s="75">
        <v>0</v>
      </c>
      <c r="AJ153" s="75">
        <f t="shared" si="50"/>
        <v>0</v>
      </c>
      <c r="AK153" s="75">
        <v>0</v>
      </c>
      <c r="AL153" s="75">
        <f t="shared" si="51"/>
        <v>0</v>
      </c>
      <c r="AM153" s="75">
        <v>0</v>
      </c>
      <c r="AN153" s="75">
        <v>0</v>
      </c>
      <c r="AO153" s="75">
        <v>0</v>
      </c>
    </row>
    <row r="154" spans="1:44" x14ac:dyDescent="0.25">
      <c r="A154" s="75" t="s">
        <v>244</v>
      </c>
      <c r="B154" s="81" t="s">
        <v>245</v>
      </c>
      <c r="C154" s="75">
        <f t="shared" si="46"/>
        <v>4000000</v>
      </c>
      <c r="D154" s="75">
        <f t="shared" si="47"/>
        <v>4000000</v>
      </c>
      <c r="E154" s="75">
        <v>0</v>
      </c>
      <c r="F154" s="75">
        <v>0</v>
      </c>
      <c r="G154" s="75">
        <v>0</v>
      </c>
      <c r="H154" s="75">
        <v>0</v>
      </c>
      <c r="I154" s="75">
        <v>0</v>
      </c>
      <c r="J154" s="75">
        <v>0</v>
      </c>
      <c r="K154" s="75">
        <v>0</v>
      </c>
      <c r="L154" s="75">
        <v>0</v>
      </c>
      <c r="M154" s="75">
        <v>0</v>
      </c>
      <c r="N154" s="75">
        <v>0</v>
      </c>
      <c r="O154" s="75">
        <v>4000000</v>
      </c>
      <c r="P154" s="75">
        <v>0</v>
      </c>
      <c r="Q154" s="75">
        <v>0</v>
      </c>
      <c r="R154" s="75">
        <v>0</v>
      </c>
      <c r="S154" s="75">
        <v>0</v>
      </c>
      <c r="T154" s="75">
        <v>0</v>
      </c>
      <c r="U154" s="75">
        <v>0</v>
      </c>
      <c r="V154" s="75">
        <v>0</v>
      </c>
      <c r="W154" s="75">
        <v>0</v>
      </c>
      <c r="X154" s="75">
        <v>0</v>
      </c>
      <c r="Y154" s="75">
        <f t="shared" si="48"/>
        <v>0</v>
      </c>
      <c r="Z154" s="75">
        <v>0</v>
      </c>
      <c r="AA154" s="75">
        <v>0</v>
      </c>
      <c r="AB154" s="75">
        <v>0</v>
      </c>
      <c r="AC154" s="75">
        <v>0</v>
      </c>
      <c r="AD154" s="75">
        <v>0</v>
      </c>
      <c r="AE154" s="75">
        <f t="shared" si="49"/>
        <v>0</v>
      </c>
      <c r="AF154" s="75">
        <v>0</v>
      </c>
      <c r="AG154" s="75">
        <v>0</v>
      </c>
      <c r="AH154" s="75">
        <v>0</v>
      </c>
      <c r="AI154" s="75">
        <v>0</v>
      </c>
      <c r="AJ154" s="75">
        <f t="shared" si="50"/>
        <v>0</v>
      </c>
      <c r="AK154" s="75">
        <v>0</v>
      </c>
      <c r="AL154" s="75">
        <f t="shared" si="51"/>
        <v>0</v>
      </c>
      <c r="AM154" s="75">
        <v>0</v>
      </c>
      <c r="AN154" s="75">
        <v>0</v>
      </c>
      <c r="AO154" s="75">
        <v>0</v>
      </c>
    </row>
    <row r="155" spans="1:44" ht="26.4" x14ac:dyDescent="0.25">
      <c r="A155" s="75" t="s">
        <v>246</v>
      </c>
      <c r="B155" s="81" t="s">
        <v>247</v>
      </c>
      <c r="C155" s="75">
        <f t="shared" si="46"/>
        <v>31000000</v>
      </c>
      <c r="D155" s="75">
        <f t="shared" si="47"/>
        <v>31000000</v>
      </c>
      <c r="E155" s="75">
        <v>0</v>
      </c>
      <c r="F155" s="75">
        <v>0</v>
      </c>
      <c r="G155" s="75">
        <v>0</v>
      </c>
      <c r="H155" s="75">
        <v>0</v>
      </c>
      <c r="I155" s="75">
        <v>0</v>
      </c>
      <c r="J155" s="75">
        <v>0</v>
      </c>
      <c r="K155" s="75">
        <v>0</v>
      </c>
      <c r="L155" s="75">
        <v>0</v>
      </c>
      <c r="M155" s="75">
        <v>0</v>
      </c>
      <c r="N155" s="75">
        <v>0</v>
      </c>
      <c r="O155" s="75">
        <v>31000000</v>
      </c>
      <c r="P155" s="75">
        <v>0</v>
      </c>
      <c r="Q155" s="75">
        <v>0</v>
      </c>
      <c r="R155" s="75">
        <v>0</v>
      </c>
      <c r="S155" s="75">
        <v>0</v>
      </c>
      <c r="T155" s="75">
        <v>0</v>
      </c>
      <c r="U155" s="75">
        <v>0</v>
      </c>
      <c r="V155" s="75">
        <v>0</v>
      </c>
      <c r="W155" s="75">
        <v>0</v>
      </c>
      <c r="X155" s="75">
        <v>0</v>
      </c>
      <c r="Y155" s="75">
        <f t="shared" si="48"/>
        <v>0</v>
      </c>
      <c r="Z155" s="75">
        <v>0</v>
      </c>
      <c r="AA155" s="75">
        <v>0</v>
      </c>
      <c r="AB155" s="75">
        <v>0</v>
      </c>
      <c r="AC155" s="75">
        <v>0</v>
      </c>
      <c r="AD155" s="75">
        <v>0</v>
      </c>
      <c r="AE155" s="75">
        <f t="shared" si="49"/>
        <v>0</v>
      </c>
      <c r="AF155" s="75">
        <v>0</v>
      </c>
      <c r="AG155" s="75">
        <v>0</v>
      </c>
      <c r="AH155" s="75">
        <v>0</v>
      </c>
      <c r="AI155" s="75">
        <v>0</v>
      </c>
      <c r="AJ155" s="75">
        <f t="shared" si="50"/>
        <v>0</v>
      </c>
      <c r="AK155" s="75">
        <v>0</v>
      </c>
      <c r="AL155" s="75">
        <f t="shared" si="51"/>
        <v>0</v>
      </c>
      <c r="AM155" s="75">
        <v>0</v>
      </c>
      <c r="AN155" s="75">
        <v>0</v>
      </c>
      <c r="AO155" s="75">
        <v>0</v>
      </c>
    </row>
    <row r="156" spans="1:44" x14ac:dyDescent="0.25">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row>
    <row r="157" spans="1:44" s="78" customFormat="1" x14ac:dyDescent="0.25">
      <c r="A157" s="86" t="s">
        <v>248</v>
      </c>
      <c r="B157" s="82" t="s">
        <v>249</v>
      </c>
      <c r="C157" s="77">
        <f>SUM(C158:C159)</f>
        <v>6767000</v>
      </c>
      <c r="D157" s="77">
        <f t="shared" ref="D157:AO157" si="52">SUM(D158:D159)</f>
        <v>6767000</v>
      </c>
      <c r="E157" s="77">
        <f t="shared" si="52"/>
        <v>0</v>
      </c>
      <c r="F157" s="77">
        <f t="shared" si="52"/>
        <v>0</v>
      </c>
      <c r="G157" s="77">
        <f t="shared" si="52"/>
        <v>0</v>
      </c>
      <c r="H157" s="77">
        <f t="shared" si="52"/>
        <v>0</v>
      </c>
      <c r="I157" s="77">
        <f t="shared" si="52"/>
        <v>0</v>
      </c>
      <c r="J157" s="77">
        <f t="shared" si="52"/>
        <v>0</v>
      </c>
      <c r="K157" s="77">
        <f t="shared" si="52"/>
        <v>0</v>
      </c>
      <c r="L157" s="77">
        <f t="shared" si="52"/>
        <v>0</v>
      </c>
      <c r="M157" s="77">
        <f t="shared" si="52"/>
        <v>0</v>
      </c>
      <c r="N157" s="77">
        <f t="shared" si="52"/>
        <v>0</v>
      </c>
      <c r="O157" s="77">
        <f t="shared" si="52"/>
        <v>6500000</v>
      </c>
      <c r="P157" s="77">
        <f t="shared" si="52"/>
        <v>0</v>
      </c>
      <c r="Q157" s="77">
        <f t="shared" si="52"/>
        <v>0</v>
      </c>
      <c r="R157" s="77">
        <f t="shared" si="52"/>
        <v>0</v>
      </c>
      <c r="S157" s="77">
        <f t="shared" si="52"/>
        <v>0</v>
      </c>
      <c r="T157" s="77">
        <f t="shared" si="52"/>
        <v>0</v>
      </c>
      <c r="U157" s="77">
        <f t="shared" si="52"/>
        <v>267000</v>
      </c>
      <c r="V157" s="77">
        <f t="shared" si="52"/>
        <v>0</v>
      </c>
      <c r="W157" s="77">
        <f t="shared" si="52"/>
        <v>0</v>
      </c>
      <c r="X157" s="77">
        <f t="shared" si="52"/>
        <v>0</v>
      </c>
      <c r="Y157" s="77">
        <f t="shared" si="52"/>
        <v>0</v>
      </c>
      <c r="Z157" s="77">
        <f t="shared" si="52"/>
        <v>0</v>
      </c>
      <c r="AA157" s="77">
        <f t="shared" si="52"/>
        <v>0</v>
      </c>
      <c r="AB157" s="77">
        <f t="shared" si="52"/>
        <v>0</v>
      </c>
      <c r="AC157" s="77">
        <f t="shared" si="52"/>
        <v>0</v>
      </c>
      <c r="AD157" s="77">
        <f t="shared" si="52"/>
        <v>0</v>
      </c>
      <c r="AE157" s="77">
        <f t="shared" si="52"/>
        <v>0</v>
      </c>
      <c r="AF157" s="77">
        <f t="shared" si="52"/>
        <v>0</v>
      </c>
      <c r="AG157" s="77">
        <f t="shared" si="52"/>
        <v>0</v>
      </c>
      <c r="AH157" s="77">
        <f t="shared" si="52"/>
        <v>0</v>
      </c>
      <c r="AI157" s="77">
        <f t="shared" si="52"/>
        <v>0</v>
      </c>
      <c r="AJ157" s="77">
        <f t="shared" si="52"/>
        <v>0</v>
      </c>
      <c r="AK157" s="77">
        <f t="shared" si="52"/>
        <v>0</v>
      </c>
      <c r="AL157" s="77">
        <f t="shared" si="52"/>
        <v>0</v>
      </c>
      <c r="AM157" s="77">
        <f t="shared" si="52"/>
        <v>0</v>
      </c>
      <c r="AN157" s="77">
        <f t="shared" si="52"/>
        <v>0</v>
      </c>
      <c r="AO157" s="77">
        <f t="shared" si="52"/>
        <v>0</v>
      </c>
      <c r="AQ157" s="64"/>
      <c r="AR157" s="64"/>
    </row>
    <row r="158" spans="1:44" x14ac:dyDescent="0.25">
      <c r="A158" s="75" t="s">
        <v>250</v>
      </c>
      <c r="B158" s="81" t="s">
        <v>251</v>
      </c>
      <c r="C158" s="75">
        <f>SUM(D158+Y158+AE158+AJ158)</f>
        <v>267000</v>
      </c>
      <c r="D158" s="75">
        <f>SUM(E158:X158)</f>
        <v>267000</v>
      </c>
      <c r="E158" s="75">
        <v>0</v>
      </c>
      <c r="F158" s="75">
        <v>0</v>
      </c>
      <c r="G158" s="75">
        <v>0</v>
      </c>
      <c r="H158" s="75">
        <v>0</v>
      </c>
      <c r="I158" s="75">
        <v>0</v>
      </c>
      <c r="J158" s="75">
        <v>0</v>
      </c>
      <c r="K158" s="75">
        <v>0</v>
      </c>
      <c r="L158" s="75">
        <v>0</v>
      </c>
      <c r="M158" s="75">
        <v>0</v>
      </c>
      <c r="N158" s="75">
        <v>0</v>
      </c>
      <c r="O158" s="75">
        <v>0</v>
      </c>
      <c r="P158" s="75">
        <v>0</v>
      </c>
      <c r="Q158" s="75">
        <v>0</v>
      </c>
      <c r="R158" s="75">
        <v>0</v>
      </c>
      <c r="S158" s="75">
        <v>0</v>
      </c>
      <c r="T158" s="75">
        <v>0</v>
      </c>
      <c r="U158" s="75">
        <v>267000</v>
      </c>
      <c r="V158" s="75">
        <v>0</v>
      </c>
      <c r="W158" s="75">
        <v>0</v>
      </c>
      <c r="X158" s="75">
        <v>0</v>
      </c>
      <c r="Y158" s="75">
        <f>SUM(Z158:AD158)</f>
        <v>0</v>
      </c>
      <c r="Z158" s="75">
        <v>0</v>
      </c>
      <c r="AA158" s="75">
        <v>0</v>
      </c>
      <c r="AB158" s="75">
        <v>0</v>
      </c>
      <c r="AC158" s="75">
        <v>0</v>
      </c>
      <c r="AD158" s="75">
        <v>0</v>
      </c>
      <c r="AE158" s="75">
        <f>SUM(AF158:AI158)</f>
        <v>0</v>
      </c>
      <c r="AF158" s="75">
        <v>0</v>
      </c>
      <c r="AG158" s="75">
        <v>0</v>
      </c>
      <c r="AH158" s="75">
        <v>0</v>
      </c>
      <c r="AI158" s="75">
        <v>0</v>
      </c>
      <c r="AJ158" s="75">
        <f>SUM(AK158:AL158)</f>
        <v>0</v>
      </c>
      <c r="AK158" s="75">
        <v>0</v>
      </c>
      <c r="AL158" s="75">
        <f>SUM(AM158:AO158)</f>
        <v>0</v>
      </c>
      <c r="AM158" s="75">
        <v>0</v>
      </c>
      <c r="AN158" s="75">
        <v>0</v>
      </c>
      <c r="AO158" s="75">
        <v>0</v>
      </c>
    </row>
    <row r="159" spans="1:44" x14ac:dyDescent="0.25">
      <c r="A159" s="75" t="s">
        <v>252</v>
      </c>
      <c r="B159" s="81" t="s">
        <v>253</v>
      </c>
      <c r="C159" s="75">
        <f>SUM(D159+Y159+AE159+AJ159)</f>
        <v>6500000</v>
      </c>
      <c r="D159" s="75">
        <f>SUM(E159:X159)</f>
        <v>6500000</v>
      </c>
      <c r="E159" s="75">
        <v>0</v>
      </c>
      <c r="F159" s="75">
        <v>0</v>
      </c>
      <c r="G159" s="75">
        <v>0</v>
      </c>
      <c r="H159" s="75">
        <v>0</v>
      </c>
      <c r="I159" s="75">
        <v>0</v>
      </c>
      <c r="J159" s="75">
        <v>0</v>
      </c>
      <c r="K159" s="75">
        <v>0</v>
      </c>
      <c r="L159" s="75">
        <v>0</v>
      </c>
      <c r="M159" s="75">
        <v>0</v>
      </c>
      <c r="N159" s="75">
        <v>0</v>
      </c>
      <c r="O159" s="75">
        <v>6500000</v>
      </c>
      <c r="P159" s="75">
        <v>0</v>
      </c>
      <c r="Q159" s="75">
        <v>0</v>
      </c>
      <c r="R159" s="75">
        <v>0</v>
      </c>
      <c r="S159" s="75">
        <v>0</v>
      </c>
      <c r="T159" s="75">
        <v>0</v>
      </c>
      <c r="U159" s="75">
        <v>0</v>
      </c>
      <c r="V159" s="75">
        <v>0</v>
      </c>
      <c r="W159" s="75">
        <v>0</v>
      </c>
      <c r="X159" s="75">
        <v>0</v>
      </c>
      <c r="Y159" s="75">
        <f>SUM(Z159:AD159)</f>
        <v>0</v>
      </c>
      <c r="Z159" s="75">
        <v>0</v>
      </c>
      <c r="AA159" s="75">
        <v>0</v>
      </c>
      <c r="AB159" s="75">
        <v>0</v>
      </c>
      <c r="AC159" s="75">
        <v>0</v>
      </c>
      <c r="AD159" s="75">
        <v>0</v>
      </c>
      <c r="AE159" s="75">
        <f>SUM(AF159:AI159)</f>
        <v>0</v>
      </c>
      <c r="AF159" s="75">
        <v>0</v>
      </c>
      <c r="AG159" s="75">
        <v>0</v>
      </c>
      <c r="AH159" s="75">
        <v>0</v>
      </c>
      <c r="AI159" s="75">
        <v>0</v>
      </c>
      <c r="AJ159" s="75">
        <f>SUM(AK159:AL159)</f>
        <v>0</v>
      </c>
      <c r="AK159" s="75">
        <v>0</v>
      </c>
      <c r="AL159" s="75">
        <f>SUM(AM159:AO159)</f>
        <v>0</v>
      </c>
      <c r="AM159" s="75">
        <v>0</v>
      </c>
      <c r="AN159" s="75">
        <v>0</v>
      </c>
      <c r="AO159" s="75">
        <v>0</v>
      </c>
    </row>
    <row r="160" spans="1:44" x14ac:dyDescent="0.25">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row>
    <row r="161" spans="1:44" s="78" customFormat="1" ht="26.4" x14ac:dyDescent="0.25">
      <c r="A161" s="86" t="s">
        <v>254</v>
      </c>
      <c r="B161" s="82" t="s">
        <v>255</v>
      </c>
      <c r="C161" s="77">
        <f>SUM(C162:C169)</f>
        <v>51480229.090000004</v>
      </c>
      <c r="D161" s="77">
        <f t="shared" ref="D161:AO161" si="53">SUM(D162:D169)</f>
        <v>45930229.090000004</v>
      </c>
      <c r="E161" s="77">
        <f t="shared" si="53"/>
        <v>3000</v>
      </c>
      <c r="F161" s="77">
        <f t="shared" si="53"/>
        <v>0</v>
      </c>
      <c r="G161" s="77">
        <f t="shared" si="53"/>
        <v>6000000</v>
      </c>
      <c r="H161" s="77">
        <f t="shared" si="53"/>
        <v>0</v>
      </c>
      <c r="I161" s="77">
        <f t="shared" si="53"/>
        <v>5200000</v>
      </c>
      <c r="J161" s="77">
        <f t="shared" si="53"/>
        <v>0</v>
      </c>
      <c r="K161" s="77">
        <f t="shared" si="53"/>
        <v>0</v>
      </c>
      <c r="L161" s="77">
        <f t="shared" si="53"/>
        <v>0</v>
      </c>
      <c r="M161" s="77">
        <f t="shared" si="53"/>
        <v>0</v>
      </c>
      <c r="N161" s="77">
        <f t="shared" si="53"/>
        <v>0</v>
      </c>
      <c r="O161" s="77">
        <f t="shared" si="53"/>
        <v>6750000</v>
      </c>
      <c r="P161" s="77">
        <f t="shared" si="53"/>
        <v>0</v>
      </c>
      <c r="Q161" s="77">
        <f t="shared" si="53"/>
        <v>0</v>
      </c>
      <c r="R161" s="77">
        <f t="shared" si="53"/>
        <v>1260000</v>
      </c>
      <c r="S161" s="77">
        <f t="shared" si="53"/>
        <v>0</v>
      </c>
      <c r="T161" s="77">
        <f t="shared" si="53"/>
        <v>1300000</v>
      </c>
      <c r="U161" s="77">
        <f t="shared" si="53"/>
        <v>214000</v>
      </c>
      <c r="V161" s="77">
        <f t="shared" si="53"/>
        <v>11961774</v>
      </c>
      <c r="W161" s="77">
        <f t="shared" si="53"/>
        <v>12041455.09</v>
      </c>
      <c r="X161" s="77">
        <f t="shared" si="53"/>
        <v>1200000</v>
      </c>
      <c r="Y161" s="77">
        <f t="shared" si="53"/>
        <v>1100000</v>
      </c>
      <c r="Z161" s="77">
        <f t="shared" si="53"/>
        <v>185000</v>
      </c>
      <c r="AA161" s="77">
        <f t="shared" si="53"/>
        <v>250000</v>
      </c>
      <c r="AB161" s="77">
        <f t="shared" si="53"/>
        <v>500000</v>
      </c>
      <c r="AC161" s="77">
        <f t="shared" si="53"/>
        <v>120000</v>
      </c>
      <c r="AD161" s="77">
        <f t="shared" si="53"/>
        <v>45000</v>
      </c>
      <c r="AE161" s="77">
        <f t="shared" si="53"/>
        <v>0</v>
      </c>
      <c r="AF161" s="77">
        <f t="shared" si="53"/>
        <v>0</v>
      </c>
      <c r="AG161" s="77">
        <f t="shared" si="53"/>
        <v>0</v>
      </c>
      <c r="AH161" s="77">
        <f t="shared" si="53"/>
        <v>0</v>
      </c>
      <c r="AI161" s="77">
        <f t="shared" si="53"/>
        <v>0</v>
      </c>
      <c r="AJ161" s="77">
        <f t="shared" si="53"/>
        <v>4450000</v>
      </c>
      <c r="AK161" s="77">
        <f t="shared" si="53"/>
        <v>4100000</v>
      </c>
      <c r="AL161" s="77">
        <f t="shared" si="53"/>
        <v>350000</v>
      </c>
      <c r="AM161" s="77">
        <f t="shared" si="53"/>
        <v>350000</v>
      </c>
      <c r="AN161" s="77">
        <f t="shared" si="53"/>
        <v>0</v>
      </c>
      <c r="AO161" s="77">
        <f t="shared" si="53"/>
        <v>0</v>
      </c>
      <c r="AQ161" s="64"/>
      <c r="AR161" s="64"/>
    </row>
    <row r="162" spans="1:44" x14ac:dyDescent="0.25">
      <c r="A162" s="75" t="s">
        <v>256</v>
      </c>
      <c r="B162" s="81" t="s">
        <v>257</v>
      </c>
      <c r="C162" s="75">
        <f t="shared" ref="C162:C169" si="54">SUM(D162+Y162+AE162+AJ162)</f>
        <v>11715570</v>
      </c>
      <c r="D162" s="75">
        <f t="shared" ref="D162:D169" si="55">SUM(E162:X162)</f>
        <v>9900570</v>
      </c>
      <c r="E162" s="75">
        <v>0</v>
      </c>
      <c r="F162" s="75">
        <v>0</v>
      </c>
      <c r="G162" s="75">
        <v>0</v>
      </c>
      <c r="H162" s="75">
        <v>0</v>
      </c>
      <c r="I162" s="75">
        <v>5000000</v>
      </c>
      <c r="J162" s="75">
        <v>0</v>
      </c>
      <c r="K162" s="75">
        <v>0</v>
      </c>
      <c r="L162" s="75">
        <v>0</v>
      </c>
      <c r="M162" s="75">
        <v>0</v>
      </c>
      <c r="N162" s="75">
        <v>0</v>
      </c>
      <c r="O162" s="75">
        <v>0</v>
      </c>
      <c r="P162" s="75">
        <v>0</v>
      </c>
      <c r="Q162" s="75">
        <v>0</v>
      </c>
      <c r="R162" s="75">
        <v>150000</v>
      </c>
      <c r="S162" s="75">
        <v>0</v>
      </c>
      <c r="T162" s="75">
        <v>0</v>
      </c>
      <c r="U162" s="75">
        <f>90000-90000</f>
        <v>0</v>
      </c>
      <c r="V162" s="75">
        <f>4278692+45000+45000+19000+62878</f>
        <v>4450570</v>
      </c>
      <c r="W162" s="75">
        <v>150000</v>
      </c>
      <c r="X162" s="75">
        <v>150000</v>
      </c>
      <c r="Y162" s="75">
        <f t="shared" ref="Y162:Y169" si="56">SUM(Z162:AD162)</f>
        <v>665000</v>
      </c>
      <c r="Z162" s="75">
        <v>0</v>
      </c>
      <c r="AA162" s="75">
        <v>150000</v>
      </c>
      <c r="AB162" s="75">
        <v>500000</v>
      </c>
      <c r="AC162" s="75">
        <v>0</v>
      </c>
      <c r="AD162" s="75">
        <v>15000</v>
      </c>
      <c r="AE162" s="75">
        <f t="shared" ref="AE162:AE169" si="57">SUM(AF162:AI162)</f>
        <v>0</v>
      </c>
      <c r="AF162" s="75">
        <v>0</v>
      </c>
      <c r="AG162" s="75">
        <v>0</v>
      </c>
      <c r="AH162" s="75">
        <v>0</v>
      </c>
      <c r="AI162" s="75">
        <v>0</v>
      </c>
      <c r="AJ162" s="75">
        <f t="shared" ref="AJ162:AJ169" si="58">SUM(AK162:AL162)</f>
        <v>1150000</v>
      </c>
      <c r="AK162" s="75">
        <v>1000000</v>
      </c>
      <c r="AL162" s="75">
        <f t="shared" ref="AL162:AL169" si="59">SUM(AM162:AO162)</f>
        <v>150000</v>
      </c>
      <c r="AM162" s="75">
        <v>150000</v>
      </c>
      <c r="AN162" s="75">
        <v>0</v>
      </c>
      <c r="AO162" s="75">
        <v>0</v>
      </c>
    </row>
    <row r="163" spans="1:44" ht="26.4" x14ac:dyDescent="0.25">
      <c r="A163" s="75" t="s">
        <v>258</v>
      </c>
      <c r="B163" s="81" t="s">
        <v>259</v>
      </c>
      <c r="C163" s="75">
        <f t="shared" si="54"/>
        <v>670000</v>
      </c>
      <c r="D163" s="75">
        <f t="shared" si="55"/>
        <v>670000</v>
      </c>
      <c r="E163" s="75">
        <v>0</v>
      </c>
      <c r="F163" s="75">
        <v>0</v>
      </c>
      <c r="G163" s="75">
        <v>0</v>
      </c>
      <c r="H163" s="75">
        <v>0</v>
      </c>
      <c r="I163" s="75">
        <v>0</v>
      </c>
      <c r="J163" s="75">
        <v>0</v>
      </c>
      <c r="K163" s="75">
        <v>0</v>
      </c>
      <c r="L163" s="75">
        <v>0</v>
      </c>
      <c r="M163" s="75">
        <v>0</v>
      </c>
      <c r="N163" s="75">
        <v>0</v>
      </c>
      <c r="O163" s="75">
        <v>0</v>
      </c>
      <c r="P163" s="75">
        <v>0</v>
      </c>
      <c r="Q163" s="75">
        <v>0</v>
      </c>
      <c r="R163" s="75">
        <v>0</v>
      </c>
      <c r="S163" s="75">
        <v>0</v>
      </c>
      <c r="T163" s="75">
        <v>0</v>
      </c>
      <c r="U163" s="75">
        <v>0</v>
      </c>
      <c r="V163" s="75">
        <v>0</v>
      </c>
      <c r="W163" s="75">
        <v>670000</v>
      </c>
      <c r="X163" s="75">
        <v>0</v>
      </c>
      <c r="Y163" s="75">
        <f t="shared" si="56"/>
        <v>0</v>
      </c>
      <c r="Z163" s="75">
        <v>0</v>
      </c>
      <c r="AA163" s="75">
        <v>0</v>
      </c>
      <c r="AB163" s="75">
        <v>0</v>
      </c>
      <c r="AC163" s="75">
        <v>0</v>
      </c>
      <c r="AD163" s="75">
        <v>0</v>
      </c>
      <c r="AE163" s="75">
        <f t="shared" si="57"/>
        <v>0</v>
      </c>
      <c r="AF163" s="75">
        <v>0</v>
      </c>
      <c r="AG163" s="75">
        <v>0</v>
      </c>
      <c r="AH163" s="75">
        <v>0</v>
      </c>
      <c r="AI163" s="75">
        <v>0</v>
      </c>
      <c r="AJ163" s="75">
        <f t="shared" si="58"/>
        <v>0</v>
      </c>
      <c r="AK163" s="75">
        <v>0</v>
      </c>
      <c r="AL163" s="75">
        <f t="shared" si="59"/>
        <v>0</v>
      </c>
      <c r="AM163" s="75">
        <v>0</v>
      </c>
      <c r="AN163" s="75">
        <v>0</v>
      </c>
      <c r="AO163" s="75">
        <v>0</v>
      </c>
    </row>
    <row r="164" spans="1:44" x14ac:dyDescent="0.25">
      <c r="A164" s="75" t="s">
        <v>260</v>
      </c>
      <c r="B164" s="81" t="s">
        <v>261</v>
      </c>
      <c r="C164" s="75">
        <f t="shared" si="54"/>
        <v>12121204</v>
      </c>
      <c r="D164" s="75">
        <f t="shared" si="55"/>
        <v>8661204</v>
      </c>
      <c r="E164" s="75">
        <v>0</v>
      </c>
      <c r="F164" s="75">
        <v>0</v>
      </c>
      <c r="G164" s="75">
        <v>0</v>
      </c>
      <c r="H164" s="75">
        <v>0</v>
      </c>
      <c r="I164" s="75">
        <v>100000</v>
      </c>
      <c r="J164" s="75">
        <v>0</v>
      </c>
      <c r="K164" s="75">
        <v>0</v>
      </c>
      <c r="L164" s="75">
        <v>0</v>
      </c>
      <c r="M164" s="75">
        <v>0</v>
      </c>
      <c r="N164" s="75">
        <v>0</v>
      </c>
      <c r="O164" s="75">
        <v>0</v>
      </c>
      <c r="P164" s="75">
        <v>0</v>
      </c>
      <c r="Q164" s="75">
        <v>0</v>
      </c>
      <c r="R164" s="75">
        <v>50000</v>
      </c>
      <c r="S164" s="75">
        <v>0</v>
      </c>
      <c r="T164" s="75">
        <v>300000</v>
      </c>
      <c r="U164" s="75">
        <f>60000-60000</f>
        <v>0</v>
      </c>
      <c r="V164" s="75">
        <f>7134568+60000+130000+165000+21636</f>
        <v>7511204</v>
      </c>
      <c r="W164" s="75">
        <v>0</v>
      </c>
      <c r="X164" s="75">
        <v>700000</v>
      </c>
      <c r="Y164" s="75">
        <f t="shared" si="56"/>
        <v>260000</v>
      </c>
      <c r="Z164" s="75">
        <v>150000</v>
      </c>
      <c r="AA164" s="75">
        <v>50000</v>
      </c>
      <c r="AB164" s="75">
        <v>0</v>
      </c>
      <c r="AC164" s="75">
        <v>45000</v>
      </c>
      <c r="AD164" s="75">
        <v>15000</v>
      </c>
      <c r="AE164" s="75">
        <f t="shared" si="57"/>
        <v>0</v>
      </c>
      <c r="AF164" s="75">
        <v>0</v>
      </c>
      <c r="AG164" s="75">
        <v>0</v>
      </c>
      <c r="AH164" s="75">
        <v>0</v>
      </c>
      <c r="AI164" s="75">
        <v>0</v>
      </c>
      <c r="AJ164" s="75">
        <f t="shared" si="58"/>
        <v>3200000</v>
      </c>
      <c r="AK164" s="75">
        <v>3000000</v>
      </c>
      <c r="AL164" s="75">
        <f t="shared" si="59"/>
        <v>200000</v>
      </c>
      <c r="AM164" s="75">
        <v>200000</v>
      </c>
      <c r="AN164" s="75">
        <v>0</v>
      </c>
      <c r="AO164" s="75">
        <v>0</v>
      </c>
    </row>
    <row r="165" spans="1:44" x14ac:dyDescent="0.25">
      <c r="A165" s="75" t="s">
        <v>262</v>
      </c>
      <c r="B165" s="81" t="s">
        <v>263</v>
      </c>
      <c r="C165" s="75">
        <f t="shared" si="54"/>
        <v>9800000</v>
      </c>
      <c r="D165" s="75">
        <f t="shared" si="55"/>
        <v>9800000</v>
      </c>
      <c r="E165" s="75">
        <v>0</v>
      </c>
      <c r="F165" s="75">
        <v>0</v>
      </c>
      <c r="G165" s="75">
        <v>6000000</v>
      </c>
      <c r="H165" s="75">
        <v>0</v>
      </c>
      <c r="I165" s="75">
        <v>0</v>
      </c>
      <c r="J165" s="75">
        <v>0</v>
      </c>
      <c r="K165" s="75">
        <v>0</v>
      </c>
      <c r="L165" s="75">
        <v>0</v>
      </c>
      <c r="M165" s="75">
        <v>0</v>
      </c>
      <c r="N165" s="75">
        <v>0</v>
      </c>
      <c r="O165" s="75">
        <v>1500000</v>
      </c>
      <c r="P165" s="75">
        <v>0</v>
      </c>
      <c r="Q165" s="75">
        <v>0</v>
      </c>
      <c r="R165" s="75">
        <v>1000000</v>
      </c>
      <c r="S165" s="75">
        <v>0</v>
      </c>
      <c r="T165" s="75">
        <v>900000</v>
      </c>
      <c r="U165" s="75">
        <v>0</v>
      </c>
      <c r="V165" s="75">
        <v>0</v>
      </c>
      <c r="W165" s="75">
        <v>100000</v>
      </c>
      <c r="X165" s="75">
        <v>300000</v>
      </c>
      <c r="Y165" s="75">
        <f t="shared" si="56"/>
        <v>0</v>
      </c>
      <c r="Z165" s="75">
        <v>0</v>
      </c>
      <c r="AA165" s="75">
        <v>0</v>
      </c>
      <c r="AB165" s="75">
        <v>0</v>
      </c>
      <c r="AC165" s="75">
        <v>0</v>
      </c>
      <c r="AD165" s="75">
        <v>0</v>
      </c>
      <c r="AE165" s="75">
        <f t="shared" si="57"/>
        <v>0</v>
      </c>
      <c r="AF165" s="75">
        <v>0</v>
      </c>
      <c r="AG165" s="75">
        <v>0</v>
      </c>
      <c r="AH165" s="75">
        <v>0</v>
      </c>
      <c r="AI165" s="75">
        <v>0</v>
      </c>
      <c r="AJ165" s="75">
        <f t="shared" si="58"/>
        <v>0</v>
      </c>
      <c r="AK165" s="75">
        <v>0</v>
      </c>
      <c r="AL165" s="75">
        <f t="shared" si="59"/>
        <v>0</v>
      </c>
      <c r="AM165" s="75">
        <v>0</v>
      </c>
      <c r="AN165" s="75">
        <v>0</v>
      </c>
      <c r="AO165" s="75">
        <v>0</v>
      </c>
    </row>
    <row r="166" spans="1:44" x14ac:dyDescent="0.25">
      <c r="A166" s="75" t="s">
        <v>264</v>
      </c>
      <c r="B166" s="81" t="s">
        <v>265</v>
      </c>
      <c r="C166" s="75">
        <f t="shared" si="54"/>
        <v>4100000</v>
      </c>
      <c r="D166" s="75">
        <f t="shared" si="55"/>
        <v>4100000</v>
      </c>
      <c r="E166" s="75">
        <v>0</v>
      </c>
      <c r="F166" s="75">
        <v>0</v>
      </c>
      <c r="G166" s="75">
        <v>0</v>
      </c>
      <c r="H166" s="75">
        <v>0</v>
      </c>
      <c r="I166" s="75">
        <v>100000</v>
      </c>
      <c r="J166" s="75">
        <v>0</v>
      </c>
      <c r="K166" s="75">
        <v>0</v>
      </c>
      <c r="L166" s="75">
        <v>0</v>
      </c>
      <c r="M166" s="75">
        <v>0</v>
      </c>
      <c r="N166" s="75">
        <v>0</v>
      </c>
      <c r="O166" s="75">
        <v>4000000</v>
      </c>
      <c r="P166" s="75">
        <v>0</v>
      </c>
      <c r="Q166" s="75">
        <v>0</v>
      </c>
      <c r="R166" s="75">
        <v>0</v>
      </c>
      <c r="S166" s="75">
        <v>0</v>
      </c>
      <c r="T166" s="75">
        <v>0</v>
      </c>
      <c r="U166" s="75">
        <v>0</v>
      </c>
      <c r="V166" s="75">
        <v>0</v>
      </c>
      <c r="W166" s="75">
        <v>0</v>
      </c>
      <c r="X166" s="75">
        <v>0</v>
      </c>
      <c r="Y166" s="75">
        <f t="shared" si="56"/>
        <v>0</v>
      </c>
      <c r="Z166" s="75">
        <v>0</v>
      </c>
      <c r="AA166" s="75">
        <v>0</v>
      </c>
      <c r="AB166" s="75">
        <v>0</v>
      </c>
      <c r="AC166" s="75">
        <v>0</v>
      </c>
      <c r="AD166" s="75">
        <v>0</v>
      </c>
      <c r="AE166" s="75">
        <f t="shared" si="57"/>
        <v>0</v>
      </c>
      <c r="AF166" s="75">
        <v>0</v>
      </c>
      <c r="AG166" s="75">
        <v>0</v>
      </c>
      <c r="AH166" s="75">
        <v>0</v>
      </c>
      <c r="AI166" s="75">
        <v>0</v>
      </c>
      <c r="AJ166" s="75">
        <f t="shared" si="58"/>
        <v>0</v>
      </c>
      <c r="AK166" s="75">
        <v>0</v>
      </c>
      <c r="AL166" s="75">
        <f t="shared" si="59"/>
        <v>0</v>
      </c>
      <c r="AM166" s="75">
        <v>0</v>
      </c>
      <c r="AN166" s="75">
        <v>0</v>
      </c>
      <c r="AO166" s="75">
        <v>0</v>
      </c>
    </row>
    <row r="167" spans="1:44" x14ac:dyDescent="0.25">
      <c r="A167" s="75" t="s">
        <v>266</v>
      </c>
      <c r="B167" s="81" t="s">
        <v>267</v>
      </c>
      <c r="C167" s="75">
        <f t="shared" si="54"/>
        <v>10655455.09</v>
      </c>
      <c r="D167" s="75">
        <f t="shared" si="55"/>
        <v>10655455.09</v>
      </c>
      <c r="E167" s="75">
        <v>0</v>
      </c>
      <c r="F167" s="75">
        <v>0</v>
      </c>
      <c r="G167" s="75">
        <v>0</v>
      </c>
      <c r="H167" s="75">
        <v>0</v>
      </c>
      <c r="I167" s="75">
        <v>0</v>
      </c>
      <c r="J167" s="75">
        <v>0</v>
      </c>
      <c r="K167" s="75">
        <v>0</v>
      </c>
      <c r="L167" s="75">
        <v>0</v>
      </c>
      <c r="M167" s="75">
        <v>0</v>
      </c>
      <c r="N167" s="75">
        <v>0</v>
      </c>
      <c r="O167" s="75">
        <v>750000</v>
      </c>
      <c r="P167" s="75">
        <v>0</v>
      </c>
      <c r="Q167" s="75">
        <v>0</v>
      </c>
      <c r="R167" s="75">
        <v>0</v>
      </c>
      <c r="S167" s="75">
        <v>0</v>
      </c>
      <c r="T167" s="75">
        <v>0</v>
      </c>
      <c r="U167" s="75">
        <v>214000</v>
      </c>
      <c r="V167" s="75">
        <v>0</v>
      </c>
      <c r="W167" s="75">
        <v>9691455.0899999999</v>
      </c>
      <c r="X167" s="75">
        <v>0</v>
      </c>
      <c r="Y167" s="75">
        <f t="shared" si="56"/>
        <v>0</v>
      </c>
      <c r="Z167" s="75">
        <v>0</v>
      </c>
      <c r="AA167" s="75">
        <v>0</v>
      </c>
      <c r="AB167" s="75">
        <v>0</v>
      </c>
      <c r="AC167" s="75">
        <v>0</v>
      </c>
      <c r="AD167" s="75">
        <v>0</v>
      </c>
      <c r="AE167" s="75">
        <f t="shared" si="57"/>
        <v>0</v>
      </c>
      <c r="AF167" s="75">
        <v>0</v>
      </c>
      <c r="AG167" s="75">
        <v>0</v>
      </c>
      <c r="AH167" s="75">
        <v>0</v>
      </c>
      <c r="AI167" s="75">
        <v>0</v>
      </c>
      <c r="AJ167" s="75">
        <f t="shared" si="58"/>
        <v>0</v>
      </c>
      <c r="AK167" s="75">
        <v>0</v>
      </c>
      <c r="AL167" s="75">
        <f t="shared" si="59"/>
        <v>0</v>
      </c>
      <c r="AM167" s="75">
        <v>0</v>
      </c>
      <c r="AN167" s="75">
        <v>0</v>
      </c>
      <c r="AO167" s="75">
        <v>0</v>
      </c>
    </row>
    <row r="168" spans="1:44" x14ac:dyDescent="0.25">
      <c r="A168" s="75" t="s">
        <v>268</v>
      </c>
      <c r="B168" s="87" t="s">
        <v>269</v>
      </c>
      <c r="C168" s="75">
        <f t="shared" si="54"/>
        <v>3000</v>
      </c>
      <c r="D168" s="75">
        <f t="shared" si="55"/>
        <v>3000</v>
      </c>
      <c r="E168" s="75">
        <v>3000</v>
      </c>
      <c r="F168" s="75">
        <v>0</v>
      </c>
      <c r="G168" s="75">
        <v>0</v>
      </c>
      <c r="H168" s="75">
        <v>0</v>
      </c>
      <c r="I168" s="75">
        <v>0</v>
      </c>
      <c r="J168" s="75">
        <v>0</v>
      </c>
      <c r="K168" s="75">
        <v>0</v>
      </c>
      <c r="L168" s="75">
        <v>0</v>
      </c>
      <c r="M168" s="75">
        <v>0</v>
      </c>
      <c r="N168" s="75">
        <v>0</v>
      </c>
      <c r="O168" s="75">
        <v>0</v>
      </c>
      <c r="P168" s="75">
        <v>0</v>
      </c>
      <c r="Q168" s="75">
        <v>0</v>
      </c>
      <c r="R168" s="75">
        <v>0</v>
      </c>
      <c r="S168" s="75">
        <v>0</v>
      </c>
      <c r="T168" s="75">
        <v>0</v>
      </c>
      <c r="U168" s="75">
        <v>0</v>
      </c>
      <c r="V168" s="75">
        <v>0</v>
      </c>
      <c r="W168" s="75">
        <v>0</v>
      </c>
      <c r="X168" s="75">
        <v>0</v>
      </c>
      <c r="Y168" s="75">
        <f t="shared" si="56"/>
        <v>0</v>
      </c>
      <c r="Z168" s="75">
        <v>0</v>
      </c>
      <c r="AA168" s="75">
        <v>0</v>
      </c>
      <c r="AB168" s="75">
        <v>0</v>
      </c>
      <c r="AC168" s="75">
        <v>0</v>
      </c>
      <c r="AD168" s="75">
        <v>0</v>
      </c>
      <c r="AE168" s="75">
        <f t="shared" si="57"/>
        <v>0</v>
      </c>
      <c r="AF168" s="75">
        <v>0</v>
      </c>
      <c r="AG168" s="75">
        <v>0</v>
      </c>
      <c r="AH168" s="75">
        <v>0</v>
      </c>
      <c r="AI168" s="75">
        <v>0</v>
      </c>
      <c r="AJ168" s="75">
        <f t="shared" si="58"/>
        <v>0</v>
      </c>
      <c r="AK168" s="75">
        <v>0</v>
      </c>
      <c r="AL168" s="75">
        <f t="shared" si="59"/>
        <v>0</v>
      </c>
      <c r="AM168" s="75">
        <v>0</v>
      </c>
      <c r="AN168" s="75">
        <v>0</v>
      </c>
      <c r="AO168" s="75">
        <v>0</v>
      </c>
    </row>
    <row r="169" spans="1:44" x14ac:dyDescent="0.25">
      <c r="A169" s="75" t="s">
        <v>270</v>
      </c>
      <c r="B169" s="81" t="s">
        <v>271</v>
      </c>
      <c r="C169" s="75">
        <f t="shared" si="54"/>
        <v>2415000</v>
      </c>
      <c r="D169" s="75">
        <f t="shared" si="55"/>
        <v>2140000</v>
      </c>
      <c r="E169" s="75">
        <v>0</v>
      </c>
      <c r="F169" s="75">
        <v>0</v>
      </c>
      <c r="G169" s="75">
        <v>0</v>
      </c>
      <c r="H169" s="75">
        <v>0</v>
      </c>
      <c r="I169" s="75">
        <v>0</v>
      </c>
      <c r="J169" s="75">
        <v>0</v>
      </c>
      <c r="K169" s="75">
        <v>0</v>
      </c>
      <c r="L169" s="75">
        <v>0</v>
      </c>
      <c r="M169" s="75">
        <v>0</v>
      </c>
      <c r="N169" s="75">
        <v>0</v>
      </c>
      <c r="O169" s="75">
        <v>500000</v>
      </c>
      <c r="P169" s="75">
        <v>0</v>
      </c>
      <c r="Q169" s="75">
        <v>0</v>
      </c>
      <c r="R169" s="75">
        <v>60000</v>
      </c>
      <c r="S169" s="75">
        <v>0</v>
      </c>
      <c r="T169" s="75">
        <v>100000</v>
      </c>
      <c r="U169" s="75">
        <v>0</v>
      </c>
      <c r="V169" s="75">
        <v>0</v>
      </c>
      <c r="W169" s="75">
        <v>1430000</v>
      </c>
      <c r="X169" s="75">
        <v>50000</v>
      </c>
      <c r="Y169" s="75">
        <f t="shared" si="56"/>
        <v>175000</v>
      </c>
      <c r="Z169" s="75">
        <v>35000</v>
      </c>
      <c r="AA169" s="75">
        <v>50000</v>
      </c>
      <c r="AB169" s="75">
        <v>0</v>
      </c>
      <c r="AC169" s="75">
        <v>75000</v>
      </c>
      <c r="AD169" s="75">
        <v>15000</v>
      </c>
      <c r="AE169" s="75">
        <f t="shared" si="57"/>
        <v>0</v>
      </c>
      <c r="AF169" s="75">
        <v>0</v>
      </c>
      <c r="AG169" s="75">
        <v>0</v>
      </c>
      <c r="AH169" s="75">
        <v>0</v>
      </c>
      <c r="AI169" s="75">
        <v>0</v>
      </c>
      <c r="AJ169" s="75">
        <f t="shared" si="58"/>
        <v>100000</v>
      </c>
      <c r="AK169" s="75">
        <v>100000</v>
      </c>
      <c r="AL169" s="75">
        <f t="shared" si="59"/>
        <v>0</v>
      </c>
      <c r="AM169" s="75">
        <v>0</v>
      </c>
      <c r="AN169" s="75">
        <v>0</v>
      </c>
      <c r="AO169" s="75">
        <v>0</v>
      </c>
    </row>
    <row r="170" spans="1:44" x14ac:dyDescent="0.25">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row>
    <row r="171" spans="1:44" s="78" customFormat="1" x14ac:dyDescent="0.25">
      <c r="A171" s="91">
        <v>3</v>
      </c>
      <c r="B171" s="92" t="s">
        <v>272</v>
      </c>
      <c r="C171" s="77">
        <f>SUM(C172)</f>
        <v>180768950</v>
      </c>
      <c r="D171" s="77">
        <f t="shared" ref="D171:S172" si="60">SUM(D172)</f>
        <v>0</v>
      </c>
      <c r="E171" s="77">
        <f t="shared" si="60"/>
        <v>0</v>
      </c>
      <c r="F171" s="77">
        <f t="shared" si="60"/>
        <v>0</v>
      </c>
      <c r="G171" s="77">
        <f t="shared" si="60"/>
        <v>0</v>
      </c>
      <c r="H171" s="77">
        <f t="shared" si="60"/>
        <v>0</v>
      </c>
      <c r="I171" s="77">
        <f t="shared" si="60"/>
        <v>0</v>
      </c>
      <c r="J171" s="77">
        <f t="shared" si="60"/>
        <v>0</v>
      </c>
      <c r="K171" s="77">
        <f t="shared" si="60"/>
        <v>0</v>
      </c>
      <c r="L171" s="77">
        <f t="shared" si="60"/>
        <v>0</v>
      </c>
      <c r="M171" s="77">
        <f t="shared" si="60"/>
        <v>0</v>
      </c>
      <c r="N171" s="77">
        <f t="shared" si="60"/>
        <v>0</v>
      </c>
      <c r="O171" s="77">
        <f t="shared" si="60"/>
        <v>0</v>
      </c>
      <c r="P171" s="77">
        <f t="shared" si="60"/>
        <v>0</v>
      </c>
      <c r="Q171" s="77">
        <f t="shared" si="60"/>
        <v>0</v>
      </c>
      <c r="R171" s="77">
        <f t="shared" si="60"/>
        <v>0</v>
      </c>
      <c r="S171" s="77">
        <f t="shared" si="60"/>
        <v>0</v>
      </c>
      <c r="T171" s="77">
        <f t="shared" ref="T171:AI172" si="61">SUM(T172)</f>
        <v>0</v>
      </c>
      <c r="U171" s="77">
        <f t="shared" si="61"/>
        <v>0</v>
      </c>
      <c r="V171" s="77">
        <f t="shared" si="61"/>
        <v>0</v>
      </c>
      <c r="W171" s="77">
        <f t="shared" si="61"/>
        <v>0</v>
      </c>
      <c r="X171" s="77">
        <f t="shared" si="61"/>
        <v>0</v>
      </c>
      <c r="Y171" s="77">
        <f t="shared" si="61"/>
        <v>0</v>
      </c>
      <c r="Z171" s="77">
        <f t="shared" si="61"/>
        <v>0</v>
      </c>
      <c r="AA171" s="77">
        <f t="shared" si="61"/>
        <v>0</v>
      </c>
      <c r="AB171" s="77">
        <f t="shared" si="61"/>
        <v>0</v>
      </c>
      <c r="AC171" s="77">
        <f t="shared" si="61"/>
        <v>0</v>
      </c>
      <c r="AD171" s="77">
        <f t="shared" si="61"/>
        <v>0</v>
      </c>
      <c r="AE171" s="77">
        <f t="shared" si="61"/>
        <v>0</v>
      </c>
      <c r="AF171" s="77">
        <f t="shared" si="61"/>
        <v>0</v>
      </c>
      <c r="AG171" s="77">
        <f t="shared" si="61"/>
        <v>0</v>
      </c>
      <c r="AH171" s="77">
        <f t="shared" si="61"/>
        <v>0</v>
      </c>
      <c r="AI171" s="77">
        <f t="shared" si="61"/>
        <v>0</v>
      </c>
      <c r="AJ171" s="77">
        <f t="shared" ref="AJ171:AO172" si="62">SUM(AJ172)</f>
        <v>180768950</v>
      </c>
      <c r="AK171" s="77">
        <f t="shared" si="62"/>
        <v>180768950</v>
      </c>
      <c r="AL171" s="77">
        <f t="shared" si="62"/>
        <v>0</v>
      </c>
      <c r="AM171" s="77">
        <f t="shared" si="62"/>
        <v>0</v>
      </c>
      <c r="AN171" s="77">
        <f t="shared" si="62"/>
        <v>0</v>
      </c>
      <c r="AO171" s="77">
        <f t="shared" si="62"/>
        <v>0</v>
      </c>
      <c r="AQ171" s="64"/>
      <c r="AR171" s="64"/>
    </row>
    <row r="172" spans="1:44" s="78" customFormat="1" x14ac:dyDescent="0.25">
      <c r="A172" s="86" t="s">
        <v>273</v>
      </c>
      <c r="B172" s="82" t="s">
        <v>274</v>
      </c>
      <c r="C172" s="77">
        <f>SUM(C173)</f>
        <v>180768950</v>
      </c>
      <c r="D172" s="77">
        <f t="shared" si="60"/>
        <v>0</v>
      </c>
      <c r="E172" s="77">
        <f t="shared" si="60"/>
        <v>0</v>
      </c>
      <c r="F172" s="77">
        <f t="shared" si="60"/>
        <v>0</v>
      </c>
      <c r="G172" s="77">
        <f t="shared" si="60"/>
        <v>0</v>
      </c>
      <c r="H172" s="77">
        <f t="shared" si="60"/>
        <v>0</v>
      </c>
      <c r="I172" s="77">
        <f t="shared" si="60"/>
        <v>0</v>
      </c>
      <c r="J172" s="77">
        <f t="shared" si="60"/>
        <v>0</v>
      </c>
      <c r="K172" s="77">
        <f t="shared" si="60"/>
        <v>0</v>
      </c>
      <c r="L172" s="77">
        <f t="shared" si="60"/>
        <v>0</v>
      </c>
      <c r="M172" s="77">
        <f t="shared" si="60"/>
        <v>0</v>
      </c>
      <c r="N172" s="77">
        <f t="shared" si="60"/>
        <v>0</v>
      </c>
      <c r="O172" s="77">
        <f t="shared" si="60"/>
        <v>0</v>
      </c>
      <c r="P172" s="77">
        <f t="shared" si="60"/>
        <v>0</v>
      </c>
      <c r="Q172" s="77">
        <f t="shared" si="60"/>
        <v>0</v>
      </c>
      <c r="R172" s="77">
        <f t="shared" si="60"/>
        <v>0</v>
      </c>
      <c r="S172" s="77">
        <f t="shared" si="60"/>
        <v>0</v>
      </c>
      <c r="T172" s="77">
        <f t="shared" si="61"/>
        <v>0</v>
      </c>
      <c r="U172" s="77">
        <f t="shared" si="61"/>
        <v>0</v>
      </c>
      <c r="V172" s="77">
        <f t="shared" si="61"/>
        <v>0</v>
      </c>
      <c r="W172" s="77">
        <f t="shared" si="61"/>
        <v>0</v>
      </c>
      <c r="X172" s="77">
        <f t="shared" si="61"/>
        <v>0</v>
      </c>
      <c r="Y172" s="77">
        <f t="shared" si="61"/>
        <v>0</v>
      </c>
      <c r="Z172" s="77">
        <f t="shared" si="61"/>
        <v>0</v>
      </c>
      <c r="AA172" s="77">
        <f t="shared" si="61"/>
        <v>0</v>
      </c>
      <c r="AB172" s="77">
        <f t="shared" si="61"/>
        <v>0</v>
      </c>
      <c r="AC172" s="77">
        <f t="shared" si="61"/>
        <v>0</v>
      </c>
      <c r="AD172" s="77">
        <f t="shared" si="61"/>
        <v>0</v>
      </c>
      <c r="AE172" s="77">
        <f t="shared" si="61"/>
        <v>0</v>
      </c>
      <c r="AF172" s="77">
        <f t="shared" si="61"/>
        <v>0</v>
      </c>
      <c r="AG172" s="77">
        <f t="shared" si="61"/>
        <v>0</v>
      </c>
      <c r="AH172" s="77">
        <f t="shared" si="61"/>
        <v>0</v>
      </c>
      <c r="AI172" s="77">
        <f t="shared" si="61"/>
        <v>0</v>
      </c>
      <c r="AJ172" s="77">
        <f t="shared" si="62"/>
        <v>180768950</v>
      </c>
      <c r="AK172" s="77">
        <f t="shared" si="62"/>
        <v>180768950</v>
      </c>
      <c r="AL172" s="77">
        <f t="shared" si="62"/>
        <v>0</v>
      </c>
      <c r="AM172" s="77">
        <f t="shared" si="62"/>
        <v>0</v>
      </c>
      <c r="AN172" s="77">
        <f t="shared" si="62"/>
        <v>0</v>
      </c>
      <c r="AO172" s="77">
        <f t="shared" si="62"/>
        <v>0</v>
      </c>
      <c r="AQ172" s="64"/>
      <c r="AR172" s="64"/>
    </row>
    <row r="173" spans="1:44" x14ac:dyDescent="0.25">
      <c r="A173" s="75" t="s">
        <v>275</v>
      </c>
      <c r="B173" s="81" t="s">
        <v>276</v>
      </c>
      <c r="C173" s="75">
        <f>SUM(D173+Y173+AE173+AJ173)</f>
        <v>180768950</v>
      </c>
      <c r="D173" s="75">
        <f>SUM(E173:X173)</f>
        <v>0</v>
      </c>
      <c r="E173" s="75">
        <v>0</v>
      </c>
      <c r="F173" s="75">
        <v>0</v>
      </c>
      <c r="G173" s="75">
        <v>0</v>
      </c>
      <c r="H173" s="75">
        <v>0</v>
      </c>
      <c r="I173" s="75">
        <v>0</v>
      </c>
      <c r="J173" s="75">
        <v>0</v>
      </c>
      <c r="K173" s="75">
        <v>0</v>
      </c>
      <c r="L173" s="75">
        <v>0</v>
      </c>
      <c r="M173" s="75">
        <v>0</v>
      </c>
      <c r="N173" s="75">
        <v>0</v>
      </c>
      <c r="O173" s="75">
        <v>0</v>
      </c>
      <c r="P173" s="75">
        <v>0</v>
      </c>
      <c r="Q173" s="75">
        <v>0</v>
      </c>
      <c r="R173" s="75">
        <v>0</v>
      </c>
      <c r="S173" s="75">
        <v>0</v>
      </c>
      <c r="T173" s="75">
        <v>0</v>
      </c>
      <c r="U173" s="75">
        <v>0</v>
      </c>
      <c r="V173" s="75">
        <v>0</v>
      </c>
      <c r="W173" s="75">
        <v>0</v>
      </c>
      <c r="X173" s="75">
        <v>0</v>
      </c>
      <c r="Y173" s="75">
        <f>SUM(Z173:AD173)</f>
        <v>0</v>
      </c>
      <c r="Z173" s="75">
        <v>0</v>
      </c>
      <c r="AA173" s="75">
        <v>0</v>
      </c>
      <c r="AB173" s="75">
        <v>0</v>
      </c>
      <c r="AC173" s="75">
        <v>0</v>
      </c>
      <c r="AD173" s="75">
        <v>0</v>
      </c>
      <c r="AE173" s="75">
        <f>SUM(AF173:AI173)</f>
        <v>0</v>
      </c>
      <c r="AF173" s="75">
        <v>0</v>
      </c>
      <c r="AG173" s="75">
        <v>0</v>
      </c>
      <c r="AH173" s="75">
        <v>0</v>
      </c>
      <c r="AI173" s="75">
        <v>0</v>
      </c>
      <c r="AJ173" s="75">
        <f>SUM(AK173:AL173)</f>
        <v>180768950</v>
      </c>
      <c r="AK173" s="75">
        <v>180768950</v>
      </c>
      <c r="AL173" s="75">
        <f>SUM(AM173:AO173)</f>
        <v>0</v>
      </c>
      <c r="AM173" s="75">
        <v>0</v>
      </c>
      <c r="AN173" s="75">
        <v>0</v>
      </c>
      <c r="AO173" s="75">
        <v>0</v>
      </c>
    </row>
    <row r="174" spans="1:44" x14ac:dyDescent="0.25">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row>
    <row r="175" spans="1:44" s="78" customFormat="1" x14ac:dyDescent="0.25">
      <c r="A175" s="90">
        <v>4</v>
      </c>
      <c r="B175" s="92" t="s">
        <v>277</v>
      </c>
      <c r="C175" s="77">
        <f>SUM(C176:C177)</f>
        <v>27557230000</v>
      </c>
      <c r="D175" s="77">
        <f t="shared" ref="D175:AO175" si="63">SUM(D176:D177)</f>
        <v>0</v>
      </c>
      <c r="E175" s="77">
        <f t="shared" si="63"/>
        <v>0</v>
      </c>
      <c r="F175" s="77">
        <f t="shared" si="63"/>
        <v>0</v>
      </c>
      <c r="G175" s="77">
        <f t="shared" si="63"/>
        <v>0</v>
      </c>
      <c r="H175" s="77">
        <f t="shared" si="63"/>
        <v>0</v>
      </c>
      <c r="I175" s="77">
        <f t="shared" si="63"/>
        <v>0</v>
      </c>
      <c r="J175" s="77">
        <f t="shared" si="63"/>
        <v>0</v>
      </c>
      <c r="K175" s="77">
        <f t="shared" si="63"/>
        <v>0</v>
      </c>
      <c r="L175" s="77">
        <f t="shared" si="63"/>
        <v>0</v>
      </c>
      <c r="M175" s="77">
        <f t="shared" si="63"/>
        <v>0</v>
      </c>
      <c r="N175" s="77">
        <f t="shared" si="63"/>
        <v>0</v>
      </c>
      <c r="O175" s="77">
        <f t="shared" si="63"/>
        <v>0</v>
      </c>
      <c r="P175" s="77">
        <f t="shared" si="63"/>
        <v>0</v>
      </c>
      <c r="Q175" s="77">
        <f t="shared" si="63"/>
        <v>0</v>
      </c>
      <c r="R175" s="77">
        <f t="shared" si="63"/>
        <v>0</v>
      </c>
      <c r="S175" s="77">
        <f t="shared" si="63"/>
        <v>0</v>
      </c>
      <c r="T175" s="77">
        <f t="shared" si="63"/>
        <v>0</v>
      </c>
      <c r="U175" s="77">
        <f t="shared" si="63"/>
        <v>0</v>
      </c>
      <c r="V175" s="77">
        <f t="shared" si="63"/>
        <v>0</v>
      </c>
      <c r="W175" s="77">
        <f t="shared" si="63"/>
        <v>0</v>
      </c>
      <c r="X175" s="77">
        <f t="shared" si="63"/>
        <v>0</v>
      </c>
      <c r="Y175" s="77">
        <f t="shared" si="63"/>
        <v>0</v>
      </c>
      <c r="Z175" s="77">
        <f t="shared" si="63"/>
        <v>0</v>
      </c>
      <c r="AA175" s="77">
        <f t="shared" si="63"/>
        <v>0</v>
      </c>
      <c r="AB175" s="77">
        <f t="shared" si="63"/>
        <v>0</v>
      </c>
      <c r="AC175" s="77">
        <f t="shared" si="63"/>
        <v>0</v>
      </c>
      <c r="AD175" s="77">
        <f t="shared" si="63"/>
        <v>0</v>
      </c>
      <c r="AE175" s="77">
        <f t="shared" si="63"/>
        <v>0</v>
      </c>
      <c r="AF175" s="77">
        <f t="shared" si="63"/>
        <v>0</v>
      </c>
      <c r="AG175" s="77">
        <f t="shared" si="63"/>
        <v>0</v>
      </c>
      <c r="AH175" s="77">
        <f t="shared" si="63"/>
        <v>0</v>
      </c>
      <c r="AI175" s="77">
        <f t="shared" si="63"/>
        <v>0</v>
      </c>
      <c r="AJ175" s="77">
        <f t="shared" si="63"/>
        <v>27557230000</v>
      </c>
      <c r="AK175" s="77">
        <f t="shared" si="63"/>
        <v>25057230000</v>
      </c>
      <c r="AL175" s="77">
        <f t="shared" si="63"/>
        <v>2500000000</v>
      </c>
      <c r="AM175" s="77">
        <f t="shared" si="63"/>
        <v>0</v>
      </c>
      <c r="AN175" s="77">
        <f t="shared" si="63"/>
        <v>0</v>
      </c>
      <c r="AO175" s="77">
        <f t="shared" si="63"/>
        <v>2500000000</v>
      </c>
      <c r="AQ175" s="64"/>
      <c r="AR175" s="64"/>
    </row>
    <row r="176" spans="1:44" x14ac:dyDescent="0.25">
      <c r="A176" s="75" t="s">
        <v>278</v>
      </c>
      <c r="B176" s="87" t="s">
        <v>279</v>
      </c>
      <c r="C176" s="75">
        <f>SUM(D176+Y176+AE176+AJ176)</f>
        <v>25057230000</v>
      </c>
      <c r="D176" s="75">
        <f>SUM(E176:X176)</f>
        <v>0</v>
      </c>
      <c r="E176" s="75">
        <v>0</v>
      </c>
      <c r="F176" s="75">
        <v>0</v>
      </c>
      <c r="G176" s="75">
        <v>0</v>
      </c>
      <c r="H176" s="75">
        <v>0</v>
      </c>
      <c r="I176" s="75">
        <v>0</v>
      </c>
      <c r="J176" s="75">
        <v>0</v>
      </c>
      <c r="K176" s="75">
        <v>0</v>
      </c>
      <c r="L176" s="75">
        <v>0</v>
      </c>
      <c r="M176" s="75">
        <v>0</v>
      </c>
      <c r="N176" s="75">
        <v>0</v>
      </c>
      <c r="O176" s="75">
        <v>0</v>
      </c>
      <c r="P176" s="75">
        <v>0</v>
      </c>
      <c r="Q176" s="75">
        <v>0</v>
      </c>
      <c r="R176" s="75">
        <v>0</v>
      </c>
      <c r="S176" s="75">
        <v>0</v>
      </c>
      <c r="T176" s="75">
        <v>0</v>
      </c>
      <c r="U176" s="75">
        <v>0</v>
      </c>
      <c r="V176" s="75">
        <v>0</v>
      </c>
      <c r="W176" s="75">
        <v>0</v>
      </c>
      <c r="X176" s="75">
        <v>0</v>
      </c>
      <c r="Y176" s="75">
        <f>SUM(Z176:AD176)</f>
        <v>0</v>
      </c>
      <c r="Z176" s="75">
        <v>0</v>
      </c>
      <c r="AA176" s="75">
        <v>0</v>
      </c>
      <c r="AB176" s="75">
        <v>0</v>
      </c>
      <c r="AC176" s="75">
        <v>0</v>
      </c>
      <c r="AD176" s="75">
        <v>0</v>
      </c>
      <c r="AE176" s="75">
        <f>SUM(AF176:AI176)</f>
        <v>0</v>
      </c>
      <c r="AF176" s="75">
        <v>0</v>
      </c>
      <c r="AG176" s="75">
        <v>0</v>
      </c>
      <c r="AH176" s="75">
        <v>0</v>
      </c>
      <c r="AI176" s="75">
        <v>0</v>
      </c>
      <c r="AJ176" s="75">
        <f>SUM(AK176:AL176)</f>
        <v>25057230000</v>
      </c>
      <c r="AK176" s="75">
        <v>25057230000</v>
      </c>
      <c r="AL176" s="75">
        <f>SUM(AM176:AO176)</f>
        <v>0</v>
      </c>
      <c r="AM176" s="75">
        <v>0</v>
      </c>
      <c r="AN176" s="75">
        <v>0</v>
      </c>
      <c r="AO176" s="75">
        <v>0</v>
      </c>
    </row>
    <row r="177" spans="1:44" x14ac:dyDescent="0.25">
      <c r="A177" s="75" t="s">
        <v>280</v>
      </c>
      <c r="B177" s="75" t="s">
        <v>281</v>
      </c>
      <c r="C177" s="75">
        <f>SUM(D177+Y177+AE177+AJ177)</f>
        <v>2500000000</v>
      </c>
      <c r="D177" s="75">
        <f>SUM(E177:X177)</f>
        <v>0</v>
      </c>
      <c r="E177" s="75">
        <v>0</v>
      </c>
      <c r="F177" s="75">
        <v>0</v>
      </c>
      <c r="G177" s="75">
        <v>0</v>
      </c>
      <c r="H177" s="75">
        <v>0</v>
      </c>
      <c r="I177" s="75">
        <v>0</v>
      </c>
      <c r="J177" s="75">
        <v>0</v>
      </c>
      <c r="K177" s="75">
        <v>0</v>
      </c>
      <c r="L177" s="75">
        <v>0</v>
      </c>
      <c r="M177" s="75">
        <v>0</v>
      </c>
      <c r="N177" s="75">
        <v>0</v>
      </c>
      <c r="O177" s="75">
        <v>0</v>
      </c>
      <c r="P177" s="75">
        <v>0</v>
      </c>
      <c r="Q177" s="75">
        <v>0</v>
      </c>
      <c r="R177" s="75">
        <v>0</v>
      </c>
      <c r="S177" s="75">
        <v>0</v>
      </c>
      <c r="T177" s="75">
        <v>0</v>
      </c>
      <c r="U177" s="75">
        <v>0</v>
      </c>
      <c r="V177" s="75">
        <v>0</v>
      </c>
      <c r="W177" s="75">
        <v>0</v>
      </c>
      <c r="X177" s="75">
        <v>0</v>
      </c>
      <c r="Y177" s="75">
        <f>SUM(Z177:AD177)</f>
        <v>0</v>
      </c>
      <c r="Z177" s="75">
        <v>0</v>
      </c>
      <c r="AA177" s="75">
        <v>0</v>
      </c>
      <c r="AB177" s="75">
        <v>0</v>
      </c>
      <c r="AC177" s="75">
        <v>0</v>
      </c>
      <c r="AD177" s="75">
        <v>0</v>
      </c>
      <c r="AE177" s="75">
        <f>SUM(AF177:AI177)</f>
        <v>0</v>
      </c>
      <c r="AF177" s="75">
        <v>0</v>
      </c>
      <c r="AG177" s="75">
        <v>0</v>
      </c>
      <c r="AH177" s="75">
        <v>0</v>
      </c>
      <c r="AI177" s="75">
        <v>0</v>
      </c>
      <c r="AJ177" s="75">
        <f>SUM(AK177:AL177)</f>
        <v>2500000000</v>
      </c>
      <c r="AK177" s="75">
        <v>0</v>
      </c>
      <c r="AL177" s="75">
        <f>SUM(AM177:AO177)</f>
        <v>2500000000</v>
      </c>
      <c r="AM177" s="75">
        <v>0</v>
      </c>
      <c r="AN177" s="75">
        <v>0</v>
      </c>
      <c r="AO177" s="75">
        <f>2000000000+500000000</f>
        <v>2500000000</v>
      </c>
    </row>
    <row r="178" spans="1:44" x14ac:dyDescent="0.25">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row>
    <row r="179" spans="1:44" s="78" customFormat="1" x14ac:dyDescent="0.25">
      <c r="A179" s="90">
        <v>5</v>
      </c>
      <c r="B179" s="92" t="s">
        <v>282</v>
      </c>
      <c r="C179" s="77">
        <f t="shared" ref="C179:AO179" si="64">+C181+C189+C196</f>
        <v>2673691360.0799999</v>
      </c>
      <c r="D179" s="77">
        <f t="shared" si="64"/>
        <v>879694549.07999992</v>
      </c>
      <c r="E179" s="77">
        <f t="shared" si="64"/>
        <v>0</v>
      </c>
      <c r="F179" s="77">
        <f t="shared" si="64"/>
        <v>4459519.08</v>
      </c>
      <c r="G179" s="77">
        <f t="shared" si="64"/>
        <v>520000</v>
      </c>
      <c r="H179" s="77">
        <f t="shared" si="64"/>
        <v>0</v>
      </c>
      <c r="I179" s="77">
        <f t="shared" si="64"/>
        <v>154155230</v>
      </c>
      <c r="J179" s="77">
        <f t="shared" si="64"/>
        <v>0</v>
      </c>
      <c r="K179" s="77">
        <f t="shared" si="64"/>
        <v>0</v>
      </c>
      <c r="L179" s="77">
        <f t="shared" si="64"/>
        <v>1000000</v>
      </c>
      <c r="M179" s="77">
        <f t="shared" si="64"/>
        <v>120000</v>
      </c>
      <c r="N179" s="77">
        <f t="shared" si="64"/>
        <v>0</v>
      </c>
      <c r="O179" s="77">
        <f t="shared" si="64"/>
        <v>540150500</v>
      </c>
      <c r="P179" s="77">
        <f t="shared" si="64"/>
        <v>20000000</v>
      </c>
      <c r="Q179" s="77">
        <f t="shared" si="64"/>
        <v>0</v>
      </c>
      <c r="R179" s="77">
        <f t="shared" si="64"/>
        <v>650000</v>
      </c>
      <c r="S179" s="77">
        <f t="shared" si="64"/>
        <v>150400000</v>
      </c>
      <c r="T179" s="77">
        <f t="shared" si="64"/>
        <v>1300000</v>
      </c>
      <c r="U179" s="77">
        <f t="shared" si="64"/>
        <v>4093300</v>
      </c>
      <c r="V179" s="77">
        <f t="shared" si="64"/>
        <v>96000</v>
      </c>
      <c r="W179" s="77">
        <f t="shared" si="64"/>
        <v>750000</v>
      </c>
      <c r="X179" s="77">
        <f t="shared" si="64"/>
        <v>2000000</v>
      </c>
      <c r="Y179" s="77">
        <f t="shared" si="64"/>
        <v>170129680</v>
      </c>
      <c r="Z179" s="77">
        <f t="shared" si="64"/>
        <v>11000000</v>
      </c>
      <c r="AA179" s="77">
        <f t="shared" si="64"/>
        <v>123189840</v>
      </c>
      <c r="AB179" s="77">
        <f t="shared" si="64"/>
        <v>19050000</v>
      </c>
      <c r="AC179" s="77">
        <f t="shared" si="64"/>
        <v>13189840</v>
      </c>
      <c r="AD179" s="77">
        <f t="shared" si="64"/>
        <v>3700000</v>
      </c>
      <c r="AE179" s="77">
        <f t="shared" si="64"/>
        <v>883078957</v>
      </c>
      <c r="AF179" s="77">
        <f t="shared" si="64"/>
        <v>0</v>
      </c>
      <c r="AG179" s="77">
        <f t="shared" si="64"/>
        <v>880578957</v>
      </c>
      <c r="AH179" s="77">
        <f t="shared" si="64"/>
        <v>0</v>
      </c>
      <c r="AI179" s="77">
        <f t="shared" si="64"/>
        <v>2500000</v>
      </c>
      <c r="AJ179" s="77">
        <f t="shared" si="64"/>
        <v>740788174</v>
      </c>
      <c r="AK179" s="77">
        <f t="shared" si="64"/>
        <v>739988174</v>
      </c>
      <c r="AL179" s="77">
        <f t="shared" si="64"/>
        <v>800000</v>
      </c>
      <c r="AM179" s="77">
        <f t="shared" si="64"/>
        <v>800000</v>
      </c>
      <c r="AN179" s="77">
        <f t="shared" si="64"/>
        <v>0</v>
      </c>
      <c r="AO179" s="77">
        <f t="shared" si="64"/>
        <v>0</v>
      </c>
      <c r="AQ179" s="64"/>
      <c r="AR179" s="64"/>
    </row>
    <row r="180" spans="1:44" s="78" customFormat="1" x14ac:dyDescent="0.25">
      <c r="A180" s="90"/>
      <c r="B180" s="92"/>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Q180" s="64"/>
      <c r="AR180" s="64"/>
    </row>
    <row r="181" spans="1:44" s="78" customFormat="1" x14ac:dyDescent="0.25">
      <c r="A181" s="86" t="s">
        <v>283</v>
      </c>
      <c r="B181" s="82" t="s">
        <v>284</v>
      </c>
      <c r="C181" s="77">
        <f>SUM(C182:C187)</f>
        <v>664799340.07999992</v>
      </c>
      <c r="D181" s="77">
        <f t="shared" ref="D181:AO181" si="65">SUM(D182:D187)</f>
        <v>451380840.07999998</v>
      </c>
      <c r="E181" s="77">
        <f t="shared" si="65"/>
        <v>0</v>
      </c>
      <c r="F181" s="77">
        <f t="shared" si="65"/>
        <v>851040.08</v>
      </c>
      <c r="G181" s="77">
        <f t="shared" si="65"/>
        <v>520000</v>
      </c>
      <c r="H181" s="77">
        <f t="shared" si="65"/>
        <v>0</v>
      </c>
      <c r="I181" s="77">
        <f t="shared" si="65"/>
        <v>34450000</v>
      </c>
      <c r="J181" s="77">
        <f t="shared" si="65"/>
        <v>0</v>
      </c>
      <c r="K181" s="77">
        <f t="shared" si="65"/>
        <v>0</v>
      </c>
      <c r="L181" s="77">
        <f t="shared" si="65"/>
        <v>1000000</v>
      </c>
      <c r="M181" s="77">
        <f t="shared" si="65"/>
        <v>120000</v>
      </c>
      <c r="N181" s="77">
        <f t="shared" si="65"/>
        <v>0</v>
      </c>
      <c r="O181" s="77">
        <f t="shared" si="65"/>
        <v>405150500</v>
      </c>
      <c r="P181" s="77">
        <f t="shared" si="65"/>
        <v>0</v>
      </c>
      <c r="Q181" s="77">
        <f t="shared" si="65"/>
        <v>0</v>
      </c>
      <c r="R181" s="77">
        <f t="shared" si="65"/>
        <v>650000</v>
      </c>
      <c r="S181" s="77">
        <f t="shared" si="65"/>
        <v>400000</v>
      </c>
      <c r="T181" s="77">
        <f t="shared" si="65"/>
        <v>1300000</v>
      </c>
      <c r="U181" s="77">
        <f t="shared" si="65"/>
        <v>4093300</v>
      </c>
      <c r="V181" s="77">
        <f t="shared" si="65"/>
        <v>96000</v>
      </c>
      <c r="W181" s="77">
        <f t="shared" si="65"/>
        <v>750000</v>
      </c>
      <c r="X181" s="77">
        <f t="shared" si="65"/>
        <v>2000000</v>
      </c>
      <c r="Y181" s="77">
        <f t="shared" si="65"/>
        <v>148950000</v>
      </c>
      <c r="Z181" s="77">
        <f t="shared" si="65"/>
        <v>10000000</v>
      </c>
      <c r="AA181" s="77">
        <f t="shared" si="65"/>
        <v>123000000</v>
      </c>
      <c r="AB181" s="77">
        <f t="shared" si="65"/>
        <v>6250000</v>
      </c>
      <c r="AC181" s="77">
        <f t="shared" si="65"/>
        <v>8000000</v>
      </c>
      <c r="AD181" s="77">
        <f t="shared" si="65"/>
        <v>1700000</v>
      </c>
      <c r="AE181" s="77">
        <f t="shared" si="65"/>
        <v>19000000</v>
      </c>
      <c r="AF181" s="77">
        <f t="shared" si="65"/>
        <v>0</v>
      </c>
      <c r="AG181" s="77">
        <f t="shared" si="65"/>
        <v>16500000</v>
      </c>
      <c r="AH181" s="77">
        <f t="shared" si="65"/>
        <v>0</v>
      </c>
      <c r="AI181" s="77">
        <f t="shared" si="65"/>
        <v>2500000</v>
      </c>
      <c r="AJ181" s="77">
        <f t="shared" si="65"/>
        <v>45468500</v>
      </c>
      <c r="AK181" s="77">
        <f t="shared" si="65"/>
        <v>44668500</v>
      </c>
      <c r="AL181" s="77">
        <f t="shared" si="65"/>
        <v>800000</v>
      </c>
      <c r="AM181" s="77">
        <f t="shared" si="65"/>
        <v>800000</v>
      </c>
      <c r="AN181" s="77">
        <f t="shared" si="65"/>
        <v>0</v>
      </c>
      <c r="AO181" s="77">
        <f t="shared" si="65"/>
        <v>0</v>
      </c>
      <c r="AQ181" s="64"/>
      <c r="AR181" s="64"/>
    </row>
    <row r="182" spans="1:44" x14ac:dyDescent="0.25">
      <c r="A182" s="75" t="s">
        <v>285</v>
      </c>
      <c r="B182" s="81" t="s">
        <v>286</v>
      </c>
      <c r="C182" s="75">
        <f t="shared" ref="C182:C187" si="66">SUM(D182+Y182+AE182+AJ182)</f>
        <v>3200000</v>
      </c>
      <c r="D182" s="75">
        <f t="shared" ref="D182:D187" si="67">SUM(E182:X182)</f>
        <v>3200000</v>
      </c>
      <c r="E182" s="75">
        <v>0</v>
      </c>
      <c r="F182" s="75">
        <v>0</v>
      </c>
      <c r="G182" s="75">
        <v>0</v>
      </c>
      <c r="H182" s="75">
        <v>0</v>
      </c>
      <c r="I182" s="75">
        <v>0</v>
      </c>
      <c r="J182" s="75">
        <v>0</v>
      </c>
      <c r="K182" s="75">
        <v>0</v>
      </c>
      <c r="L182" s="75">
        <v>0</v>
      </c>
      <c r="M182" s="75">
        <v>0</v>
      </c>
      <c r="N182" s="75">
        <v>0</v>
      </c>
      <c r="O182" s="75">
        <v>3200000</v>
      </c>
      <c r="P182" s="75">
        <v>0</v>
      </c>
      <c r="Q182" s="75">
        <v>0</v>
      </c>
      <c r="R182" s="75">
        <v>0</v>
      </c>
      <c r="S182" s="75">
        <v>0</v>
      </c>
      <c r="T182" s="75">
        <v>0</v>
      </c>
      <c r="U182" s="75">
        <v>0</v>
      </c>
      <c r="V182" s="75">
        <v>0</v>
      </c>
      <c r="W182" s="75">
        <v>0</v>
      </c>
      <c r="X182" s="75">
        <v>0</v>
      </c>
      <c r="Y182" s="75">
        <f t="shared" ref="Y182:Y187" si="68">SUM(Z182:AD182)</f>
        <v>0</v>
      </c>
      <c r="Z182" s="75">
        <v>0</v>
      </c>
      <c r="AA182" s="75">
        <v>0</v>
      </c>
      <c r="AB182" s="75">
        <v>0</v>
      </c>
      <c r="AC182" s="75">
        <v>0</v>
      </c>
      <c r="AD182" s="75">
        <v>0</v>
      </c>
      <c r="AE182" s="75">
        <f t="shared" ref="AE182:AE187" si="69">SUM(AF182:AI182)</f>
        <v>0</v>
      </c>
      <c r="AF182" s="75">
        <v>0</v>
      </c>
      <c r="AG182" s="75">
        <v>0</v>
      </c>
      <c r="AH182" s="75">
        <v>0</v>
      </c>
      <c r="AI182" s="75">
        <v>0</v>
      </c>
      <c r="AJ182" s="75">
        <f t="shared" ref="AJ182:AJ187" si="70">SUM(AK182:AL182)</f>
        <v>0</v>
      </c>
      <c r="AK182" s="75">
        <v>0</v>
      </c>
      <c r="AL182" s="75">
        <f t="shared" ref="AL182:AL187" si="71">SUM(AM182:AO182)</f>
        <v>0</v>
      </c>
      <c r="AM182" s="75">
        <v>0</v>
      </c>
      <c r="AN182" s="75">
        <v>0</v>
      </c>
      <c r="AO182" s="75">
        <v>0</v>
      </c>
    </row>
    <row r="183" spans="1:44" x14ac:dyDescent="0.25">
      <c r="A183" s="75" t="s">
        <v>287</v>
      </c>
      <c r="B183" s="75" t="s">
        <v>288</v>
      </c>
      <c r="C183" s="75">
        <f t="shared" si="66"/>
        <v>120195000</v>
      </c>
      <c r="D183" s="75">
        <f t="shared" si="67"/>
        <v>120195000</v>
      </c>
      <c r="E183" s="75">
        <v>0</v>
      </c>
      <c r="F183" s="75">
        <v>0</v>
      </c>
      <c r="G183" s="75">
        <v>0</v>
      </c>
      <c r="H183" s="75">
        <v>0</v>
      </c>
      <c r="I183" s="75">
        <v>0</v>
      </c>
      <c r="J183" s="75">
        <v>0</v>
      </c>
      <c r="K183" s="75">
        <v>0</v>
      </c>
      <c r="L183" s="75">
        <v>0</v>
      </c>
      <c r="M183" s="75">
        <v>0</v>
      </c>
      <c r="N183" s="75">
        <v>0</v>
      </c>
      <c r="O183" s="75">
        <v>120000000</v>
      </c>
      <c r="P183" s="75">
        <v>0</v>
      </c>
      <c r="Q183" s="75">
        <v>0</v>
      </c>
      <c r="R183" s="75">
        <v>0</v>
      </c>
      <c r="S183" s="75">
        <v>0</v>
      </c>
      <c r="T183" s="75">
        <v>0</v>
      </c>
      <c r="U183" s="75">
        <v>195000</v>
      </c>
      <c r="V183" s="75">
        <v>0</v>
      </c>
      <c r="W183" s="75">
        <v>0</v>
      </c>
      <c r="X183" s="75">
        <v>0</v>
      </c>
      <c r="Y183" s="75">
        <f t="shared" si="68"/>
        <v>0</v>
      </c>
      <c r="Z183" s="75">
        <v>0</v>
      </c>
      <c r="AA183" s="75">
        <v>0</v>
      </c>
      <c r="AB183" s="75">
        <v>0</v>
      </c>
      <c r="AC183" s="75">
        <v>0</v>
      </c>
      <c r="AD183" s="75">
        <v>0</v>
      </c>
      <c r="AE183" s="75">
        <f t="shared" si="69"/>
        <v>0</v>
      </c>
      <c r="AF183" s="75">
        <v>0</v>
      </c>
      <c r="AG183" s="75">
        <v>0</v>
      </c>
      <c r="AH183" s="75">
        <v>0</v>
      </c>
      <c r="AI183" s="75">
        <v>0</v>
      </c>
      <c r="AJ183" s="75">
        <f t="shared" si="70"/>
        <v>0</v>
      </c>
      <c r="AK183" s="75">
        <v>0</v>
      </c>
      <c r="AL183" s="75">
        <f t="shared" si="71"/>
        <v>0</v>
      </c>
      <c r="AM183" s="75">
        <v>0</v>
      </c>
      <c r="AN183" s="75">
        <v>0</v>
      </c>
      <c r="AO183" s="75">
        <v>0</v>
      </c>
    </row>
    <row r="184" spans="1:44" x14ac:dyDescent="0.25">
      <c r="A184" s="75" t="s">
        <v>289</v>
      </c>
      <c r="B184" s="81" t="s">
        <v>290</v>
      </c>
      <c r="C184" s="75">
        <f t="shared" si="66"/>
        <v>59046110.009999998</v>
      </c>
      <c r="D184" s="75">
        <f t="shared" si="67"/>
        <v>43927610.009999998</v>
      </c>
      <c r="E184" s="75">
        <v>0</v>
      </c>
      <c r="F184" s="75">
        <v>322110.01</v>
      </c>
      <c r="G184" s="75">
        <v>0</v>
      </c>
      <c r="H184" s="75">
        <v>0</v>
      </c>
      <c r="I184" s="75">
        <v>0</v>
      </c>
      <c r="J184" s="75">
        <v>0</v>
      </c>
      <c r="K184" s="75">
        <v>0</v>
      </c>
      <c r="L184" s="75">
        <v>0</v>
      </c>
      <c r="M184" s="75">
        <v>0</v>
      </c>
      <c r="N184" s="75">
        <v>0</v>
      </c>
      <c r="O184" s="75">
        <f>55674000-'[4]Costeo SAP'!P34</f>
        <v>41755500</v>
      </c>
      <c r="P184" s="75">
        <v>0</v>
      </c>
      <c r="Q184" s="75">
        <v>0</v>
      </c>
      <c r="R184" s="75">
        <v>350000</v>
      </c>
      <c r="S184" s="75">
        <v>0</v>
      </c>
      <c r="T184" s="75">
        <v>500000</v>
      </c>
      <c r="U184" s="75">
        <v>0</v>
      </c>
      <c r="V184" s="75">
        <v>0</v>
      </c>
      <c r="W184" s="75">
        <v>0</v>
      </c>
      <c r="X184" s="75">
        <v>1000000</v>
      </c>
      <c r="Y184" s="75">
        <f t="shared" si="68"/>
        <v>0</v>
      </c>
      <c r="Z184" s="75">
        <v>0</v>
      </c>
      <c r="AA184" s="75">
        <v>0</v>
      </c>
      <c r="AB184" s="75">
        <v>0</v>
      </c>
      <c r="AC184" s="75">
        <v>0</v>
      </c>
      <c r="AD184" s="75">
        <v>0</v>
      </c>
      <c r="AE184" s="75">
        <f t="shared" si="69"/>
        <v>1000000</v>
      </c>
      <c r="AF184" s="75">
        <v>0</v>
      </c>
      <c r="AG184" s="75">
        <v>0</v>
      </c>
      <c r="AH184" s="75">
        <v>0</v>
      </c>
      <c r="AI184" s="75">
        <v>1000000</v>
      </c>
      <c r="AJ184" s="75">
        <f t="shared" si="70"/>
        <v>14118500</v>
      </c>
      <c r="AK184" s="75">
        <f>200000+'[4]Costeo SAP'!P34</f>
        <v>14118500</v>
      </c>
      <c r="AL184" s="75">
        <f t="shared" si="71"/>
        <v>0</v>
      </c>
      <c r="AM184" s="75">
        <v>0</v>
      </c>
      <c r="AN184" s="75">
        <v>0</v>
      </c>
      <c r="AO184" s="75">
        <v>0</v>
      </c>
    </row>
    <row r="185" spans="1:44" x14ac:dyDescent="0.25">
      <c r="A185" s="75" t="s">
        <v>291</v>
      </c>
      <c r="B185" s="81" t="s">
        <v>292</v>
      </c>
      <c r="C185" s="75">
        <f t="shared" si="66"/>
        <v>102379300</v>
      </c>
      <c r="D185" s="75">
        <f t="shared" si="67"/>
        <v>81079300</v>
      </c>
      <c r="E185" s="75">
        <v>0</v>
      </c>
      <c r="F185" s="75">
        <v>0</v>
      </c>
      <c r="G185" s="75">
        <v>520000</v>
      </c>
      <c r="H185" s="75">
        <v>0</v>
      </c>
      <c r="I185" s="75">
        <v>0</v>
      </c>
      <c r="J185" s="75">
        <v>0</v>
      </c>
      <c r="K185" s="75">
        <v>0</v>
      </c>
      <c r="L185" s="75">
        <v>1000000</v>
      </c>
      <c r="M185" s="75">
        <v>120000</v>
      </c>
      <c r="N185" s="75">
        <v>0</v>
      </c>
      <c r="O185" s="75">
        <v>72695000</v>
      </c>
      <c r="P185" s="75">
        <v>0</v>
      </c>
      <c r="Q185" s="75">
        <v>0</v>
      </c>
      <c r="R185" s="75">
        <v>300000</v>
      </c>
      <c r="S185" s="75">
        <v>400000</v>
      </c>
      <c r="T185" s="75">
        <v>300000</v>
      </c>
      <c r="U185" s="75">
        <v>3898300</v>
      </c>
      <c r="V185" s="75">
        <v>96000</v>
      </c>
      <c r="W185" s="75">
        <v>750000</v>
      </c>
      <c r="X185" s="75">
        <v>1000000</v>
      </c>
      <c r="Y185" s="75">
        <f t="shared" si="68"/>
        <v>2000000</v>
      </c>
      <c r="Z185" s="75">
        <v>0</v>
      </c>
      <c r="AA185" s="75">
        <v>0</v>
      </c>
      <c r="AB185" s="75">
        <v>0</v>
      </c>
      <c r="AC185" s="75">
        <v>2000000</v>
      </c>
      <c r="AD185" s="75">
        <v>0</v>
      </c>
      <c r="AE185" s="75">
        <f t="shared" si="69"/>
        <v>15000000</v>
      </c>
      <c r="AF185" s="75">
        <v>0</v>
      </c>
      <c r="AG185" s="75">
        <v>15000000</v>
      </c>
      <c r="AH185" s="75">
        <v>0</v>
      </c>
      <c r="AI185" s="75">
        <v>0</v>
      </c>
      <c r="AJ185" s="75">
        <f t="shared" si="70"/>
        <v>4300000</v>
      </c>
      <c r="AK185" s="75">
        <v>4000000</v>
      </c>
      <c r="AL185" s="75">
        <f t="shared" si="71"/>
        <v>300000</v>
      </c>
      <c r="AM185" s="75">
        <v>300000</v>
      </c>
      <c r="AN185" s="75">
        <v>0</v>
      </c>
      <c r="AO185" s="75">
        <v>0</v>
      </c>
    </row>
    <row r="186" spans="1:44" x14ac:dyDescent="0.25">
      <c r="A186" s="75" t="s">
        <v>293</v>
      </c>
      <c r="B186" s="81" t="s">
        <v>294</v>
      </c>
      <c r="C186" s="75">
        <f t="shared" si="66"/>
        <v>64928930.07</v>
      </c>
      <c r="D186" s="75">
        <f t="shared" si="67"/>
        <v>34978930.07</v>
      </c>
      <c r="E186" s="75">
        <v>0</v>
      </c>
      <c r="F186" s="75">
        <v>528930.06999999995</v>
      </c>
      <c r="G186" s="75">
        <v>0</v>
      </c>
      <c r="H186" s="75">
        <v>0</v>
      </c>
      <c r="I186" s="75">
        <f>43200000-'[4]Costeo SAP'!P35</f>
        <v>34450000</v>
      </c>
      <c r="J186" s="75">
        <v>0</v>
      </c>
      <c r="K186" s="75">
        <v>0</v>
      </c>
      <c r="L186" s="75">
        <v>0</v>
      </c>
      <c r="M186" s="75">
        <v>0</v>
      </c>
      <c r="N186" s="75">
        <v>0</v>
      </c>
      <c r="O186" s="75">
        <v>0</v>
      </c>
      <c r="P186" s="75">
        <v>0</v>
      </c>
      <c r="Q186" s="75">
        <v>0</v>
      </c>
      <c r="R186" s="75">
        <v>0</v>
      </c>
      <c r="S186" s="75">
        <v>0</v>
      </c>
      <c r="T186" s="75">
        <v>0</v>
      </c>
      <c r="U186" s="75">
        <v>0</v>
      </c>
      <c r="V186" s="75">
        <v>0</v>
      </c>
      <c r="W186" s="75">
        <v>0</v>
      </c>
      <c r="X186" s="75">
        <v>0</v>
      </c>
      <c r="Y186" s="75">
        <f t="shared" si="68"/>
        <v>20700000</v>
      </c>
      <c r="Z186" s="75">
        <v>4000000</v>
      </c>
      <c r="AA186" s="75">
        <v>3000000</v>
      </c>
      <c r="AB186" s="75">
        <v>6000000</v>
      </c>
      <c r="AC186" s="75">
        <v>6000000</v>
      </c>
      <c r="AD186" s="75">
        <v>1700000</v>
      </c>
      <c r="AE186" s="75">
        <f t="shared" si="69"/>
        <v>0</v>
      </c>
      <c r="AF186" s="75">
        <v>0</v>
      </c>
      <c r="AG186" s="75">
        <v>0</v>
      </c>
      <c r="AH186" s="75">
        <v>0</v>
      </c>
      <c r="AI186" s="75">
        <v>0</v>
      </c>
      <c r="AJ186" s="75">
        <f t="shared" si="70"/>
        <v>9250000</v>
      </c>
      <c r="AK186" s="75">
        <f>+'[4]Costeo SAP'!P35</f>
        <v>8750000</v>
      </c>
      <c r="AL186" s="75">
        <f t="shared" si="71"/>
        <v>500000</v>
      </c>
      <c r="AM186" s="75">
        <v>500000</v>
      </c>
      <c r="AN186" s="75">
        <v>0</v>
      </c>
      <c r="AO186" s="75">
        <v>0</v>
      </c>
    </row>
    <row r="187" spans="1:44" x14ac:dyDescent="0.25">
      <c r="A187" s="75" t="s">
        <v>295</v>
      </c>
      <c r="B187" s="81" t="s">
        <v>296</v>
      </c>
      <c r="C187" s="75">
        <f t="shared" si="66"/>
        <v>315050000</v>
      </c>
      <c r="D187" s="75">
        <f t="shared" si="67"/>
        <v>168000000</v>
      </c>
      <c r="E187" s="75">
        <v>0</v>
      </c>
      <c r="F187" s="75">
        <v>0</v>
      </c>
      <c r="G187" s="75">
        <v>0</v>
      </c>
      <c r="H187" s="75">
        <v>0</v>
      </c>
      <c r="I187" s="75">
        <v>0</v>
      </c>
      <c r="J187" s="75">
        <v>0</v>
      </c>
      <c r="K187" s="75">
        <v>0</v>
      </c>
      <c r="L187" s="75">
        <v>0</v>
      </c>
      <c r="M187" s="75">
        <v>0</v>
      </c>
      <c r="N187" s="75">
        <v>0</v>
      </c>
      <c r="O187" s="75">
        <f>215000000-30000000-17500000</f>
        <v>167500000</v>
      </c>
      <c r="P187" s="75">
        <v>0</v>
      </c>
      <c r="Q187" s="75">
        <v>0</v>
      </c>
      <c r="R187" s="75">
        <v>0</v>
      </c>
      <c r="S187" s="75">
        <v>0</v>
      </c>
      <c r="T187" s="75">
        <v>500000</v>
      </c>
      <c r="U187" s="75">
        <v>0</v>
      </c>
      <c r="V187" s="75">
        <v>0</v>
      </c>
      <c r="W187" s="75">
        <v>0</v>
      </c>
      <c r="X187" s="75">
        <v>0</v>
      </c>
      <c r="Y187" s="75">
        <f t="shared" si="68"/>
        <v>126250000</v>
      </c>
      <c r="Z187" s="75">
        <v>6000000</v>
      </c>
      <c r="AA187" s="75">
        <v>120000000</v>
      </c>
      <c r="AB187" s="75">
        <v>250000</v>
      </c>
      <c r="AC187" s="75">
        <v>0</v>
      </c>
      <c r="AD187" s="75">
        <v>0</v>
      </c>
      <c r="AE187" s="75">
        <f t="shared" si="69"/>
        <v>3000000</v>
      </c>
      <c r="AF187" s="75">
        <v>0</v>
      </c>
      <c r="AG187" s="75">
        <v>1500000</v>
      </c>
      <c r="AH187" s="75">
        <v>0</v>
      </c>
      <c r="AI187" s="75">
        <v>1500000</v>
      </c>
      <c r="AJ187" s="75">
        <f t="shared" si="70"/>
        <v>17800000</v>
      </c>
      <c r="AK187" s="75">
        <f>300000+17500000</f>
        <v>17800000</v>
      </c>
      <c r="AL187" s="75">
        <f t="shared" si="71"/>
        <v>0</v>
      </c>
      <c r="AM187" s="75">
        <v>0</v>
      </c>
      <c r="AN187" s="75">
        <v>0</v>
      </c>
      <c r="AO187" s="75">
        <v>0</v>
      </c>
    </row>
    <row r="188" spans="1:44" x14ac:dyDescent="0.25">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row>
    <row r="189" spans="1:44" s="78" customFormat="1" x14ac:dyDescent="0.25">
      <c r="A189" s="86" t="s">
        <v>297</v>
      </c>
      <c r="B189" s="82" t="s">
        <v>298</v>
      </c>
      <c r="C189" s="77">
        <f>+C190+C192</f>
        <v>1044078957</v>
      </c>
      <c r="D189" s="77">
        <f t="shared" ref="D189:AO189" si="72">SUM(D190)</f>
        <v>135000000</v>
      </c>
      <c r="E189" s="77">
        <f t="shared" si="72"/>
        <v>0</v>
      </c>
      <c r="F189" s="77">
        <f t="shared" si="72"/>
        <v>0</v>
      </c>
      <c r="G189" s="77">
        <f t="shared" si="72"/>
        <v>0</v>
      </c>
      <c r="H189" s="77">
        <f t="shared" si="72"/>
        <v>0</v>
      </c>
      <c r="I189" s="77">
        <f t="shared" si="72"/>
        <v>0</v>
      </c>
      <c r="J189" s="77">
        <f t="shared" si="72"/>
        <v>0</v>
      </c>
      <c r="K189" s="77">
        <f t="shared" si="72"/>
        <v>0</v>
      </c>
      <c r="L189" s="77">
        <f t="shared" si="72"/>
        <v>0</v>
      </c>
      <c r="M189" s="77">
        <f t="shared" si="72"/>
        <v>0</v>
      </c>
      <c r="N189" s="77">
        <f t="shared" si="72"/>
        <v>0</v>
      </c>
      <c r="O189" s="77">
        <f t="shared" si="72"/>
        <v>135000000</v>
      </c>
      <c r="P189" s="77">
        <f t="shared" si="72"/>
        <v>0</v>
      </c>
      <c r="Q189" s="77">
        <f t="shared" si="72"/>
        <v>0</v>
      </c>
      <c r="R189" s="77">
        <f t="shared" si="72"/>
        <v>0</v>
      </c>
      <c r="S189" s="77">
        <f t="shared" si="72"/>
        <v>0</v>
      </c>
      <c r="T189" s="77">
        <f t="shared" si="72"/>
        <v>0</v>
      </c>
      <c r="U189" s="77">
        <f t="shared" si="72"/>
        <v>0</v>
      </c>
      <c r="V189" s="77">
        <f t="shared" si="72"/>
        <v>0</v>
      </c>
      <c r="W189" s="77">
        <f t="shared" si="72"/>
        <v>0</v>
      </c>
      <c r="X189" s="77">
        <f t="shared" si="72"/>
        <v>0</v>
      </c>
      <c r="Y189" s="77">
        <f t="shared" si="72"/>
        <v>0</v>
      </c>
      <c r="Z189" s="77">
        <f t="shared" si="72"/>
        <v>0</v>
      </c>
      <c r="AA189" s="77">
        <f t="shared" si="72"/>
        <v>0</v>
      </c>
      <c r="AB189" s="77">
        <f t="shared" si="72"/>
        <v>0</v>
      </c>
      <c r="AC189" s="77">
        <f t="shared" si="72"/>
        <v>0</v>
      </c>
      <c r="AD189" s="77">
        <f t="shared" si="72"/>
        <v>0</v>
      </c>
      <c r="AE189" s="77">
        <f>+AE190+AE192</f>
        <v>864078957</v>
      </c>
      <c r="AF189" s="77">
        <f t="shared" si="72"/>
        <v>0</v>
      </c>
      <c r="AG189" s="77">
        <f>+AG190+AG192</f>
        <v>864078957</v>
      </c>
      <c r="AH189" s="77">
        <f t="shared" si="72"/>
        <v>0</v>
      </c>
      <c r="AI189" s="77">
        <f t="shared" si="72"/>
        <v>0</v>
      </c>
      <c r="AJ189" s="77">
        <f t="shared" si="72"/>
        <v>45000000</v>
      </c>
      <c r="AK189" s="77">
        <f t="shared" si="72"/>
        <v>45000000</v>
      </c>
      <c r="AL189" s="77">
        <f t="shared" si="72"/>
        <v>0</v>
      </c>
      <c r="AM189" s="77">
        <f t="shared" si="72"/>
        <v>0</v>
      </c>
      <c r="AN189" s="77">
        <f t="shared" si="72"/>
        <v>0</v>
      </c>
      <c r="AO189" s="77">
        <f t="shared" si="72"/>
        <v>0</v>
      </c>
      <c r="AQ189" s="64"/>
      <c r="AR189" s="64"/>
    </row>
    <row r="190" spans="1:44" x14ac:dyDescent="0.25">
      <c r="A190" s="75" t="s">
        <v>299</v>
      </c>
      <c r="B190" s="75" t="s">
        <v>300</v>
      </c>
      <c r="C190" s="75">
        <f>SUM(D190+Y190+AE190+AJ190)</f>
        <v>180000000</v>
      </c>
      <c r="D190" s="75">
        <f>SUM(E190:X190)</f>
        <v>135000000</v>
      </c>
      <c r="E190" s="75">
        <v>0</v>
      </c>
      <c r="F190" s="75">
        <v>0</v>
      </c>
      <c r="G190" s="75">
        <v>0</v>
      </c>
      <c r="H190" s="75">
        <v>0</v>
      </c>
      <c r="I190" s="75">
        <v>0</v>
      </c>
      <c r="J190" s="75">
        <v>0</v>
      </c>
      <c r="K190" s="75">
        <v>0</v>
      </c>
      <c r="L190" s="75">
        <v>0</v>
      </c>
      <c r="M190" s="75">
        <v>0</v>
      </c>
      <c r="N190" s="75">
        <v>0</v>
      </c>
      <c r="O190" s="75">
        <f>180000000-'[4]Costeo SAP'!P33</f>
        <v>135000000</v>
      </c>
      <c r="P190" s="75">
        <v>0</v>
      </c>
      <c r="Q190" s="75">
        <v>0</v>
      </c>
      <c r="R190" s="75">
        <v>0</v>
      </c>
      <c r="S190" s="75">
        <v>0</v>
      </c>
      <c r="T190" s="75">
        <v>0</v>
      </c>
      <c r="U190" s="75">
        <v>0</v>
      </c>
      <c r="V190" s="75">
        <v>0</v>
      </c>
      <c r="W190" s="75">
        <v>0</v>
      </c>
      <c r="X190" s="75">
        <v>0</v>
      </c>
      <c r="Y190" s="75">
        <f>SUM(Z190:AD190)</f>
        <v>0</v>
      </c>
      <c r="Z190" s="75">
        <v>0</v>
      </c>
      <c r="AA190" s="75">
        <v>0</v>
      </c>
      <c r="AB190" s="75">
        <v>0</v>
      </c>
      <c r="AC190" s="75">
        <v>0</v>
      </c>
      <c r="AD190" s="75">
        <v>0</v>
      </c>
      <c r="AE190" s="75">
        <f>SUM(AF190:AI190)</f>
        <v>0</v>
      </c>
      <c r="AF190" s="75">
        <v>0</v>
      </c>
      <c r="AG190" s="75">
        <v>0</v>
      </c>
      <c r="AH190" s="75">
        <v>0</v>
      </c>
      <c r="AI190" s="75">
        <v>0</v>
      </c>
      <c r="AJ190" s="75">
        <f>SUM(AK190:AL190)</f>
        <v>45000000</v>
      </c>
      <c r="AK190" s="75">
        <f>+'[4]Costeo SAP'!P33</f>
        <v>45000000</v>
      </c>
      <c r="AL190" s="75">
        <f>SUM(AM190:AO190)</f>
        <v>0</v>
      </c>
      <c r="AM190" s="75">
        <v>0</v>
      </c>
      <c r="AN190" s="75">
        <v>0</v>
      </c>
      <c r="AO190" s="75">
        <v>0</v>
      </c>
    </row>
    <row r="191" spans="1:44" x14ac:dyDescent="0.25">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row>
    <row r="192" spans="1:44" s="78" customFormat="1" x14ac:dyDescent="0.25">
      <c r="A192" s="77" t="s">
        <v>301</v>
      </c>
      <c r="B192" s="77" t="s">
        <v>302</v>
      </c>
      <c r="C192" s="77">
        <f>SUM(C193+C194)</f>
        <v>864078957</v>
      </c>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f>SUM(AE193:AE194)</f>
        <v>864078957</v>
      </c>
      <c r="AF192" s="77"/>
      <c r="AG192" s="77">
        <f>SUM(AG193:AG194)</f>
        <v>864078957</v>
      </c>
      <c r="AH192" s="77"/>
      <c r="AI192" s="77"/>
      <c r="AJ192" s="77"/>
      <c r="AK192" s="77"/>
      <c r="AL192" s="77"/>
      <c r="AM192" s="77"/>
      <c r="AN192" s="77"/>
      <c r="AO192" s="77"/>
    </row>
    <row r="193" spans="1:44" x14ac:dyDescent="0.25">
      <c r="A193" s="75" t="s">
        <v>303</v>
      </c>
      <c r="B193" s="75" t="s">
        <v>304</v>
      </c>
      <c r="C193" s="75">
        <f>SUM(D193+Y193+AE193+AJ193)</f>
        <v>77961769</v>
      </c>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f>SUM(AF193:AI193)</f>
        <v>77961769</v>
      </c>
      <c r="AF193" s="75"/>
      <c r="AG193" s="75">
        <v>77961769</v>
      </c>
      <c r="AH193" s="75"/>
      <c r="AI193" s="75"/>
      <c r="AJ193" s="75"/>
      <c r="AK193" s="75"/>
      <c r="AL193" s="75"/>
      <c r="AM193" s="75"/>
      <c r="AN193" s="75"/>
      <c r="AO193" s="75"/>
    </row>
    <row r="194" spans="1:44" x14ac:dyDescent="0.25">
      <c r="A194" s="75" t="s">
        <v>305</v>
      </c>
      <c r="B194" s="75" t="s">
        <v>306</v>
      </c>
      <c r="C194" s="75">
        <f>SUM(D194+Y194+AE194+AJ194)</f>
        <v>786117188</v>
      </c>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f>SUM(AF194:AI194)</f>
        <v>786117188</v>
      </c>
      <c r="AF194" s="75"/>
      <c r="AG194" s="75">
        <v>786117188</v>
      </c>
      <c r="AH194" s="75"/>
      <c r="AI194" s="75"/>
      <c r="AJ194" s="75"/>
      <c r="AK194" s="75"/>
      <c r="AL194" s="75"/>
      <c r="AM194" s="75"/>
      <c r="AN194" s="75"/>
      <c r="AO194" s="75"/>
    </row>
    <row r="195" spans="1:44" x14ac:dyDescent="0.25">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row>
    <row r="196" spans="1:44" s="78" customFormat="1" x14ac:dyDescent="0.25">
      <c r="A196" s="86" t="s">
        <v>307</v>
      </c>
      <c r="B196" s="82" t="s">
        <v>308</v>
      </c>
      <c r="C196" s="77">
        <f t="shared" ref="C196:AO196" si="73">SUM(C197:C200)</f>
        <v>964813063</v>
      </c>
      <c r="D196" s="77">
        <f t="shared" si="73"/>
        <v>293313709</v>
      </c>
      <c r="E196" s="77">
        <f t="shared" si="73"/>
        <v>0</v>
      </c>
      <c r="F196" s="77">
        <f t="shared" si="73"/>
        <v>3608479</v>
      </c>
      <c r="G196" s="77">
        <f t="shared" si="73"/>
        <v>0</v>
      </c>
      <c r="H196" s="77">
        <f t="shared" si="73"/>
        <v>0</v>
      </c>
      <c r="I196" s="77">
        <f t="shared" si="73"/>
        <v>119705230</v>
      </c>
      <c r="J196" s="77">
        <f t="shared" si="73"/>
        <v>0</v>
      </c>
      <c r="K196" s="77">
        <f t="shared" si="73"/>
        <v>0</v>
      </c>
      <c r="L196" s="77">
        <f t="shared" si="73"/>
        <v>0</v>
      </c>
      <c r="M196" s="77">
        <f t="shared" si="73"/>
        <v>0</v>
      </c>
      <c r="N196" s="77">
        <f t="shared" si="73"/>
        <v>0</v>
      </c>
      <c r="O196" s="77">
        <f t="shared" si="73"/>
        <v>0</v>
      </c>
      <c r="P196" s="77">
        <f t="shared" si="73"/>
        <v>20000000</v>
      </c>
      <c r="Q196" s="77">
        <f t="shared" si="73"/>
        <v>0</v>
      </c>
      <c r="R196" s="77">
        <f t="shared" si="73"/>
        <v>0</v>
      </c>
      <c r="S196" s="77">
        <f t="shared" si="73"/>
        <v>150000000</v>
      </c>
      <c r="T196" s="77">
        <f t="shared" si="73"/>
        <v>0</v>
      </c>
      <c r="U196" s="77">
        <f t="shared" si="73"/>
        <v>0</v>
      </c>
      <c r="V196" s="77">
        <f t="shared" si="73"/>
        <v>0</v>
      </c>
      <c r="W196" s="77">
        <f t="shared" si="73"/>
        <v>0</v>
      </c>
      <c r="X196" s="77">
        <f t="shared" si="73"/>
        <v>0</v>
      </c>
      <c r="Y196" s="77">
        <f t="shared" si="73"/>
        <v>21179680</v>
      </c>
      <c r="Z196" s="77">
        <f t="shared" si="73"/>
        <v>1000000</v>
      </c>
      <c r="AA196" s="77">
        <f t="shared" si="73"/>
        <v>189840</v>
      </c>
      <c r="AB196" s="77">
        <f t="shared" si="73"/>
        <v>12800000</v>
      </c>
      <c r="AC196" s="77">
        <f t="shared" si="73"/>
        <v>5189840</v>
      </c>
      <c r="AD196" s="77">
        <f t="shared" si="73"/>
        <v>2000000</v>
      </c>
      <c r="AE196" s="77">
        <f t="shared" si="73"/>
        <v>0</v>
      </c>
      <c r="AF196" s="77">
        <f t="shared" si="73"/>
        <v>0</v>
      </c>
      <c r="AG196" s="77">
        <f t="shared" si="73"/>
        <v>0</v>
      </c>
      <c r="AH196" s="77">
        <f t="shared" si="73"/>
        <v>0</v>
      </c>
      <c r="AI196" s="77">
        <f t="shared" si="73"/>
        <v>0</v>
      </c>
      <c r="AJ196" s="77">
        <f t="shared" si="73"/>
        <v>650319674</v>
      </c>
      <c r="AK196" s="77">
        <f t="shared" si="73"/>
        <v>650319674</v>
      </c>
      <c r="AL196" s="77">
        <f t="shared" si="73"/>
        <v>0</v>
      </c>
      <c r="AM196" s="77">
        <f t="shared" si="73"/>
        <v>0</v>
      </c>
      <c r="AN196" s="77">
        <f t="shared" si="73"/>
        <v>0</v>
      </c>
      <c r="AO196" s="77">
        <f t="shared" si="73"/>
        <v>0</v>
      </c>
      <c r="AQ196" s="64"/>
      <c r="AR196" s="64"/>
    </row>
    <row r="197" spans="1:44" x14ac:dyDescent="0.25">
      <c r="A197" s="75" t="s">
        <v>309</v>
      </c>
      <c r="B197" s="75" t="s">
        <v>310</v>
      </c>
      <c r="C197" s="75">
        <f>SUM(D197+Y197+AE197+AJ197)</f>
        <v>468000000</v>
      </c>
      <c r="D197" s="75">
        <f>SUM(E197:X197)</f>
        <v>174780000</v>
      </c>
      <c r="E197" s="75">
        <v>0</v>
      </c>
      <c r="F197" s="75">
        <v>0</v>
      </c>
      <c r="G197" s="75">
        <v>0</v>
      </c>
      <c r="H197" s="75">
        <v>0</v>
      </c>
      <c r="I197" s="75">
        <f>118000000-93220000</f>
        <v>24780000</v>
      </c>
      <c r="J197" s="75">
        <v>0</v>
      </c>
      <c r="K197" s="75">
        <v>0</v>
      </c>
      <c r="L197" s="75">
        <v>0</v>
      </c>
      <c r="M197" s="75">
        <v>0</v>
      </c>
      <c r="N197" s="75">
        <v>0</v>
      </c>
      <c r="O197" s="75">
        <v>0</v>
      </c>
      <c r="P197" s="75">
        <v>0</v>
      </c>
      <c r="Q197" s="75">
        <v>0</v>
      </c>
      <c r="R197" s="75">
        <v>0</v>
      </c>
      <c r="S197" s="75">
        <v>150000000</v>
      </c>
      <c r="T197" s="75">
        <v>0</v>
      </c>
      <c r="U197" s="75">
        <v>0</v>
      </c>
      <c r="V197" s="75">
        <v>0</v>
      </c>
      <c r="W197" s="75">
        <v>0</v>
      </c>
      <c r="X197" s="75">
        <v>0</v>
      </c>
      <c r="Y197" s="75">
        <f>SUM(Z197:AD197)</f>
        <v>0</v>
      </c>
      <c r="Z197" s="75">
        <v>0</v>
      </c>
      <c r="AA197" s="75">
        <v>0</v>
      </c>
      <c r="AB197" s="75">
        <v>0</v>
      </c>
      <c r="AC197" s="75">
        <v>0</v>
      </c>
      <c r="AD197" s="75">
        <v>0</v>
      </c>
      <c r="AE197" s="75">
        <f>SUM(AF197:AI197)</f>
        <v>0</v>
      </c>
      <c r="AF197" s="75">
        <v>0</v>
      </c>
      <c r="AG197" s="75">
        <v>0</v>
      </c>
      <c r="AH197" s="75">
        <v>0</v>
      </c>
      <c r="AI197" s="75">
        <v>0</v>
      </c>
      <c r="AJ197" s="75">
        <f>SUM(AK197:AL197)</f>
        <v>293220000</v>
      </c>
      <c r="AK197" s="75">
        <f>200000000+93220000</f>
        <v>293220000</v>
      </c>
      <c r="AL197" s="75">
        <f>SUM(AM197:AO197)</f>
        <v>0</v>
      </c>
      <c r="AM197" s="75">
        <v>0</v>
      </c>
      <c r="AN197" s="75">
        <v>0</v>
      </c>
      <c r="AO197" s="75">
        <v>0</v>
      </c>
    </row>
    <row r="198" spans="1:44" x14ac:dyDescent="0.25">
      <c r="A198" s="75" t="s">
        <v>311</v>
      </c>
      <c r="B198" s="75" t="s">
        <v>312</v>
      </c>
      <c r="C198" s="75">
        <f>SUM(D198+Y198+AE198+AJ198)</f>
        <v>212903803</v>
      </c>
      <c r="D198" s="75">
        <f>SUM(E198:X198)</f>
        <v>58912764</v>
      </c>
      <c r="E198" s="75">
        <v>0</v>
      </c>
      <c r="F198" s="75">
        <v>3608479</v>
      </c>
      <c r="G198" s="75">
        <v>0</v>
      </c>
      <c r="H198" s="75">
        <v>0</v>
      </c>
      <c r="I198" s="75">
        <f>(172000000-3884356)-132811359</f>
        <v>35304285</v>
      </c>
      <c r="J198" s="75">
        <v>0</v>
      </c>
      <c r="K198" s="75">
        <v>0</v>
      </c>
      <c r="L198" s="75">
        <v>0</v>
      </c>
      <c r="M198" s="75">
        <v>0</v>
      </c>
      <c r="N198" s="75">
        <v>0</v>
      </c>
      <c r="O198" s="75">
        <v>0</v>
      </c>
      <c r="P198" s="75">
        <v>20000000</v>
      </c>
      <c r="Q198" s="75">
        <v>0</v>
      </c>
      <c r="R198" s="75">
        <v>0</v>
      </c>
      <c r="S198" s="75">
        <v>0</v>
      </c>
      <c r="T198" s="75">
        <v>0</v>
      </c>
      <c r="U198" s="75">
        <v>0</v>
      </c>
      <c r="V198" s="75">
        <v>0</v>
      </c>
      <c r="W198" s="75">
        <v>0</v>
      </c>
      <c r="X198" s="75">
        <v>0</v>
      </c>
      <c r="Y198" s="75">
        <f>SUM(Z198:AD198)</f>
        <v>21179680</v>
      </c>
      <c r="Z198" s="75">
        <v>1000000</v>
      </c>
      <c r="AA198" s="75">
        <v>189840</v>
      </c>
      <c r="AB198" s="75">
        <v>12800000</v>
      </c>
      <c r="AC198" s="75">
        <f>5000000+189840</f>
        <v>5189840</v>
      </c>
      <c r="AD198" s="75">
        <f>2000000</f>
        <v>2000000</v>
      </c>
      <c r="AE198" s="75">
        <f>SUM(AF198:AI198)</f>
        <v>0</v>
      </c>
      <c r="AF198" s="75">
        <v>0</v>
      </c>
      <c r="AG198" s="75">
        <v>0</v>
      </c>
      <c r="AH198" s="75">
        <v>0</v>
      </c>
      <c r="AI198" s="75">
        <v>0</v>
      </c>
      <c r="AJ198" s="75">
        <f>SUM(AK198:AL198)</f>
        <v>132811359</v>
      </c>
      <c r="AK198" s="75">
        <v>132811359</v>
      </c>
      <c r="AL198" s="75">
        <f>SUM(AM198:AO198)</f>
        <v>0</v>
      </c>
      <c r="AM198" s="75">
        <v>0</v>
      </c>
      <c r="AN198" s="75">
        <v>0</v>
      </c>
      <c r="AO198" s="75">
        <v>0</v>
      </c>
    </row>
    <row r="199" spans="1:44" x14ac:dyDescent="0.25">
      <c r="A199" s="75" t="s">
        <v>313</v>
      </c>
      <c r="B199" s="75" t="s">
        <v>314</v>
      </c>
      <c r="C199" s="75">
        <f>SUM(D199+Y199+AE199+AJ199)</f>
        <v>202116260</v>
      </c>
      <c r="D199" s="75">
        <f>SUM(E199:X199)</f>
        <v>42444415</v>
      </c>
      <c r="E199" s="75">
        <v>0</v>
      </c>
      <c r="F199" s="75">
        <v>0</v>
      </c>
      <c r="G199" s="75">
        <v>0</v>
      </c>
      <c r="H199" s="75">
        <v>0</v>
      </c>
      <c r="I199" s="75">
        <f>202116260-159671845</f>
        <v>42444415</v>
      </c>
      <c r="J199" s="75">
        <v>0</v>
      </c>
      <c r="K199" s="75">
        <v>0</v>
      </c>
      <c r="L199" s="75">
        <v>0</v>
      </c>
      <c r="M199" s="75">
        <v>0</v>
      </c>
      <c r="N199" s="75">
        <v>0</v>
      </c>
      <c r="O199" s="75">
        <v>0</v>
      </c>
      <c r="P199" s="75">
        <v>0</v>
      </c>
      <c r="Q199" s="75">
        <v>0</v>
      </c>
      <c r="R199" s="75">
        <v>0</v>
      </c>
      <c r="S199" s="75">
        <v>0</v>
      </c>
      <c r="T199" s="75">
        <v>0</v>
      </c>
      <c r="U199" s="75">
        <v>0</v>
      </c>
      <c r="V199" s="75">
        <v>0</v>
      </c>
      <c r="W199" s="75">
        <v>0</v>
      </c>
      <c r="X199" s="75">
        <v>0</v>
      </c>
      <c r="Y199" s="75">
        <f>SUM(Z199:AD199)</f>
        <v>0</v>
      </c>
      <c r="Z199" s="75">
        <v>0</v>
      </c>
      <c r="AA199" s="75">
        <v>0</v>
      </c>
      <c r="AB199" s="75">
        <v>0</v>
      </c>
      <c r="AC199" s="75">
        <v>0</v>
      </c>
      <c r="AD199" s="75">
        <v>0</v>
      </c>
      <c r="AE199" s="75">
        <f>SUM(AF199:AI199)</f>
        <v>0</v>
      </c>
      <c r="AF199" s="75">
        <v>0</v>
      </c>
      <c r="AG199" s="75">
        <v>0</v>
      </c>
      <c r="AH199" s="75">
        <v>0</v>
      </c>
      <c r="AI199" s="75">
        <v>0</v>
      </c>
      <c r="AJ199" s="75">
        <f>SUM(AK199:AL199)</f>
        <v>159671845</v>
      </c>
      <c r="AK199" s="75">
        <v>159671845</v>
      </c>
      <c r="AL199" s="75">
        <f>SUM(AM199:AO199)</f>
        <v>0</v>
      </c>
      <c r="AM199" s="75">
        <v>0</v>
      </c>
      <c r="AN199" s="75">
        <v>0</v>
      </c>
      <c r="AO199" s="75">
        <v>0</v>
      </c>
    </row>
    <row r="200" spans="1:44" x14ac:dyDescent="0.25">
      <c r="A200" s="75" t="s">
        <v>315</v>
      </c>
      <c r="B200" s="75" t="s">
        <v>316</v>
      </c>
      <c r="C200" s="75">
        <f>SUM(D200+Y200+AE200+AJ200)</f>
        <v>81793000</v>
      </c>
      <c r="D200" s="75">
        <f>SUM(E200:X200)</f>
        <v>17176530</v>
      </c>
      <c r="E200" s="75">
        <v>0</v>
      </c>
      <c r="F200" s="75">
        <v>0</v>
      </c>
      <c r="G200" s="75">
        <v>0</v>
      </c>
      <c r="H200" s="75">
        <v>0</v>
      </c>
      <c r="I200" s="75">
        <f>81793000-64616470</f>
        <v>17176530</v>
      </c>
      <c r="J200" s="75">
        <v>0</v>
      </c>
      <c r="K200" s="75">
        <v>0</v>
      </c>
      <c r="L200" s="75">
        <v>0</v>
      </c>
      <c r="M200" s="75">
        <v>0</v>
      </c>
      <c r="N200" s="75">
        <v>0</v>
      </c>
      <c r="O200" s="75">
        <v>0</v>
      </c>
      <c r="P200" s="75">
        <v>0</v>
      </c>
      <c r="Q200" s="75">
        <v>0</v>
      </c>
      <c r="R200" s="75">
        <v>0</v>
      </c>
      <c r="S200" s="75">
        <v>0</v>
      </c>
      <c r="T200" s="75">
        <v>0</v>
      </c>
      <c r="U200" s="75">
        <v>0</v>
      </c>
      <c r="V200" s="75">
        <v>0</v>
      </c>
      <c r="W200" s="75">
        <v>0</v>
      </c>
      <c r="X200" s="75">
        <v>0</v>
      </c>
      <c r="Y200" s="75">
        <f>SUM(Z200:AD200)</f>
        <v>0</v>
      </c>
      <c r="Z200" s="75">
        <v>0</v>
      </c>
      <c r="AA200" s="75">
        <v>0</v>
      </c>
      <c r="AB200" s="75">
        <v>0</v>
      </c>
      <c r="AC200" s="75">
        <v>0</v>
      </c>
      <c r="AD200" s="75">
        <v>0</v>
      </c>
      <c r="AE200" s="75">
        <f>SUM(AF200:AI200)</f>
        <v>0</v>
      </c>
      <c r="AF200" s="75">
        <v>0</v>
      </c>
      <c r="AG200" s="75">
        <v>0</v>
      </c>
      <c r="AH200" s="75">
        <v>0</v>
      </c>
      <c r="AI200" s="75">
        <v>0</v>
      </c>
      <c r="AJ200" s="75">
        <f>SUM(AK200:AL200)</f>
        <v>64616470</v>
      </c>
      <c r="AK200" s="75">
        <v>64616470</v>
      </c>
      <c r="AL200" s="75">
        <f>SUM(AM200:AO200)</f>
        <v>0</v>
      </c>
      <c r="AM200" s="75">
        <v>0</v>
      </c>
      <c r="AN200" s="75">
        <v>0</v>
      </c>
      <c r="AO200" s="75">
        <v>0</v>
      </c>
    </row>
    <row r="201" spans="1:44" x14ac:dyDescent="0.25">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row>
    <row r="202" spans="1:44" s="78" customFormat="1" x14ac:dyDescent="0.25">
      <c r="A202" s="76">
        <v>6</v>
      </c>
      <c r="B202" s="76" t="s">
        <v>317</v>
      </c>
      <c r="C202" s="77">
        <f>+C204+C207+C211+C215+C219</f>
        <v>771505742</v>
      </c>
      <c r="D202" s="77">
        <f t="shared" ref="D202:AO202" si="74">+D204+D207+D211+D215+D219</f>
        <v>269759729</v>
      </c>
      <c r="E202" s="77">
        <f t="shared" si="74"/>
        <v>0</v>
      </c>
      <c r="F202" s="77">
        <f t="shared" si="74"/>
        <v>2000000</v>
      </c>
      <c r="G202" s="77">
        <f t="shared" si="74"/>
        <v>1500000</v>
      </c>
      <c r="H202" s="77">
        <f t="shared" si="74"/>
        <v>5125000</v>
      </c>
      <c r="I202" s="77">
        <f t="shared" si="74"/>
        <v>3000000</v>
      </c>
      <c r="J202" s="77">
        <f t="shared" si="74"/>
        <v>500000</v>
      </c>
      <c r="K202" s="77">
        <f t="shared" si="74"/>
        <v>600000</v>
      </c>
      <c r="L202" s="77">
        <f t="shared" si="74"/>
        <v>1500000</v>
      </c>
      <c r="M202" s="77">
        <f t="shared" si="74"/>
        <v>102500000</v>
      </c>
      <c r="N202" s="77">
        <f t="shared" si="74"/>
        <v>40700000</v>
      </c>
      <c r="O202" s="77">
        <f t="shared" si="74"/>
        <v>2000000</v>
      </c>
      <c r="P202" s="77">
        <f t="shared" si="74"/>
        <v>76084729</v>
      </c>
      <c r="Q202" s="77">
        <f t="shared" si="74"/>
        <v>500000</v>
      </c>
      <c r="R202" s="77">
        <f t="shared" si="74"/>
        <v>1000000</v>
      </c>
      <c r="S202" s="77">
        <f t="shared" si="74"/>
        <v>1000000</v>
      </c>
      <c r="T202" s="77">
        <f t="shared" si="74"/>
        <v>27250000</v>
      </c>
      <c r="U202" s="77">
        <f t="shared" si="74"/>
        <v>1500000</v>
      </c>
      <c r="V202" s="77">
        <f t="shared" si="74"/>
        <v>1000000</v>
      </c>
      <c r="W202" s="77">
        <f t="shared" si="74"/>
        <v>1000000</v>
      </c>
      <c r="X202" s="77">
        <f t="shared" si="74"/>
        <v>1000000</v>
      </c>
      <c r="Y202" s="77">
        <f t="shared" si="74"/>
        <v>8500000</v>
      </c>
      <c r="Z202" s="77">
        <f t="shared" si="74"/>
        <v>1000000</v>
      </c>
      <c r="AA202" s="77">
        <f t="shared" si="74"/>
        <v>1500000</v>
      </c>
      <c r="AB202" s="77">
        <f t="shared" si="74"/>
        <v>2500000</v>
      </c>
      <c r="AC202" s="77">
        <f t="shared" si="74"/>
        <v>2500000</v>
      </c>
      <c r="AD202" s="77">
        <f t="shared" si="74"/>
        <v>1000000</v>
      </c>
      <c r="AE202" s="77">
        <f t="shared" si="74"/>
        <v>6500000</v>
      </c>
      <c r="AF202" s="77">
        <f t="shared" si="74"/>
        <v>1000000</v>
      </c>
      <c r="AG202" s="77">
        <f t="shared" si="74"/>
        <v>2000000</v>
      </c>
      <c r="AH202" s="77">
        <f t="shared" si="74"/>
        <v>1000000</v>
      </c>
      <c r="AI202" s="77">
        <f t="shared" si="74"/>
        <v>2500000</v>
      </c>
      <c r="AJ202" s="77">
        <f t="shared" si="74"/>
        <v>486746013</v>
      </c>
      <c r="AK202" s="77">
        <f t="shared" si="74"/>
        <v>482146013</v>
      </c>
      <c r="AL202" s="77">
        <f t="shared" si="74"/>
        <v>4600000</v>
      </c>
      <c r="AM202" s="77">
        <f t="shared" si="74"/>
        <v>600000</v>
      </c>
      <c r="AN202" s="77">
        <f t="shared" si="74"/>
        <v>1500000</v>
      </c>
      <c r="AO202" s="77">
        <f t="shared" si="74"/>
        <v>2500000</v>
      </c>
      <c r="AQ202" s="64"/>
      <c r="AR202" s="64"/>
    </row>
    <row r="203" spans="1:44" s="78" customFormat="1" x14ac:dyDescent="0.25">
      <c r="A203" s="76"/>
      <c r="B203" s="76"/>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Q203" s="64"/>
      <c r="AR203" s="64"/>
    </row>
    <row r="204" spans="1:44" s="78" customFormat="1" ht="26.4" x14ac:dyDescent="0.25">
      <c r="A204" s="86" t="s">
        <v>318</v>
      </c>
      <c r="B204" s="82" t="s">
        <v>319</v>
      </c>
      <c r="C204" s="77">
        <f>SUM(C205)</f>
        <v>40000000</v>
      </c>
      <c r="D204" s="77">
        <f t="shared" ref="D204:AO204" si="75">SUM(D205)</f>
        <v>40000000</v>
      </c>
      <c r="E204" s="77">
        <f t="shared" si="75"/>
        <v>0</v>
      </c>
      <c r="F204" s="77">
        <f t="shared" si="75"/>
        <v>0</v>
      </c>
      <c r="G204" s="77">
        <f t="shared" si="75"/>
        <v>0</v>
      </c>
      <c r="H204" s="77">
        <f t="shared" si="75"/>
        <v>0</v>
      </c>
      <c r="I204" s="77">
        <f t="shared" si="75"/>
        <v>0</v>
      </c>
      <c r="J204" s="77">
        <f t="shared" si="75"/>
        <v>0</v>
      </c>
      <c r="K204" s="77">
        <f t="shared" si="75"/>
        <v>0</v>
      </c>
      <c r="L204" s="77">
        <f t="shared" si="75"/>
        <v>0</v>
      </c>
      <c r="M204" s="77">
        <f t="shared" si="75"/>
        <v>0</v>
      </c>
      <c r="N204" s="77">
        <f t="shared" si="75"/>
        <v>40000000</v>
      </c>
      <c r="O204" s="77">
        <f t="shared" si="75"/>
        <v>0</v>
      </c>
      <c r="P204" s="77">
        <f t="shared" si="75"/>
        <v>0</v>
      </c>
      <c r="Q204" s="77">
        <f t="shared" si="75"/>
        <v>0</v>
      </c>
      <c r="R204" s="77">
        <f t="shared" si="75"/>
        <v>0</v>
      </c>
      <c r="S204" s="77">
        <f t="shared" si="75"/>
        <v>0</v>
      </c>
      <c r="T204" s="77">
        <f t="shared" si="75"/>
        <v>0</v>
      </c>
      <c r="U204" s="77">
        <f t="shared" si="75"/>
        <v>0</v>
      </c>
      <c r="V204" s="77">
        <f t="shared" si="75"/>
        <v>0</v>
      </c>
      <c r="W204" s="77">
        <f t="shared" si="75"/>
        <v>0</v>
      </c>
      <c r="X204" s="77">
        <f t="shared" si="75"/>
        <v>0</v>
      </c>
      <c r="Y204" s="77">
        <f t="shared" si="75"/>
        <v>0</v>
      </c>
      <c r="Z204" s="77">
        <f t="shared" si="75"/>
        <v>0</v>
      </c>
      <c r="AA204" s="77">
        <f t="shared" si="75"/>
        <v>0</v>
      </c>
      <c r="AB204" s="77">
        <f t="shared" si="75"/>
        <v>0</v>
      </c>
      <c r="AC204" s="77">
        <f t="shared" si="75"/>
        <v>0</v>
      </c>
      <c r="AD204" s="77">
        <f t="shared" si="75"/>
        <v>0</v>
      </c>
      <c r="AE204" s="77">
        <f t="shared" si="75"/>
        <v>0</v>
      </c>
      <c r="AF204" s="77">
        <f t="shared" si="75"/>
        <v>0</v>
      </c>
      <c r="AG204" s="77">
        <f t="shared" si="75"/>
        <v>0</v>
      </c>
      <c r="AH204" s="77">
        <f t="shared" si="75"/>
        <v>0</v>
      </c>
      <c r="AI204" s="77">
        <f t="shared" si="75"/>
        <v>0</v>
      </c>
      <c r="AJ204" s="77">
        <f t="shared" si="75"/>
        <v>0</v>
      </c>
      <c r="AK204" s="77">
        <f t="shared" si="75"/>
        <v>0</v>
      </c>
      <c r="AL204" s="77">
        <f t="shared" si="75"/>
        <v>0</v>
      </c>
      <c r="AM204" s="77">
        <f t="shared" si="75"/>
        <v>0</v>
      </c>
      <c r="AN204" s="77">
        <f t="shared" si="75"/>
        <v>0</v>
      </c>
      <c r="AO204" s="77">
        <f t="shared" si="75"/>
        <v>0</v>
      </c>
      <c r="AQ204" s="64"/>
      <c r="AR204" s="64"/>
    </row>
    <row r="205" spans="1:44" x14ac:dyDescent="0.25">
      <c r="A205" s="75" t="s">
        <v>320</v>
      </c>
      <c r="B205" s="75" t="s">
        <v>321</v>
      </c>
      <c r="C205" s="75">
        <f>SUM(D205+Y205+AE205+AJ205)</f>
        <v>40000000</v>
      </c>
      <c r="D205" s="75">
        <f>SUM(E205:X205)</f>
        <v>40000000</v>
      </c>
      <c r="E205" s="75">
        <v>0</v>
      </c>
      <c r="F205" s="75">
        <v>0</v>
      </c>
      <c r="G205" s="75">
        <v>0</v>
      </c>
      <c r="H205" s="75">
        <v>0</v>
      </c>
      <c r="I205" s="75">
        <v>0</v>
      </c>
      <c r="J205" s="75">
        <v>0</v>
      </c>
      <c r="K205" s="75">
        <v>0</v>
      </c>
      <c r="L205" s="75">
        <v>0</v>
      </c>
      <c r="M205" s="75">
        <v>0</v>
      </c>
      <c r="N205" s="75">
        <v>40000000</v>
      </c>
      <c r="O205" s="75">
        <v>0</v>
      </c>
      <c r="P205" s="75">
        <v>0</v>
      </c>
      <c r="Q205" s="75">
        <v>0</v>
      </c>
      <c r="R205" s="75">
        <v>0</v>
      </c>
      <c r="S205" s="75">
        <v>0</v>
      </c>
      <c r="T205" s="75">
        <v>0</v>
      </c>
      <c r="U205" s="75">
        <v>0</v>
      </c>
      <c r="V205" s="75">
        <v>0</v>
      </c>
      <c r="W205" s="75">
        <v>0</v>
      </c>
      <c r="X205" s="75">
        <v>0</v>
      </c>
      <c r="Y205" s="75">
        <f>SUM(Z205:AD205)</f>
        <v>0</v>
      </c>
      <c r="Z205" s="75">
        <v>0</v>
      </c>
      <c r="AA205" s="75">
        <v>0</v>
      </c>
      <c r="AB205" s="75">
        <v>0</v>
      </c>
      <c r="AC205" s="75">
        <v>0</v>
      </c>
      <c r="AD205" s="75">
        <v>0</v>
      </c>
      <c r="AE205" s="75">
        <f>SUM(AF205:AI205)</f>
        <v>0</v>
      </c>
      <c r="AF205" s="75">
        <v>0</v>
      </c>
      <c r="AG205" s="75">
        <v>0</v>
      </c>
      <c r="AH205" s="75">
        <v>0</v>
      </c>
      <c r="AI205" s="75">
        <v>0</v>
      </c>
      <c r="AJ205" s="75">
        <f>SUM(AK205:AL205)</f>
        <v>0</v>
      </c>
      <c r="AK205" s="75">
        <v>0</v>
      </c>
      <c r="AL205" s="75">
        <f>SUM(AM205:AO205)</f>
        <v>0</v>
      </c>
      <c r="AM205" s="75">
        <v>0</v>
      </c>
      <c r="AN205" s="75">
        <v>0</v>
      </c>
      <c r="AO205" s="75">
        <v>0</v>
      </c>
    </row>
    <row r="206" spans="1:44" x14ac:dyDescent="0.25">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row>
    <row r="207" spans="1:44" s="78" customFormat="1" x14ac:dyDescent="0.25">
      <c r="A207" s="86" t="s">
        <v>322</v>
      </c>
      <c r="B207" s="82" t="s">
        <v>323</v>
      </c>
      <c r="C207" s="77">
        <f>SUM(C208:C209)</f>
        <v>13500000</v>
      </c>
      <c r="D207" s="77">
        <f t="shared" ref="D207:AO207" si="76">SUM(D208:D209)</f>
        <v>12125000</v>
      </c>
      <c r="E207" s="77">
        <f t="shared" si="76"/>
        <v>0</v>
      </c>
      <c r="F207" s="77">
        <f t="shared" si="76"/>
        <v>0</v>
      </c>
      <c r="G207" s="77">
        <f t="shared" si="76"/>
        <v>0</v>
      </c>
      <c r="H207" s="77">
        <f t="shared" si="76"/>
        <v>4125000</v>
      </c>
      <c r="I207" s="77">
        <f t="shared" si="76"/>
        <v>0</v>
      </c>
      <c r="J207" s="77">
        <f t="shared" si="76"/>
        <v>0</v>
      </c>
      <c r="K207" s="77">
        <f t="shared" si="76"/>
        <v>0</v>
      </c>
      <c r="L207" s="77">
        <f t="shared" si="76"/>
        <v>0</v>
      </c>
      <c r="M207" s="77">
        <f t="shared" si="76"/>
        <v>0</v>
      </c>
      <c r="N207" s="77">
        <f t="shared" si="76"/>
        <v>0</v>
      </c>
      <c r="O207" s="77">
        <f t="shared" si="76"/>
        <v>0</v>
      </c>
      <c r="P207" s="77">
        <f t="shared" si="76"/>
        <v>8000000</v>
      </c>
      <c r="Q207" s="77">
        <f t="shared" si="76"/>
        <v>0</v>
      </c>
      <c r="R207" s="77">
        <f t="shared" si="76"/>
        <v>0</v>
      </c>
      <c r="S207" s="77">
        <f t="shared" si="76"/>
        <v>0</v>
      </c>
      <c r="T207" s="77">
        <f t="shared" si="76"/>
        <v>0</v>
      </c>
      <c r="U207" s="77">
        <f t="shared" si="76"/>
        <v>0</v>
      </c>
      <c r="V207" s="77">
        <f t="shared" si="76"/>
        <v>0</v>
      </c>
      <c r="W207" s="77">
        <f t="shared" si="76"/>
        <v>0</v>
      </c>
      <c r="X207" s="77">
        <f t="shared" si="76"/>
        <v>0</v>
      </c>
      <c r="Y207" s="77">
        <f t="shared" si="76"/>
        <v>0</v>
      </c>
      <c r="Z207" s="77">
        <f t="shared" si="76"/>
        <v>0</v>
      </c>
      <c r="AA207" s="77">
        <f t="shared" si="76"/>
        <v>0</v>
      </c>
      <c r="AB207" s="77">
        <f t="shared" si="76"/>
        <v>0</v>
      </c>
      <c r="AC207" s="77">
        <f t="shared" si="76"/>
        <v>0</v>
      </c>
      <c r="AD207" s="77">
        <f t="shared" si="76"/>
        <v>0</v>
      </c>
      <c r="AE207" s="77">
        <f t="shared" si="76"/>
        <v>0</v>
      </c>
      <c r="AF207" s="77">
        <f t="shared" si="76"/>
        <v>0</v>
      </c>
      <c r="AG207" s="77">
        <f t="shared" si="76"/>
        <v>0</v>
      </c>
      <c r="AH207" s="77">
        <f t="shared" si="76"/>
        <v>0</v>
      </c>
      <c r="AI207" s="77">
        <f t="shared" si="76"/>
        <v>0</v>
      </c>
      <c r="AJ207" s="77">
        <f t="shared" si="76"/>
        <v>1375000</v>
      </c>
      <c r="AK207" s="77">
        <f t="shared" si="76"/>
        <v>1375000</v>
      </c>
      <c r="AL207" s="77">
        <f t="shared" si="76"/>
        <v>0</v>
      </c>
      <c r="AM207" s="77">
        <f t="shared" si="76"/>
        <v>0</v>
      </c>
      <c r="AN207" s="77">
        <f t="shared" si="76"/>
        <v>0</v>
      </c>
      <c r="AO207" s="77">
        <f t="shared" si="76"/>
        <v>0</v>
      </c>
      <c r="AQ207" s="64"/>
      <c r="AR207" s="64"/>
    </row>
    <row r="208" spans="1:44" x14ac:dyDescent="0.25">
      <c r="A208" s="75" t="s">
        <v>324</v>
      </c>
      <c r="B208" s="81" t="s">
        <v>325</v>
      </c>
      <c r="C208" s="75">
        <f>SUM(D208+Y208+AE208+AJ208)</f>
        <v>8000000</v>
      </c>
      <c r="D208" s="75">
        <f>SUM(E208:X208)</f>
        <v>8000000</v>
      </c>
      <c r="E208" s="75">
        <v>0</v>
      </c>
      <c r="F208" s="75">
        <v>0</v>
      </c>
      <c r="G208" s="75">
        <v>0</v>
      </c>
      <c r="H208" s="75">
        <v>0</v>
      </c>
      <c r="I208" s="75">
        <v>0</v>
      </c>
      <c r="J208" s="75">
        <v>0</v>
      </c>
      <c r="K208" s="75">
        <v>0</v>
      </c>
      <c r="L208" s="75">
        <v>0</v>
      </c>
      <c r="M208" s="75">
        <v>0</v>
      </c>
      <c r="N208" s="75">
        <v>0</v>
      </c>
      <c r="O208" s="75">
        <v>0</v>
      </c>
      <c r="P208" s="75">
        <v>8000000</v>
      </c>
      <c r="Q208" s="75">
        <v>0</v>
      </c>
      <c r="R208" s="75">
        <v>0</v>
      </c>
      <c r="S208" s="75">
        <v>0</v>
      </c>
      <c r="T208" s="75">
        <v>0</v>
      </c>
      <c r="U208" s="75">
        <v>0</v>
      </c>
      <c r="V208" s="75">
        <v>0</v>
      </c>
      <c r="W208" s="75">
        <v>0</v>
      </c>
      <c r="X208" s="75">
        <v>0</v>
      </c>
      <c r="Y208" s="75">
        <f>SUM(Z208:AD208)</f>
        <v>0</v>
      </c>
      <c r="Z208" s="75">
        <v>0</v>
      </c>
      <c r="AA208" s="75">
        <v>0</v>
      </c>
      <c r="AB208" s="75">
        <v>0</v>
      </c>
      <c r="AC208" s="75">
        <v>0</v>
      </c>
      <c r="AD208" s="75">
        <v>0</v>
      </c>
      <c r="AE208" s="75">
        <f>SUM(AF208:AI208)</f>
        <v>0</v>
      </c>
      <c r="AF208" s="75">
        <v>0</v>
      </c>
      <c r="AG208" s="75">
        <v>0</v>
      </c>
      <c r="AH208" s="75">
        <v>0</v>
      </c>
      <c r="AI208" s="75">
        <v>0</v>
      </c>
      <c r="AJ208" s="75">
        <f>SUM(AK208:AL208)</f>
        <v>0</v>
      </c>
      <c r="AK208" s="75">
        <v>0</v>
      </c>
      <c r="AL208" s="75">
        <f>SUM(AM208:AO208)</f>
        <v>0</v>
      </c>
      <c r="AM208" s="75">
        <v>0</v>
      </c>
      <c r="AN208" s="75">
        <v>0</v>
      </c>
      <c r="AO208" s="75">
        <v>0</v>
      </c>
    </row>
    <row r="209" spans="1:44" x14ac:dyDescent="0.25">
      <c r="A209" s="75" t="s">
        <v>326</v>
      </c>
      <c r="B209" s="81" t="s">
        <v>327</v>
      </c>
      <c r="C209" s="75">
        <f>SUM(D209+Y209+AE209+AJ209)</f>
        <v>5500000</v>
      </c>
      <c r="D209" s="75">
        <f>SUM(E209:X209)</f>
        <v>4125000</v>
      </c>
      <c r="E209" s="75">
        <v>0</v>
      </c>
      <c r="F209" s="75">
        <v>0</v>
      </c>
      <c r="G209" s="75">
        <v>0</v>
      </c>
      <c r="H209" s="75">
        <f>5500000-'[4]Costeo SAP'!P39</f>
        <v>4125000</v>
      </c>
      <c r="I209" s="75">
        <v>0</v>
      </c>
      <c r="J209" s="75">
        <v>0</v>
      </c>
      <c r="K209" s="75">
        <v>0</v>
      </c>
      <c r="L209" s="75">
        <v>0</v>
      </c>
      <c r="M209" s="75">
        <v>0</v>
      </c>
      <c r="N209" s="75">
        <v>0</v>
      </c>
      <c r="O209" s="75">
        <v>0</v>
      </c>
      <c r="P209" s="75">
        <v>0</v>
      </c>
      <c r="Q209" s="75">
        <v>0</v>
      </c>
      <c r="R209" s="75">
        <v>0</v>
      </c>
      <c r="S209" s="75">
        <v>0</v>
      </c>
      <c r="T209" s="75">
        <v>0</v>
      </c>
      <c r="U209" s="75">
        <v>0</v>
      </c>
      <c r="V209" s="75">
        <v>0</v>
      </c>
      <c r="W209" s="75">
        <v>0</v>
      </c>
      <c r="X209" s="75">
        <v>0</v>
      </c>
      <c r="Y209" s="75">
        <f>SUM(Z209:AD209)</f>
        <v>0</v>
      </c>
      <c r="Z209" s="75">
        <v>0</v>
      </c>
      <c r="AA209" s="75">
        <v>0</v>
      </c>
      <c r="AB209" s="75">
        <v>0</v>
      </c>
      <c r="AC209" s="75">
        <v>0</v>
      </c>
      <c r="AD209" s="75">
        <v>0</v>
      </c>
      <c r="AE209" s="75">
        <f>SUM(AF209:AI209)</f>
        <v>0</v>
      </c>
      <c r="AF209" s="75">
        <v>0</v>
      </c>
      <c r="AG209" s="75">
        <v>0</v>
      </c>
      <c r="AH209" s="75">
        <v>0</v>
      </c>
      <c r="AI209" s="75">
        <v>0</v>
      </c>
      <c r="AJ209" s="75">
        <f>SUM(AK209:AL209)</f>
        <v>1375000</v>
      </c>
      <c r="AK209" s="75">
        <f>+'[4]Costeo SAP'!P39</f>
        <v>1375000</v>
      </c>
      <c r="AL209" s="75">
        <f>SUM(AM209:AO209)</f>
        <v>0</v>
      </c>
      <c r="AM209" s="75">
        <v>0</v>
      </c>
      <c r="AN209" s="75">
        <v>0</v>
      </c>
      <c r="AO209" s="75">
        <v>0</v>
      </c>
    </row>
    <row r="210" spans="1:44" x14ac:dyDescent="0.25">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row>
    <row r="211" spans="1:44" s="78" customFormat="1" x14ac:dyDescent="0.25">
      <c r="A211" s="86" t="s">
        <v>328</v>
      </c>
      <c r="B211" s="82" t="s">
        <v>329</v>
      </c>
      <c r="C211" s="77">
        <f>SUM(C212:C213)</f>
        <v>127005742</v>
      </c>
      <c r="D211" s="77">
        <f t="shared" ref="D211:AO211" si="77">SUM(D212:D213)</f>
        <v>91384729</v>
      </c>
      <c r="E211" s="77">
        <f t="shared" si="77"/>
        <v>0</v>
      </c>
      <c r="F211" s="77">
        <f t="shared" si="77"/>
        <v>2000000</v>
      </c>
      <c r="G211" s="77">
        <f t="shared" si="77"/>
        <v>1500000</v>
      </c>
      <c r="H211" s="77">
        <f t="shared" si="77"/>
        <v>1000000</v>
      </c>
      <c r="I211" s="77">
        <f t="shared" si="77"/>
        <v>3000000</v>
      </c>
      <c r="J211" s="77">
        <f t="shared" si="77"/>
        <v>500000</v>
      </c>
      <c r="K211" s="77">
        <f t="shared" si="77"/>
        <v>600000</v>
      </c>
      <c r="L211" s="77">
        <f t="shared" si="77"/>
        <v>1500000</v>
      </c>
      <c r="M211" s="77">
        <f t="shared" si="77"/>
        <v>2500000</v>
      </c>
      <c r="N211" s="77">
        <f t="shared" si="77"/>
        <v>700000</v>
      </c>
      <c r="O211" s="77">
        <f t="shared" si="77"/>
        <v>2000000</v>
      </c>
      <c r="P211" s="77">
        <f t="shared" si="77"/>
        <v>68084729</v>
      </c>
      <c r="Q211" s="77">
        <f t="shared" si="77"/>
        <v>500000</v>
      </c>
      <c r="R211" s="77">
        <f t="shared" si="77"/>
        <v>1000000</v>
      </c>
      <c r="S211" s="77">
        <f t="shared" si="77"/>
        <v>1000000</v>
      </c>
      <c r="T211" s="77">
        <f t="shared" si="77"/>
        <v>1000000</v>
      </c>
      <c r="U211" s="77">
        <f t="shared" si="77"/>
        <v>1500000</v>
      </c>
      <c r="V211" s="77">
        <f t="shared" si="77"/>
        <v>1000000</v>
      </c>
      <c r="W211" s="77">
        <f t="shared" si="77"/>
        <v>1000000</v>
      </c>
      <c r="X211" s="77">
        <f t="shared" si="77"/>
        <v>1000000</v>
      </c>
      <c r="Y211" s="77">
        <f t="shared" si="77"/>
        <v>8500000</v>
      </c>
      <c r="Z211" s="77">
        <f t="shared" si="77"/>
        <v>1000000</v>
      </c>
      <c r="AA211" s="77">
        <f t="shared" si="77"/>
        <v>1500000</v>
      </c>
      <c r="AB211" s="77">
        <f t="shared" si="77"/>
        <v>2500000</v>
      </c>
      <c r="AC211" s="77">
        <f t="shared" si="77"/>
        <v>2500000</v>
      </c>
      <c r="AD211" s="77">
        <f t="shared" si="77"/>
        <v>1000000</v>
      </c>
      <c r="AE211" s="77">
        <f t="shared" si="77"/>
        <v>5500000</v>
      </c>
      <c r="AF211" s="77">
        <f t="shared" si="77"/>
        <v>1000000</v>
      </c>
      <c r="AG211" s="77">
        <f t="shared" si="77"/>
        <v>2000000</v>
      </c>
      <c r="AH211" s="77">
        <f t="shared" si="77"/>
        <v>1000000</v>
      </c>
      <c r="AI211" s="77">
        <f t="shared" si="77"/>
        <v>1500000</v>
      </c>
      <c r="AJ211" s="77">
        <f t="shared" si="77"/>
        <v>21621013</v>
      </c>
      <c r="AK211" s="77">
        <f t="shared" si="77"/>
        <v>18021013</v>
      </c>
      <c r="AL211" s="77">
        <f t="shared" si="77"/>
        <v>3600000</v>
      </c>
      <c r="AM211" s="77">
        <f t="shared" si="77"/>
        <v>600000</v>
      </c>
      <c r="AN211" s="77">
        <f t="shared" si="77"/>
        <v>1500000</v>
      </c>
      <c r="AO211" s="77">
        <f t="shared" si="77"/>
        <v>1500000</v>
      </c>
      <c r="AQ211" s="64"/>
      <c r="AR211" s="64"/>
    </row>
    <row r="212" spans="1:44" s="78" customFormat="1" x14ac:dyDescent="0.25">
      <c r="A212" s="93" t="s">
        <v>330</v>
      </c>
      <c r="B212" s="81" t="s">
        <v>331</v>
      </c>
      <c r="C212" s="75">
        <f>SUM(D212+Y212+AE212+AJ212)</f>
        <v>79105742</v>
      </c>
      <c r="D212" s="75">
        <f>SUM(E212:X212)</f>
        <v>67084729</v>
      </c>
      <c r="E212" s="77"/>
      <c r="F212" s="77"/>
      <c r="G212" s="77"/>
      <c r="H212" s="77"/>
      <c r="I212" s="77"/>
      <c r="J212" s="77"/>
      <c r="K212" s="77"/>
      <c r="L212" s="77"/>
      <c r="M212" s="77"/>
      <c r="N212" s="77"/>
      <c r="O212" s="77"/>
      <c r="P212" s="75">
        <v>67084729</v>
      </c>
      <c r="Q212" s="77"/>
      <c r="R212" s="77"/>
      <c r="S212" s="77"/>
      <c r="T212" s="77"/>
      <c r="U212" s="77"/>
      <c r="V212" s="77"/>
      <c r="W212" s="77"/>
      <c r="X212" s="77"/>
      <c r="Y212" s="77"/>
      <c r="Z212" s="77"/>
      <c r="AA212" s="77"/>
      <c r="AB212" s="77"/>
      <c r="AC212" s="77"/>
      <c r="AD212" s="77"/>
      <c r="AE212" s="77"/>
      <c r="AF212" s="77"/>
      <c r="AG212" s="77"/>
      <c r="AH212" s="77"/>
      <c r="AI212" s="77"/>
      <c r="AJ212" s="75">
        <f>SUM(AK212+AL212)</f>
        <v>12021013</v>
      </c>
      <c r="AK212" s="75">
        <v>12021013</v>
      </c>
      <c r="AL212" s="77"/>
      <c r="AM212" s="77"/>
      <c r="AN212" s="77"/>
      <c r="AO212" s="77"/>
      <c r="AQ212" s="64"/>
      <c r="AR212" s="64"/>
    </row>
    <row r="213" spans="1:44" x14ac:dyDescent="0.25">
      <c r="A213" s="75" t="s">
        <v>332</v>
      </c>
      <c r="B213" s="81" t="s">
        <v>333</v>
      </c>
      <c r="C213" s="75">
        <f>SUM(D213+Y213+AE213+AJ213)</f>
        <v>47900000</v>
      </c>
      <c r="D213" s="75">
        <f>SUM(E213:X213)</f>
        <v>24300000</v>
      </c>
      <c r="E213" s="75">
        <v>0</v>
      </c>
      <c r="F213" s="75">
        <v>2000000</v>
      </c>
      <c r="G213" s="75">
        <v>1500000</v>
      </c>
      <c r="H213" s="75">
        <v>1000000</v>
      </c>
      <c r="I213" s="75">
        <v>3000000</v>
      </c>
      <c r="J213" s="75">
        <v>500000</v>
      </c>
      <c r="K213" s="75">
        <v>600000</v>
      </c>
      <c r="L213" s="75">
        <v>1500000</v>
      </c>
      <c r="M213" s="75">
        <v>2500000</v>
      </c>
      <c r="N213" s="75">
        <v>700000</v>
      </c>
      <c r="O213" s="75">
        <v>2000000</v>
      </c>
      <c r="P213" s="75">
        <v>1000000</v>
      </c>
      <c r="Q213" s="75">
        <v>500000</v>
      </c>
      <c r="R213" s="75">
        <v>1000000</v>
      </c>
      <c r="S213" s="75">
        <v>1000000</v>
      </c>
      <c r="T213" s="75">
        <v>1000000</v>
      </c>
      <c r="U213" s="75">
        <v>1500000</v>
      </c>
      <c r="V213" s="75">
        <v>1000000</v>
      </c>
      <c r="W213" s="75">
        <v>1000000</v>
      </c>
      <c r="X213" s="75">
        <v>1000000</v>
      </c>
      <c r="Y213" s="75">
        <f>SUM(Z213:AD213)</f>
        <v>8500000</v>
      </c>
      <c r="Z213" s="75">
        <v>1000000</v>
      </c>
      <c r="AA213" s="75">
        <v>1500000</v>
      </c>
      <c r="AB213" s="75">
        <v>2500000</v>
      </c>
      <c r="AC213" s="75">
        <v>2500000</v>
      </c>
      <c r="AD213" s="75">
        <v>1000000</v>
      </c>
      <c r="AE213" s="75">
        <f>SUM(AF213:AI213)</f>
        <v>5500000</v>
      </c>
      <c r="AF213" s="75">
        <v>1000000</v>
      </c>
      <c r="AG213" s="75">
        <v>2000000</v>
      </c>
      <c r="AH213" s="75">
        <v>1000000</v>
      </c>
      <c r="AI213" s="75">
        <v>1500000</v>
      </c>
      <c r="AJ213" s="75">
        <f>SUM(AK213:AL213)</f>
        <v>9600000</v>
      </c>
      <c r="AK213" s="75">
        <v>6000000</v>
      </c>
      <c r="AL213" s="75">
        <f>SUM(AM213:AO213)</f>
        <v>3600000</v>
      </c>
      <c r="AM213" s="75">
        <v>600000</v>
      </c>
      <c r="AN213" s="75">
        <v>1500000</v>
      </c>
      <c r="AO213" s="75">
        <v>1500000</v>
      </c>
    </row>
    <row r="214" spans="1:44" x14ac:dyDescent="0.25">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row>
    <row r="215" spans="1:44" s="78" customFormat="1" ht="26.4" x14ac:dyDescent="0.25">
      <c r="A215" s="86" t="s">
        <v>334</v>
      </c>
      <c r="B215" s="82" t="s">
        <v>335</v>
      </c>
      <c r="C215" s="77">
        <f>SUM(C216:C217)</f>
        <v>556000000</v>
      </c>
      <c r="D215" s="77">
        <f t="shared" ref="D215:AO215" si="78">SUM(D216:D217)</f>
        <v>100000000</v>
      </c>
      <c r="E215" s="77">
        <f t="shared" si="78"/>
        <v>0</v>
      </c>
      <c r="F215" s="77">
        <f t="shared" si="78"/>
        <v>0</v>
      </c>
      <c r="G215" s="77">
        <f t="shared" si="78"/>
        <v>0</v>
      </c>
      <c r="H215" s="77">
        <f t="shared" si="78"/>
        <v>0</v>
      </c>
      <c r="I215" s="77">
        <f t="shared" si="78"/>
        <v>0</v>
      </c>
      <c r="J215" s="77">
        <f t="shared" si="78"/>
        <v>0</v>
      </c>
      <c r="K215" s="77">
        <f t="shared" si="78"/>
        <v>0</v>
      </c>
      <c r="L215" s="77">
        <f t="shared" si="78"/>
        <v>0</v>
      </c>
      <c r="M215" s="77">
        <f t="shared" si="78"/>
        <v>100000000</v>
      </c>
      <c r="N215" s="77">
        <f t="shared" si="78"/>
        <v>0</v>
      </c>
      <c r="O215" s="77">
        <f t="shared" si="78"/>
        <v>0</v>
      </c>
      <c r="P215" s="77">
        <f t="shared" si="78"/>
        <v>0</v>
      </c>
      <c r="Q215" s="77">
        <f t="shared" si="78"/>
        <v>0</v>
      </c>
      <c r="R215" s="77">
        <f t="shared" si="78"/>
        <v>0</v>
      </c>
      <c r="S215" s="77">
        <f t="shared" si="78"/>
        <v>0</v>
      </c>
      <c r="T215" s="77">
        <f t="shared" si="78"/>
        <v>0</v>
      </c>
      <c r="U215" s="77">
        <f t="shared" si="78"/>
        <v>0</v>
      </c>
      <c r="V215" s="77">
        <f t="shared" si="78"/>
        <v>0</v>
      </c>
      <c r="W215" s="77">
        <f t="shared" si="78"/>
        <v>0</v>
      </c>
      <c r="X215" s="77">
        <f t="shared" si="78"/>
        <v>0</v>
      </c>
      <c r="Y215" s="77">
        <f t="shared" si="78"/>
        <v>0</v>
      </c>
      <c r="Z215" s="77">
        <f t="shared" si="78"/>
        <v>0</v>
      </c>
      <c r="AA215" s="77">
        <f t="shared" si="78"/>
        <v>0</v>
      </c>
      <c r="AB215" s="77">
        <f t="shared" si="78"/>
        <v>0</v>
      </c>
      <c r="AC215" s="77">
        <f t="shared" si="78"/>
        <v>0</v>
      </c>
      <c r="AD215" s="77">
        <f t="shared" si="78"/>
        <v>0</v>
      </c>
      <c r="AE215" s="77">
        <f t="shared" si="78"/>
        <v>1000000</v>
      </c>
      <c r="AF215" s="77">
        <f t="shared" si="78"/>
        <v>0</v>
      </c>
      <c r="AG215" s="77">
        <f t="shared" si="78"/>
        <v>0</v>
      </c>
      <c r="AH215" s="77">
        <f t="shared" si="78"/>
        <v>0</v>
      </c>
      <c r="AI215" s="77">
        <f t="shared" si="78"/>
        <v>1000000</v>
      </c>
      <c r="AJ215" s="77">
        <f t="shared" si="78"/>
        <v>455000000</v>
      </c>
      <c r="AK215" s="77">
        <f t="shared" si="78"/>
        <v>454000000</v>
      </c>
      <c r="AL215" s="77">
        <f t="shared" si="78"/>
        <v>1000000</v>
      </c>
      <c r="AM215" s="77">
        <f t="shared" si="78"/>
        <v>0</v>
      </c>
      <c r="AN215" s="77">
        <f t="shared" si="78"/>
        <v>0</v>
      </c>
      <c r="AO215" s="77">
        <f t="shared" si="78"/>
        <v>1000000</v>
      </c>
      <c r="AQ215" s="64"/>
      <c r="AR215" s="64"/>
    </row>
    <row r="216" spans="1:44" x14ac:dyDescent="0.25">
      <c r="A216" s="75" t="s">
        <v>336</v>
      </c>
      <c r="B216" s="81" t="s">
        <v>337</v>
      </c>
      <c r="C216" s="75">
        <f>SUM(D216+Y216+AE216+AJ216)</f>
        <v>550000000</v>
      </c>
      <c r="D216" s="75">
        <f>SUM(E216:X216)</f>
        <v>100000000</v>
      </c>
      <c r="E216" s="75">
        <v>0</v>
      </c>
      <c r="F216" s="75">
        <v>0</v>
      </c>
      <c r="G216" s="75">
        <v>0</v>
      </c>
      <c r="H216" s="75">
        <v>0</v>
      </c>
      <c r="I216" s="75">
        <v>0</v>
      </c>
      <c r="J216" s="75">
        <v>0</v>
      </c>
      <c r="K216" s="75">
        <v>0</v>
      </c>
      <c r="L216" s="75">
        <v>0</v>
      </c>
      <c r="M216" s="75">
        <v>100000000</v>
      </c>
      <c r="N216" s="75">
        <v>0</v>
      </c>
      <c r="O216" s="75">
        <v>0</v>
      </c>
      <c r="P216" s="75">
        <v>0</v>
      </c>
      <c r="Q216" s="75">
        <v>0</v>
      </c>
      <c r="R216" s="75">
        <v>0</v>
      </c>
      <c r="S216" s="75">
        <v>0</v>
      </c>
      <c r="T216" s="75">
        <v>0</v>
      </c>
      <c r="U216" s="75">
        <v>0</v>
      </c>
      <c r="V216" s="75">
        <v>0</v>
      </c>
      <c r="W216" s="75">
        <v>0</v>
      </c>
      <c r="X216" s="75">
        <v>0</v>
      </c>
      <c r="Y216" s="75">
        <f>SUM(Z216:AD216)</f>
        <v>0</v>
      </c>
      <c r="Z216" s="75">
        <v>0</v>
      </c>
      <c r="AA216" s="75">
        <v>0</v>
      </c>
      <c r="AB216" s="75">
        <v>0</v>
      </c>
      <c r="AC216" s="75">
        <v>0</v>
      </c>
      <c r="AD216" s="75">
        <v>0</v>
      </c>
      <c r="AE216" s="75">
        <f>SUM(AF216:AI216)</f>
        <v>0</v>
      </c>
      <c r="AF216" s="75">
        <v>0</v>
      </c>
      <c r="AG216" s="75">
        <v>0</v>
      </c>
      <c r="AH216" s="75">
        <v>0</v>
      </c>
      <c r="AI216" s="75">
        <v>0</v>
      </c>
      <c r="AJ216" s="75">
        <f>SUM(AK216:AL216)</f>
        <v>450000000</v>
      </c>
      <c r="AK216" s="75">
        <f>250000000+200000000</f>
        <v>450000000</v>
      </c>
      <c r="AL216" s="75">
        <f>SUM(AM216:AO216)</f>
        <v>0</v>
      </c>
      <c r="AM216" s="75">
        <v>0</v>
      </c>
      <c r="AN216" s="75">
        <v>0</v>
      </c>
      <c r="AO216" s="75">
        <v>0</v>
      </c>
    </row>
    <row r="217" spans="1:44" x14ac:dyDescent="0.25">
      <c r="A217" s="75" t="s">
        <v>338</v>
      </c>
      <c r="B217" s="81" t="s">
        <v>339</v>
      </c>
      <c r="C217" s="75">
        <f>SUM(D217+Y217+AE217+AJ217)</f>
        <v>6000000</v>
      </c>
      <c r="D217" s="75">
        <f>SUM(E217:X217)</f>
        <v>0</v>
      </c>
      <c r="E217" s="75">
        <v>0</v>
      </c>
      <c r="F217" s="75">
        <v>0</v>
      </c>
      <c r="G217" s="75">
        <v>0</v>
      </c>
      <c r="H217" s="75">
        <v>0</v>
      </c>
      <c r="I217" s="75">
        <v>0</v>
      </c>
      <c r="J217" s="75">
        <v>0</v>
      </c>
      <c r="K217" s="75">
        <v>0</v>
      </c>
      <c r="L217" s="75">
        <v>0</v>
      </c>
      <c r="M217" s="75">
        <v>0</v>
      </c>
      <c r="N217" s="75">
        <v>0</v>
      </c>
      <c r="O217" s="75">
        <v>0</v>
      </c>
      <c r="P217" s="75">
        <v>0</v>
      </c>
      <c r="Q217" s="75">
        <v>0</v>
      </c>
      <c r="R217" s="75">
        <v>0</v>
      </c>
      <c r="S217" s="75">
        <v>0</v>
      </c>
      <c r="T217" s="75">
        <v>0</v>
      </c>
      <c r="U217" s="75">
        <v>0</v>
      </c>
      <c r="V217" s="75">
        <v>0</v>
      </c>
      <c r="W217" s="75">
        <v>0</v>
      </c>
      <c r="X217" s="75">
        <v>0</v>
      </c>
      <c r="Y217" s="75">
        <f>SUM(Z217:AD217)</f>
        <v>0</v>
      </c>
      <c r="Z217" s="75">
        <v>0</v>
      </c>
      <c r="AA217" s="75">
        <v>0</v>
      </c>
      <c r="AB217" s="75">
        <v>0</v>
      </c>
      <c r="AC217" s="75">
        <v>0</v>
      </c>
      <c r="AD217" s="75">
        <v>0</v>
      </c>
      <c r="AE217" s="75">
        <f>SUM(AF217:AI217)</f>
        <v>1000000</v>
      </c>
      <c r="AF217" s="75">
        <v>0</v>
      </c>
      <c r="AG217" s="75">
        <v>0</v>
      </c>
      <c r="AH217" s="75">
        <v>0</v>
      </c>
      <c r="AI217" s="75">
        <v>1000000</v>
      </c>
      <c r="AJ217" s="75">
        <f>SUM(AK217:AL217)</f>
        <v>5000000</v>
      </c>
      <c r="AK217" s="75">
        <v>4000000</v>
      </c>
      <c r="AL217" s="75">
        <f>SUM(AM217:AO217)</f>
        <v>1000000</v>
      </c>
      <c r="AM217" s="75">
        <v>0</v>
      </c>
      <c r="AN217" s="75">
        <v>0</v>
      </c>
      <c r="AO217" s="75">
        <v>1000000</v>
      </c>
    </row>
    <row r="218" spans="1:44" x14ac:dyDescent="0.25">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row>
    <row r="219" spans="1:44" s="78" customFormat="1" ht="26.4" x14ac:dyDescent="0.25">
      <c r="A219" s="90" t="s">
        <v>340</v>
      </c>
      <c r="B219" s="82" t="s">
        <v>341</v>
      </c>
      <c r="C219" s="77">
        <f>SUM(C220)</f>
        <v>35000000</v>
      </c>
      <c r="D219" s="77">
        <f t="shared" ref="D219:AO219" si="79">SUM(D220)</f>
        <v>26250000</v>
      </c>
      <c r="E219" s="77">
        <f t="shared" si="79"/>
        <v>0</v>
      </c>
      <c r="F219" s="77">
        <f t="shared" si="79"/>
        <v>0</v>
      </c>
      <c r="G219" s="77">
        <f t="shared" si="79"/>
        <v>0</v>
      </c>
      <c r="H219" s="77">
        <f t="shared" si="79"/>
        <v>0</v>
      </c>
      <c r="I219" s="77">
        <f t="shared" si="79"/>
        <v>0</v>
      </c>
      <c r="J219" s="77">
        <f t="shared" si="79"/>
        <v>0</v>
      </c>
      <c r="K219" s="77">
        <f t="shared" si="79"/>
        <v>0</v>
      </c>
      <c r="L219" s="77">
        <f t="shared" si="79"/>
        <v>0</v>
      </c>
      <c r="M219" s="77">
        <f t="shared" si="79"/>
        <v>0</v>
      </c>
      <c r="N219" s="77">
        <f t="shared" si="79"/>
        <v>0</v>
      </c>
      <c r="O219" s="77">
        <f t="shared" si="79"/>
        <v>0</v>
      </c>
      <c r="P219" s="77">
        <f t="shared" si="79"/>
        <v>0</v>
      </c>
      <c r="Q219" s="77">
        <f t="shared" si="79"/>
        <v>0</v>
      </c>
      <c r="R219" s="77">
        <f t="shared" si="79"/>
        <v>0</v>
      </c>
      <c r="S219" s="77">
        <f t="shared" si="79"/>
        <v>0</v>
      </c>
      <c r="T219" s="77">
        <f t="shared" si="79"/>
        <v>26250000</v>
      </c>
      <c r="U219" s="77">
        <f t="shared" si="79"/>
        <v>0</v>
      </c>
      <c r="V219" s="77">
        <f t="shared" si="79"/>
        <v>0</v>
      </c>
      <c r="W219" s="77">
        <f t="shared" si="79"/>
        <v>0</v>
      </c>
      <c r="X219" s="77">
        <f t="shared" si="79"/>
        <v>0</v>
      </c>
      <c r="Y219" s="77">
        <f t="shared" si="79"/>
        <v>0</v>
      </c>
      <c r="Z219" s="77">
        <f t="shared" si="79"/>
        <v>0</v>
      </c>
      <c r="AA219" s="77">
        <f t="shared" si="79"/>
        <v>0</v>
      </c>
      <c r="AB219" s="77">
        <f t="shared" si="79"/>
        <v>0</v>
      </c>
      <c r="AC219" s="77">
        <f t="shared" si="79"/>
        <v>0</v>
      </c>
      <c r="AD219" s="77">
        <f t="shared" si="79"/>
        <v>0</v>
      </c>
      <c r="AE219" s="77">
        <f t="shared" si="79"/>
        <v>0</v>
      </c>
      <c r="AF219" s="77">
        <f t="shared" si="79"/>
        <v>0</v>
      </c>
      <c r="AG219" s="77">
        <f t="shared" si="79"/>
        <v>0</v>
      </c>
      <c r="AH219" s="77">
        <f t="shared" si="79"/>
        <v>0</v>
      </c>
      <c r="AI219" s="77">
        <f t="shared" si="79"/>
        <v>0</v>
      </c>
      <c r="AJ219" s="77">
        <f t="shared" si="79"/>
        <v>8750000</v>
      </c>
      <c r="AK219" s="77">
        <f t="shared" si="79"/>
        <v>8750000</v>
      </c>
      <c r="AL219" s="77">
        <f t="shared" si="79"/>
        <v>0</v>
      </c>
      <c r="AM219" s="77">
        <f t="shared" si="79"/>
        <v>0</v>
      </c>
      <c r="AN219" s="77">
        <f t="shared" si="79"/>
        <v>0</v>
      </c>
      <c r="AO219" s="77">
        <f t="shared" si="79"/>
        <v>0</v>
      </c>
      <c r="AQ219" s="64"/>
      <c r="AR219" s="64"/>
    </row>
    <row r="220" spans="1:44" x14ac:dyDescent="0.25">
      <c r="A220" s="75" t="s">
        <v>342</v>
      </c>
      <c r="B220" s="75" t="s">
        <v>343</v>
      </c>
      <c r="C220" s="75">
        <f>SUM(D220+Y220+AE220+AJ220)</f>
        <v>35000000</v>
      </c>
      <c r="D220" s="75">
        <f>SUM(E220:X220)</f>
        <v>26250000</v>
      </c>
      <c r="E220" s="75">
        <v>0</v>
      </c>
      <c r="F220" s="75">
        <v>0</v>
      </c>
      <c r="G220" s="75">
        <v>0</v>
      </c>
      <c r="H220" s="75">
        <v>0</v>
      </c>
      <c r="I220" s="75">
        <v>0</v>
      </c>
      <c r="J220" s="75">
        <v>0</v>
      </c>
      <c r="K220" s="75">
        <v>0</v>
      </c>
      <c r="L220" s="75">
        <v>0</v>
      </c>
      <c r="M220" s="75">
        <v>0</v>
      </c>
      <c r="N220" s="75">
        <v>0</v>
      </c>
      <c r="O220" s="75">
        <v>0</v>
      </c>
      <c r="P220" s="75">
        <v>0</v>
      </c>
      <c r="Q220" s="75">
        <v>0</v>
      </c>
      <c r="R220" s="75">
        <v>0</v>
      </c>
      <c r="S220" s="75">
        <v>0</v>
      </c>
      <c r="T220" s="75">
        <f>35000000-'[4]Costeo SAP'!P38</f>
        <v>26250000</v>
      </c>
      <c r="U220" s="75">
        <v>0</v>
      </c>
      <c r="V220" s="75">
        <v>0</v>
      </c>
      <c r="W220" s="75">
        <v>0</v>
      </c>
      <c r="X220" s="75">
        <v>0</v>
      </c>
      <c r="Y220" s="75">
        <f>SUM(Z220:AD220)</f>
        <v>0</v>
      </c>
      <c r="Z220" s="75">
        <v>0</v>
      </c>
      <c r="AA220" s="75">
        <v>0</v>
      </c>
      <c r="AB220" s="75">
        <v>0</v>
      </c>
      <c r="AC220" s="75">
        <v>0</v>
      </c>
      <c r="AD220" s="75">
        <v>0</v>
      </c>
      <c r="AE220" s="75">
        <f>SUM(AF220:AI220)</f>
        <v>0</v>
      </c>
      <c r="AF220" s="75">
        <v>0</v>
      </c>
      <c r="AG220" s="75">
        <v>0</v>
      </c>
      <c r="AH220" s="75">
        <v>0</v>
      </c>
      <c r="AI220" s="75">
        <v>0</v>
      </c>
      <c r="AJ220" s="75">
        <f>SUM(AK220:AL220)</f>
        <v>8750000</v>
      </c>
      <c r="AK220" s="75">
        <f>+'[4]Costeo SAP'!P38</f>
        <v>8750000</v>
      </c>
      <c r="AL220" s="75">
        <f>SUM(AM220:AO220)</f>
        <v>0</v>
      </c>
      <c r="AM220" s="75">
        <v>0</v>
      </c>
      <c r="AN220" s="75">
        <v>0</v>
      </c>
      <c r="AO220" s="75">
        <v>0</v>
      </c>
    </row>
    <row r="221" spans="1:44" x14ac:dyDescent="0.25">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row>
    <row r="222" spans="1:44" s="78" customFormat="1" x14ac:dyDescent="0.25">
      <c r="A222" s="76">
        <v>7</v>
      </c>
      <c r="B222" s="76" t="s">
        <v>344</v>
      </c>
      <c r="C222" s="77">
        <f>SUM(C223+C226)</f>
        <v>2167308242</v>
      </c>
      <c r="D222" s="77">
        <f t="shared" ref="D222:AO222" si="80">SUM(D223+D226)</f>
        <v>0</v>
      </c>
      <c r="E222" s="77">
        <f t="shared" si="80"/>
        <v>0</v>
      </c>
      <c r="F222" s="77">
        <f t="shared" si="80"/>
        <v>0</v>
      </c>
      <c r="G222" s="77">
        <f t="shared" si="80"/>
        <v>0</v>
      </c>
      <c r="H222" s="77">
        <f t="shared" si="80"/>
        <v>0</v>
      </c>
      <c r="I222" s="77">
        <f t="shared" si="80"/>
        <v>0</v>
      </c>
      <c r="J222" s="77">
        <f t="shared" si="80"/>
        <v>0</v>
      </c>
      <c r="K222" s="77">
        <f t="shared" si="80"/>
        <v>0</v>
      </c>
      <c r="L222" s="77">
        <f t="shared" si="80"/>
        <v>0</v>
      </c>
      <c r="M222" s="77">
        <f t="shared" si="80"/>
        <v>0</v>
      </c>
      <c r="N222" s="77">
        <f t="shared" si="80"/>
        <v>0</v>
      </c>
      <c r="O222" s="77">
        <f t="shared" si="80"/>
        <v>0</v>
      </c>
      <c r="P222" s="77">
        <f t="shared" si="80"/>
        <v>0</v>
      </c>
      <c r="Q222" s="77">
        <f t="shared" si="80"/>
        <v>0</v>
      </c>
      <c r="R222" s="77">
        <f t="shared" si="80"/>
        <v>0</v>
      </c>
      <c r="S222" s="77">
        <f t="shared" si="80"/>
        <v>0</v>
      </c>
      <c r="T222" s="77">
        <f t="shared" si="80"/>
        <v>0</v>
      </c>
      <c r="U222" s="77">
        <f t="shared" si="80"/>
        <v>0</v>
      </c>
      <c r="V222" s="77">
        <f t="shared" si="80"/>
        <v>0</v>
      </c>
      <c r="W222" s="77">
        <f t="shared" si="80"/>
        <v>0</v>
      </c>
      <c r="X222" s="77">
        <f t="shared" si="80"/>
        <v>0</v>
      </c>
      <c r="Y222" s="77">
        <f t="shared" si="80"/>
        <v>0</v>
      </c>
      <c r="Z222" s="77">
        <f t="shared" si="80"/>
        <v>0</v>
      </c>
      <c r="AA222" s="77">
        <f t="shared" si="80"/>
        <v>0</v>
      </c>
      <c r="AB222" s="77">
        <f t="shared" si="80"/>
        <v>0</v>
      </c>
      <c r="AC222" s="77">
        <f t="shared" si="80"/>
        <v>0</v>
      </c>
      <c r="AD222" s="77">
        <f t="shared" si="80"/>
        <v>0</v>
      </c>
      <c r="AE222" s="77">
        <f t="shared" si="80"/>
        <v>2167308242</v>
      </c>
      <c r="AF222" s="77">
        <f t="shared" si="80"/>
        <v>0</v>
      </c>
      <c r="AG222" s="77">
        <f t="shared" si="80"/>
        <v>299808242</v>
      </c>
      <c r="AH222" s="77">
        <f t="shared" si="80"/>
        <v>1865000000</v>
      </c>
      <c r="AI222" s="77">
        <f t="shared" si="80"/>
        <v>2500000</v>
      </c>
      <c r="AJ222" s="77">
        <f t="shared" si="80"/>
        <v>0</v>
      </c>
      <c r="AK222" s="77">
        <f t="shared" si="80"/>
        <v>0</v>
      </c>
      <c r="AL222" s="77">
        <f t="shared" si="80"/>
        <v>0</v>
      </c>
      <c r="AM222" s="77">
        <f t="shared" si="80"/>
        <v>0</v>
      </c>
      <c r="AN222" s="77">
        <f t="shared" si="80"/>
        <v>0</v>
      </c>
      <c r="AO222" s="77">
        <f t="shared" si="80"/>
        <v>0</v>
      </c>
      <c r="AQ222" s="64"/>
      <c r="AR222" s="64"/>
    </row>
    <row r="223" spans="1:44" s="78" customFormat="1" ht="26.4" x14ac:dyDescent="0.25">
      <c r="A223" s="86" t="s">
        <v>345</v>
      </c>
      <c r="B223" s="82" t="s">
        <v>346</v>
      </c>
      <c r="C223" s="77">
        <f>SUM(C224)</f>
        <v>29500000</v>
      </c>
      <c r="D223" s="77">
        <f t="shared" ref="D223:AO223" si="81">SUM(D224)</f>
        <v>0</v>
      </c>
      <c r="E223" s="77">
        <f t="shared" si="81"/>
        <v>0</v>
      </c>
      <c r="F223" s="77">
        <f t="shared" si="81"/>
        <v>0</v>
      </c>
      <c r="G223" s="77">
        <f t="shared" si="81"/>
        <v>0</v>
      </c>
      <c r="H223" s="77">
        <f t="shared" si="81"/>
        <v>0</v>
      </c>
      <c r="I223" s="77">
        <f t="shared" si="81"/>
        <v>0</v>
      </c>
      <c r="J223" s="77">
        <f t="shared" si="81"/>
        <v>0</v>
      </c>
      <c r="K223" s="77">
        <f t="shared" si="81"/>
        <v>0</v>
      </c>
      <c r="L223" s="77">
        <f t="shared" si="81"/>
        <v>0</v>
      </c>
      <c r="M223" s="77">
        <f t="shared" si="81"/>
        <v>0</v>
      </c>
      <c r="N223" s="77">
        <f t="shared" si="81"/>
        <v>0</v>
      </c>
      <c r="O223" s="77">
        <f t="shared" si="81"/>
        <v>0</v>
      </c>
      <c r="P223" s="77">
        <f t="shared" si="81"/>
        <v>0</v>
      </c>
      <c r="Q223" s="77">
        <f t="shared" si="81"/>
        <v>0</v>
      </c>
      <c r="R223" s="77">
        <f t="shared" si="81"/>
        <v>0</v>
      </c>
      <c r="S223" s="77">
        <f t="shared" si="81"/>
        <v>0</v>
      </c>
      <c r="T223" s="77">
        <f t="shared" si="81"/>
        <v>0</v>
      </c>
      <c r="U223" s="77">
        <f t="shared" si="81"/>
        <v>0</v>
      </c>
      <c r="V223" s="77">
        <f t="shared" si="81"/>
        <v>0</v>
      </c>
      <c r="W223" s="77">
        <f t="shared" si="81"/>
        <v>0</v>
      </c>
      <c r="X223" s="77">
        <f t="shared" si="81"/>
        <v>0</v>
      </c>
      <c r="Y223" s="77">
        <f t="shared" si="81"/>
        <v>0</v>
      </c>
      <c r="Z223" s="77">
        <f t="shared" si="81"/>
        <v>0</v>
      </c>
      <c r="AA223" s="77">
        <f t="shared" si="81"/>
        <v>0</v>
      </c>
      <c r="AB223" s="77">
        <f t="shared" si="81"/>
        <v>0</v>
      </c>
      <c r="AC223" s="77">
        <f t="shared" si="81"/>
        <v>0</v>
      </c>
      <c r="AD223" s="77">
        <f t="shared" si="81"/>
        <v>0</v>
      </c>
      <c r="AE223" s="77">
        <f t="shared" si="81"/>
        <v>29500000</v>
      </c>
      <c r="AF223" s="77">
        <f t="shared" si="81"/>
        <v>0</v>
      </c>
      <c r="AG223" s="77">
        <f t="shared" si="81"/>
        <v>20000000</v>
      </c>
      <c r="AH223" s="77">
        <f t="shared" si="81"/>
        <v>7000000</v>
      </c>
      <c r="AI223" s="77">
        <f t="shared" si="81"/>
        <v>2500000</v>
      </c>
      <c r="AJ223" s="77">
        <f t="shared" si="81"/>
        <v>0</v>
      </c>
      <c r="AK223" s="77">
        <f t="shared" si="81"/>
        <v>0</v>
      </c>
      <c r="AL223" s="77">
        <f t="shared" si="81"/>
        <v>0</v>
      </c>
      <c r="AM223" s="77">
        <f t="shared" si="81"/>
        <v>0</v>
      </c>
      <c r="AN223" s="77">
        <f t="shared" si="81"/>
        <v>0</v>
      </c>
      <c r="AO223" s="77">
        <f t="shared" si="81"/>
        <v>0</v>
      </c>
      <c r="AQ223" s="64"/>
      <c r="AR223" s="64"/>
    </row>
    <row r="224" spans="1:44" x14ac:dyDescent="0.25">
      <c r="A224" s="75" t="s">
        <v>347</v>
      </c>
      <c r="B224" s="75" t="s">
        <v>348</v>
      </c>
      <c r="C224" s="75">
        <f>SUM(D224+Y224+AE224+AJ224)</f>
        <v>29500000</v>
      </c>
      <c r="D224" s="75">
        <f>SUM(E224:X224)</f>
        <v>0</v>
      </c>
      <c r="E224" s="75">
        <v>0</v>
      </c>
      <c r="F224" s="75">
        <v>0</v>
      </c>
      <c r="G224" s="75">
        <v>0</v>
      </c>
      <c r="H224" s="75">
        <v>0</v>
      </c>
      <c r="I224" s="75">
        <v>0</v>
      </c>
      <c r="J224" s="75">
        <v>0</v>
      </c>
      <c r="K224" s="75">
        <v>0</v>
      </c>
      <c r="L224" s="75">
        <v>0</v>
      </c>
      <c r="M224" s="75">
        <v>0</v>
      </c>
      <c r="N224" s="75">
        <v>0</v>
      </c>
      <c r="O224" s="75">
        <v>0</v>
      </c>
      <c r="P224" s="75">
        <v>0</v>
      </c>
      <c r="Q224" s="75">
        <v>0</v>
      </c>
      <c r="R224" s="75">
        <v>0</v>
      </c>
      <c r="S224" s="75">
        <v>0</v>
      </c>
      <c r="T224" s="75">
        <v>0</v>
      </c>
      <c r="U224" s="75">
        <v>0</v>
      </c>
      <c r="V224" s="75">
        <v>0</v>
      </c>
      <c r="W224" s="75">
        <v>0</v>
      </c>
      <c r="X224" s="75">
        <v>0</v>
      </c>
      <c r="Y224" s="75">
        <f>SUM(Z224:AD224)</f>
        <v>0</v>
      </c>
      <c r="Z224" s="75">
        <v>0</v>
      </c>
      <c r="AA224" s="75">
        <v>0</v>
      </c>
      <c r="AB224" s="75">
        <v>0</v>
      </c>
      <c r="AC224" s="75">
        <v>0</v>
      </c>
      <c r="AD224" s="75">
        <v>0</v>
      </c>
      <c r="AE224" s="75">
        <f>SUM(AF224:AI224)</f>
        <v>29500000</v>
      </c>
      <c r="AF224" s="75">
        <v>0</v>
      </c>
      <c r="AG224" s="75">
        <f>10000000+10000000</f>
        <v>20000000</v>
      </c>
      <c r="AH224" s="75">
        <f>2000000+5000000</f>
        <v>7000000</v>
      </c>
      <c r="AI224" s="75">
        <v>2500000</v>
      </c>
      <c r="AJ224" s="75">
        <f>SUM(AK224:AL224)</f>
        <v>0</v>
      </c>
      <c r="AK224" s="75">
        <v>0</v>
      </c>
      <c r="AL224" s="75">
        <f>SUM(AM224:AO224)</f>
        <v>0</v>
      </c>
      <c r="AM224" s="75">
        <v>0</v>
      </c>
      <c r="AN224" s="75">
        <v>0</v>
      </c>
      <c r="AO224" s="75">
        <v>0</v>
      </c>
    </row>
    <row r="225" spans="1:44" x14ac:dyDescent="0.25">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row>
    <row r="226" spans="1:44" s="78" customFormat="1" x14ac:dyDescent="0.25">
      <c r="A226" s="86" t="s">
        <v>349</v>
      </c>
      <c r="B226" s="82" t="s">
        <v>350</v>
      </c>
      <c r="C226" s="77">
        <f>SUM(C227:C231)</f>
        <v>2137808242</v>
      </c>
      <c r="D226" s="77">
        <f t="shared" ref="D226:AO226" si="82">SUM(D227:D229)</f>
        <v>0</v>
      </c>
      <c r="E226" s="77">
        <f t="shared" si="82"/>
        <v>0</v>
      </c>
      <c r="F226" s="77">
        <f t="shared" si="82"/>
        <v>0</v>
      </c>
      <c r="G226" s="77">
        <f t="shared" si="82"/>
        <v>0</v>
      </c>
      <c r="H226" s="77">
        <f t="shared" si="82"/>
        <v>0</v>
      </c>
      <c r="I226" s="77">
        <f t="shared" si="82"/>
        <v>0</v>
      </c>
      <c r="J226" s="77">
        <f t="shared" si="82"/>
        <v>0</v>
      </c>
      <c r="K226" s="77">
        <f t="shared" si="82"/>
        <v>0</v>
      </c>
      <c r="L226" s="77">
        <f t="shared" si="82"/>
        <v>0</v>
      </c>
      <c r="M226" s="77">
        <f t="shared" si="82"/>
        <v>0</v>
      </c>
      <c r="N226" s="77">
        <f t="shared" si="82"/>
        <v>0</v>
      </c>
      <c r="O226" s="77">
        <f t="shared" si="82"/>
        <v>0</v>
      </c>
      <c r="P226" s="77">
        <f t="shared" si="82"/>
        <v>0</v>
      </c>
      <c r="Q226" s="77">
        <f t="shared" si="82"/>
        <v>0</v>
      </c>
      <c r="R226" s="77">
        <f t="shared" si="82"/>
        <v>0</v>
      </c>
      <c r="S226" s="77">
        <f t="shared" si="82"/>
        <v>0</v>
      </c>
      <c r="T226" s="77">
        <f t="shared" si="82"/>
        <v>0</v>
      </c>
      <c r="U226" s="77">
        <f t="shared" si="82"/>
        <v>0</v>
      </c>
      <c r="V226" s="77">
        <f t="shared" si="82"/>
        <v>0</v>
      </c>
      <c r="W226" s="77">
        <f t="shared" si="82"/>
        <v>0</v>
      </c>
      <c r="X226" s="77">
        <f t="shared" si="82"/>
        <v>0</v>
      </c>
      <c r="Y226" s="77">
        <f t="shared" si="82"/>
        <v>0</v>
      </c>
      <c r="Z226" s="77">
        <f t="shared" si="82"/>
        <v>0</v>
      </c>
      <c r="AA226" s="77">
        <f t="shared" si="82"/>
        <v>0</v>
      </c>
      <c r="AB226" s="77">
        <f t="shared" si="82"/>
        <v>0</v>
      </c>
      <c r="AC226" s="77">
        <f t="shared" si="82"/>
        <v>0</v>
      </c>
      <c r="AD226" s="77">
        <f t="shared" si="82"/>
        <v>0</v>
      </c>
      <c r="AE226" s="77">
        <f>SUM(AE227:AE231)</f>
        <v>2137808242</v>
      </c>
      <c r="AF226" s="77">
        <f t="shared" si="82"/>
        <v>0</v>
      </c>
      <c r="AG226" s="77">
        <f>SUM(AG227:AG231)</f>
        <v>279808242</v>
      </c>
      <c r="AH226" s="77">
        <f t="shared" si="82"/>
        <v>1858000000</v>
      </c>
      <c r="AI226" s="77">
        <f t="shared" si="82"/>
        <v>0</v>
      </c>
      <c r="AJ226" s="77">
        <f t="shared" si="82"/>
        <v>0</v>
      </c>
      <c r="AK226" s="77">
        <f t="shared" si="82"/>
        <v>0</v>
      </c>
      <c r="AL226" s="77">
        <f t="shared" si="82"/>
        <v>0</v>
      </c>
      <c r="AM226" s="77">
        <f t="shared" si="82"/>
        <v>0</v>
      </c>
      <c r="AN226" s="77">
        <f t="shared" si="82"/>
        <v>0</v>
      </c>
      <c r="AO226" s="77">
        <f t="shared" si="82"/>
        <v>0</v>
      </c>
      <c r="AQ226" s="64"/>
      <c r="AR226" s="64"/>
    </row>
    <row r="227" spans="1:44" ht="26.4" x14ac:dyDescent="0.25">
      <c r="A227" s="75" t="s">
        <v>351</v>
      </c>
      <c r="B227" s="81" t="s">
        <v>352</v>
      </c>
      <c r="C227" s="75">
        <f>SUM(D227+Y227+AE227+AJ227)</f>
        <v>435000000</v>
      </c>
      <c r="D227" s="75">
        <f>SUM(E227:X227)</f>
        <v>0</v>
      </c>
      <c r="E227" s="75">
        <v>0</v>
      </c>
      <c r="F227" s="75">
        <v>0</v>
      </c>
      <c r="G227" s="75">
        <v>0</v>
      </c>
      <c r="H227" s="75">
        <v>0</v>
      </c>
      <c r="I227" s="75">
        <v>0</v>
      </c>
      <c r="J227" s="75">
        <v>0</v>
      </c>
      <c r="K227" s="75">
        <v>0</v>
      </c>
      <c r="L227" s="75">
        <v>0</v>
      </c>
      <c r="M227" s="75">
        <v>0</v>
      </c>
      <c r="N227" s="75">
        <v>0</v>
      </c>
      <c r="O227" s="75">
        <v>0</v>
      </c>
      <c r="P227" s="75">
        <v>0</v>
      </c>
      <c r="Q227" s="75">
        <v>0</v>
      </c>
      <c r="R227" s="75">
        <v>0</v>
      </c>
      <c r="S227" s="75">
        <v>0</v>
      </c>
      <c r="T227" s="75">
        <v>0</v>
      </c>
      <c r="U227" s="75">
        <v>0</v>
      </c>
      <c r="V227" s="75">
        <v>0</v>
      </c>
      <c r="W227" s="75">
        <v>0</v>
      </c>
      <c r="X227" s="75">
        <v>0</v>
      </c>
      <c r="Y227" s="75">
        <f>SUM(Z227:AD227)</f>
        <v>0</v>
      </c>
      <c r="Z227" s="75">
        <v>0</v>
      </c>
      <c r="AA227" s="75">
        <v>0</v>
      </c>
      <c r="AB227" s="75">
        <v>0</v>
      </c>
      <c r="AC227" s="75">
        <v>0</v>
      </c>
      <c r="AD227" s="75">
        <v>0</v>
      </c>
      <c r="AE227" s="75">
        <f>SUM(AF227:AI227)</f>
        <v>435000000</v>
      </c>
      <c r="AF227" s="75">
        <v>0</v>
      </c>
      <c r="AG227" s="75">
        <v>0</v>
      </c>
      <c r="AH227" s="75">
        <f>35000000+400000000</f>
        <v>435000000</v>
      </c>
      <c r="AI227" s="75">
        <v>0</v>
      </c>
      <c r="AJ227" s="75">
        <f>SUM(AK227:AL227)</f>
        <v>0</v>
      </c>
      <c r="AK227" s="75">
        <v>0</v>
      </c>
      <c r="AL227" s="75">
        <f>SUM(AM227:AO227)</f>
        <v>0</v>
      </c>
      <c r="AM227" s="75">
        <v>0</v>
      </c>
      <c r="AN227" s="75">
        <v>0</v>
      </c>
      <c r="AO227" s="75">
        <v>0</v>
      </c>
    </row>
    <row r="228" spans="1:44" x14ac:dyDescent="0.25">
      <c r="A228" s="75" t="s">
        <v>353</v>
      </c>
      <c r="B228" s="81" t="s">
        <v>354</v>
      </c>
      <c r="C228" s="75">
        <f>SUM(D228+Y228+AE228+AJ228)</f>
        <v>1415000000</v>
      </c>
      <c r="D228" s="75">
        <f>SUM(E228:X228)</f>
        <v>0</v>
      </c>
      <c r="E228" s="75">
        <v>0</v>
      </c>
      <c r="F228" s="75">
        <v>0</v>
      </c>
      <c r="G228" s="75">
        <v>0</v>
      </c>
      <c r="H228" s="75">
        <v>0</v>
      </c>
      <c r="I228" s="75">
        <v>0</v>
      </c>
      <c r="J228" s="75">
        <v>0</v>
      </c>
      <c r="K228" s="75">
        <v>0</v>
      </c>
      <c r="L228" s="75">
        <v>0</v>
      </c>
      <c r="M228" s="75">
        <v>0</v>
      </c>
      <c r="N228" s="75">
        <v>0</v>
      </c>
      <c r="O228" s="75">
        <v>0</v>
      </c>
      <c r="P228" s="75">
        <v>0</v>
      </c>
      <c r="Q228" s="75">
        <v>0</v>
      </c>
      <c r="R228" s="75">
        <v>0</v>
      </c>
      <c r="S228" s="75">
        <v>0</v>
      </c>
      <c r="T228" s="75">
        <v>0</v>
      </c>
      <c r="U228" s="75">
        <v>0</v>
      </c>
      <c r="V228" s="75">
        <v>0</v>
      </c>
      <c r="W228" s="75">
        <v>0</v>
      </c>
      <c r="X228" s="75">
        <v>0</v>
      </c>
      <c r="Y228" s="75">
        <f>SUM(Z228:AD228)</f>
        <v>0</v>
      </c>
      <c r="Z228" s="75">
        <v>0</v>
      </c>
      <c r="AA228" s="75">
        <v>0</v>
      </c>
      <c r="AB228" s="75">
        <v>0</v>
      </c>
      <c r="AC228" s="75">
        <v>0</v>
      </c>
      <c r="AD228" s="75">
        <v>0</v>
      </c>
      <c r="AE228" s="75">
        <f>SUM(AF228:AI228)</f>
        <v>1415000000</v>
      </c>
      <c r="AF228" s="75">
        <v>0</v>
      </c>
      <c r="AG228" s="75">
        <v>0</v>
      </c>
      <c r="AH228" s="75">
        <f>60000000+1375000000-20000000</f>
        <v>1415000000</v>
      </c>
      <c r="AI228" s="75">
        <v>0</v>
      </c>
      <c r="AJ228" s="75">
        <f>SUM(AK228:AL228)</f>
        <v>0</v>
      </c>
      <c r="AK228" s="75">
        <v>0</v>
      </c>
      <c r="AL228" s="75">
        <f>SUM(AM228:AO228)</f>
        <v>0</v>
      </c>
      <c r="AM228" s="75">
        <v>0</v>
      </c>
      <c r="AN228" s="75">
        <v>0</v>
      </c>
      <c r="AO228" s="75">
        <v>0</v>
      </c>
    </row>
    <row r="229" spans="1:44" x14ac:dyDescent="0.25">
      <c r="A229" s="75" t="s">
        <v>355</v>
      </c>
      <c r="B229" s="87" t="s">
        <v>356</v>
      </c>
      <c r="C229" s="75">
        <f>SUM(D229+Y229+AE229+AJ229)</f>
        <v>8000000</v>
      </c>
      <c r="D229" s="75">
        <f>SUM(E229:X229)</f>
        <v>0</v>
      </c>
      <c r="E229" s="75">
        <v>0</v>
      </c>
      <c r="F229" s="75">
        <v>0</v>
      </c>
      <c r="G229" s="75">
        <v>0</v>
      </c>
      <c r="H229" s="75">
        <v>0</v>
      </c>
      <c r="I229" s="75">
        <v>0</v>
      </c>
      <c r="J229" s="75">
        <v>0</v>
      </c>
      <c r="K229" s="75">
        <v>0</v>
      </c>
      <c r="L229" s="75">
        <v>0</v>
      </c>
      <c r="M229" s="75">
        <v>0</v>
      </c>
      <c r="N229" s="75">
        <v>0</v>
      </c>
      <c r="O229" s="75">
        <v>0</v>
      </c>
      <c r="P229" s="75">
        <v>0</v>
      </c>
      <c r="Q229" s="75">
        <v>0</v>
      </c>
      <c r="R229" s="75">
        <v>0</v>
      </c>
      <c r="S229" s="75">
        <v>0</v>
      </c>
      <c r="T229" s="75">
        <v>0</v>
      </c>
      <c r="U229" s="75">
        <v>0</v>
      </c>
      <c r="V229" s="75">
        <v>0</v>
      </c>
      <c r="W229" s="75">
        <v>0</v>
      </c>
      <c r="X229" s="75">
        <v>0</v>
      </c>
      <c r="Y229" s="75">
        <f>SUM(Z229:AD229)</f>
        <v>0</v>
      </c>
      <c r="Z229" s="75">
        <v>0</v>
      </c>
      <c r="AA229" s="75">
        <v>0</v>
      </c>
      <c r="AB229" s="75">
        <v>0</v>
      </c>
      <c r="AC229" s="75">
        <v>0</v>
      </c>
      <c r="AD229" s="75">
        <v>0</v>
      </c>
      <c r="AE229" s="75">
        <f>SUM(AF229:AI229)</f>
        <v>8000000</v>
      </c>
      <c r="AF229" s="75">
        <v>0</v>
      </c>
      <c r="AG229" s="75">
        <v>0</v>
      </c>
      <c r="AH229" s="75">
        <v>8000000</v>
      </c>
      <c r="AI229" s="75">
        <v>0</v>
      </c>
      <c r="AJ229" s="75">
        <f>SUM(AK229:AL229)</f>
        <v>0</v>
      </c>
      <c r="AK229" s="75">
        <v>0</v>
      </c>
      <c r="AL229" s="75">
        <f>SUM(AM229:AO229)</f>
        <v>0</v>
      </c>
      <c r="AM229" s="75">
        <v>0</v>
      </c>
      <c r="AN229" s="75">
        <v>0</v>
      </c>
      <c r="AO229" s="75">
        <v>0</v>
      </c>
    </row>
    <row r="230" spans="1:44" x14ac:dyDescent="0.25">
      <c r="A230" s="75" t="s">
        <v>357</v>
      </c>
      <c r="B230" s="87" t="s">
        <v>358</v>
      </c>
      <c r="C230" s="75">
        <f>SUM(D230+Y230+AE230+AJ230)</f>
        <v>72308242</v>
      </c>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f>SUM(AF230:AI230)</f>
        <v>72308242</v>
      </c>
      <c r="AF230" s="75"/>
      <c r="AG230" s="75">
        <v>72308242</v>
      </c>
      <c r="AH230" s="75"/>
      <c r="AI230" s="75"/>
      <c r="AJ230" s="75"/>
      <c r="AK230" s="75"/>
      <c r="AL230" s="75"/>
      <c r="AM230" s="75"/>
      <c r="AN230" s="75"/>
      <c r="AO230" s="75"/>
    </row>
    <row r="231" spans="1:44" x14ac:dyDescent="0.25">
      <c r="A231" s="75" t="s">
        <v>359</v>
      </c>
      <c r="B231" s="87" t="s">
        <v>360</v>
      </c>
      <c r="C231" s="75">
        <f>SUM(D231+Y231+AE231+AJ231)</f>
        <v>207500000</v>
      </c>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f>SUM(AF231:AI231)</f>
        <v>207500000</v>
      </c>
      <c r="AF231" s="75"/>
      <c r="AG231" s="75">
        <f>187500000+20000000</f>
        <v>207500000</v>
      </c>
      <c r="AH231" s="75"/>
      <c r="AI231" s="75"/>
      <c r="AJ231" s="75"/>
      <c r="AK231" s="75"/>
      <c r="AL231" s="75"/>
      <c r="AM231" s="75"/>
      <c r="AN231" s="75"/>
      <c r="AO231" s="75"/>
    </row>
    <row r="232" spans="1:44" x14ac:dyDescent="0.25">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row>
    <row r="233" spans="1:44" s="78" customFormat="1" x14ac:dyDescent="0.25">
      <c r="A233" s="90">
        <v>8</v>
      </c>
      <c r="B233" s="94" t="s">
        <v>361</v>
      </c>
      <c r="C233" s="77">
        <f>SUM(C234)</f>
        <v>11502400455</v>
      </c>
      <c r="D233" s="77">
        <f t="shared" ref="D233:AO233" si="83">SUM(D234)</f>
        <v>0</v>
      </c>
      <c r="E233" s="77">
        <f t="shared" si="83"/>
        <v>0</v>
      </c>
      <c r="F233" s="77">
        <f t="shared" si="83"/>
        <v>0</v>
      </c>
      <c r="G233" s="77">
        <f t="shared" si="83"/>
        <v>0</v>
      </c>
      <c r="H233" s="77">
        <f t="shared" si="83"/>
        <v>0</v>
      </c>
      <c r="I233" s="77">
        <f t="shared" si="83"/>
        <v>0</v>
      </c>
      <c r="J233" s="77">
        <f t="shared" si="83"/>
        <v>0</v>
      </c>
      <c r="K233" s="77">
        <f t="shared" si="83"/>
        <v>0</v>
      </c>
      <c r="L233" s="77">
        <f t="shared" si="83"/>
        <v>0</v>
      </c>
      <c r="M233" s="77">
        <f t="shared" si="83"/>
        <v>0</v>
      </c>
      <c r="N233" s="77">
        <f t="shared" si="83"/>
        <v>0</v>
      </c>
      <c r="O233" s="77">
        <f t="shared" si="83"/>
        <v>0</v>
      </c>
      <c r="P233" s="77">
        <f t="shared" si="83"/>
        <v>0</v>
      </c>
      <c r="Q233" s="77">
        <f t="shared" si="83"/>
        <v>0</v>
      </c>
      <c r="R233" s="77">
        <f t="shared" si="83"/>
        <v>0</v>
      </c>
      <c r="S233" s="77">
        <f t="shared" si="83"/>
        <v>0</v>
      </c>
      <c r="T233" s="77">
        <f t="shared" si="83"/>
        <v>0</v>
      </c>
      <c r="U233" s="77">
        <f t="shared" si="83"/>
        <v>0</v>
      </c>
      <c r="V233" s="77">
        <f t="shared" si="83"/>
        <v>0</v>
      </c>
      <c r="W233" s="77">
        <f t="shared" si="83"/>
        <v>0</v>
      </c>
      <c r="X233" s="77">
        <f t="shared" si="83"/>
        <v>0</v>
      </c>
      <c r="Y233" s="77">
        <f t="shared" si="83"/>
        <v>0</v>
      </c>
      <c r="Z233" s="77">
        <f t="shared" si="83"/>
        <v>0</v>
      </c>
      <c r="AA233" s="77">
        <f t="shared" si="83"/>
        <v>0</v>
      </c>
      <c r="AB233" s="77">
        <f t="shared" si="83"/>
        <v>0</v>
      </c>
      <c r="AC233" s="77">
        <f t="shared" si="83"/>
        <v>0</v>
      </c>
      <c r="AD233" s="77">
        <f t="shared" si="83"/>
        <v>0</v>
      </c>
      <c r="AE233" s="77">
        <f t="shared" si="83"/>
        <v>0</v>
      </c>
      <c r="AF233" s="77">
        <f t="shared" si="83"/>
        <v>0</v>
      </c>
      <c r="AG233" s="77">
        <f t="shared" si="83"/>
        <v>0</v>
      </c>
      <c r="AH233" s="77">
        <f t="shared" si="83"/>
        <v>0</v>
      </c>
      <c r="AI233" s="77">
        <f t="shared" si="83"/>
        <v>0</v>
      </c>
      <c r="AJ233" s="77">
        <f t="shared" si="83"/>
        <v>11502400455</v>
      </c>
      <c r="AK233" s="77">
        <f t="shared" si="83"/>
        <v>11502400455</v>
      </c>
      <c r="AL233" s="77">
        <f t="shared" si="83"/>
        <v>0</v>
      </c>
      <c r="AM233" s="77">
        <f t="shared" si="83"/>
        <v>0</v>
      </c>
      <c r="AN233" s="77">
        <f t="shared" si="83"/>
        <v>0</v>
      </c>
      <c r="AO233" s="77">
        <f t="shared" si="83"/>
        <v>0</v>
      </c>
      <c r="AQ233" s="64"/>
      <c r="AR233" s="64"/>
    </row>
    <row r="234" spans="1:44" s="78" customFormat="1" ht="26.4" x14ac:dyDescent="0.25">
      <c r="A234" s="86" t="s">
        <v>362</v>
      </c>
      <c r="B234" s="94" t="s">
        <v>363</v>
      </c>
      <c r="C234" s="77">
        <f>SUM(C235:C236)</f>
        <v>11502400455</v>
      </c>
      <c r="D234" s="77">
        <f t="shared" ref="D234:AO234" si="84">SUM(D235:D236)</f>
        <v>0</v>
      </c>
      <c r="E234" s="77">
        <f t="shared" si="84"/>
        <v>0</v>
      </c>
      <c r="F234" s="77">
        <f t="shared" si="84"/>
        <v>0</v>
      </c>
      <c r="G234" s="77">
        <f t="shared" si="84"/>
        <v>0</v>
      </c>
      <c r="H234" s="77">
        <f t="shared" si="84"/>
        <v>0</v>
      </c>
      <c r="I234" s="77">
        <f t="shared" si="84"/>
        <v>0</v>
      </c>
      <c r="J234" s="77">
        <f t="shared" si="84"/>
        <v>0</v>
      </c>
      <c r="K234" s="77">
        <f t="shared" si="84"/>
        <v>0</v>
      </c>
      <c r="L234" s="77">
        <f t="shared" si="84"/>
        <v>0</v>
      </c>
      <c r="M234" s="77">
        <f t="shared" si="84"/>
        <v>0</v>
      </c>
      <c r="N234" s="77">
        <f t="shared" si="84"/>
        <v>0</v>
      </c>
      <c r="O234" s="77">
        <f t="shared" si="84"/>
        <v>0</v>
      </c>
      <c r="P234" s="77">
        <f t="shared" si="84"/>
        <v>0</v>
      </c>
      <c r="Q234" s="77">
        <f t="shared" si="84"/>
        <v>0</v>
      </c>
      <c r="R234" s="77">
        <f t="shared" si="84"/>
        <v>0</v>
      </c>
      <c r="S234" s="77">
        <f t="shared" si="84"/>
        <v>0</v>
      </c>
      <c r="T234" s="77">
        <f t="shared" si="84"/>
        <v>0</v>
      </c>
      <c r="U234" s="77">
        <f t="shared" si="84"/>
        <v>0</v>
      </c>
      <c r="V234" s="77">
        <f t="shared" si="84"/>
        <v>0</v>
      </c>
      <c r="W234" s="77">
        <f t="shared" si="84"/>
        <v>0</v>
      </c>
      <c r="X234" s="77">
        <f t="shared" si="84"/>
        <v>0</v>
      </c>
      <c r="Y234" s="77">
        <f t="shared" si="84"/>
        <v>0</v>
      </c>
      <c r="Z234" s="77">
        <f t="shared" si="84"/>
        <v>0</v>
      </c>
      <c r="AA234" s="77">
        <f t="shared" si="84"/>
        <v>0</v>
      </c>
      <c r="AB234" s="77">
        <f t="shared" si="84"/>
        <v>0</v>
      </c>
      <c r="AC234" s="77">
        <f t="shared" si="84"/>
        <v>0</v>
      </c>
      <c r="AD234" s="77">
        <f t="shared" si="84"/>
        <v>0</v>
      </c>
      <c r="AE234" s="77">
        <f t="shared" si="84"/>
        <v>0</v>
      </c>
      <c r="AF234" s="77">
        <f t="shared" si="84"/>
        <v>0</v>
      </c>
      <c r="AG234" s="77">
        <f t="shared" si="84"/>
        <v>0</v>
      </c>
      <c r="AH234" s="77">
        <f t="shared" si="84"/>
        <v>0</v>
      </c>
      <c r="AI234" s="77">
        <f t="shared" si="84"/>
        <v>0</v>
      </c>
      <c r="AJ234" s="77">
        <f t="shared" si="84"/>
        <v>11502400455</v>
      </c>
      <c r="AK234" s="77">
        <f t="shared" si="84"/>
        <v>11502400455</v>
      </c>
      <c r="AL234" s="77">
        <f t="shared" si="84"/>
        <v>0</v>
      </c>
      <c r="AM234" s="77">
        <f t="shared" si="84"/>
        <v>0</v>
      </c>
      <c r="AN234" s="77">
        <f t="shared" si="84"/>
        <v>0</v>
      </c>
      <c r="AO234" s="77">
        <f t="shared" si="84"/>
        <v>0</v>
      </c>
      <c r="AQ234" s="64"/>
      <c r="AR234" s="64"/>
    </row>
    <row r="235" spans="1:44" ht="13.8" thickBot="1" x14ac:dyDescent="0.3">
      <c r="A235" s="75" t="s">
        <v>364</v>
      </c>
      <c r="B235" s="87" t="s">
        <v>365</v>
      </c>
      <c r="C235" s="75">
        <f>SUM(D235+Y235+AE235+AJ235)</f>
        <v>2898919170</v>
      </c>
      <c r="D235" s="75">
        <f>SUM(E235:X235)</f>
        <v>0</v>
      </c>
      <c r="E235" s="75">
        <v>0</v>
      </c>
      <c r="F235" s="75">
        <v>0</v>
      </c>
      <c r="G235" s="75">
        <v>0</v>
      </c>
      <c r="H235" s="75">
        <v>0</v>
      </c>
      <c r="I235" s="75">
        <v>0</v>
      </c>
      <c r="J235" s="75">
        <v>0</v>
      </c>
      <c r="K235" s="75">
        <v>0</v>
      </c>
      <c r="L235" s="75">
        <v>0</v>
      </c>
      <c r="M235" s="75">
        <v>0</v>
      </c>
      <c r="N235" s="75">
        <v>0</v>
      </c>
      <c r="O235" s="75">
        <v>0</v>
      </c>
      <c r="P235" s="75">
        <v>0</v>
      </c>
      <c r="Q235" s="75">
        <v>0</v>
      </c>
      <c r="R235" s="75">
        <v>0</v>
      </c>
      <c r="S235" s="75">
        <v>0</v>
      </c>
      <c r="T235" s="75">
        <v>0</v>
      </c>
      <c r="U235" s="75">
        <v>0</v>
      </c>
      <c r="V235" s="75">
        <v>0</v>
      </c>
      <c r="W235" s="75">
        <v>0</v>
      </c>
      <c r="X235" s="75">
        <v>0</v>
      </c>
      <c r="Y235" s="75">
        <f>SUM(Z235:AD235)</f>
        <v>0</v>
      </c>
      <c r="Z235" s="75">
        <v>0</v>
      </c>
      <c r="AA235" s="75">
        <v>0</v>
      </c>
      <c r="AB235" s="75">
        <v>0</v>
      </c>
      <c r="AC235" s="75">
        <v>0</v>
      </c>
      <c r="AD235" s="75">
        <v>0</v>
      </c>
      <c r="AE235" s="75">
        <f>SUM(AF235:AI235)</f>
        <v>0</v>
      </c>
      <c r="AF235" s="75">
        <v>0</v>
      </c>
      <c r="AG235" s="75">
        <v>0</v>
      </c>
      <c r="AH235" s="75">
        <v>0</v>
      </c>
      <c r="AI235" s="75">
        <v>0</v>
      </c>
      <c r="AJ235" s="75">
        <f>SUM(AK235:AL235)</f>
        <v>2898919170</v>
      </c>
      <c r="AK235" s="75">
        <v>2898919170</v>
      </c>
      <c r="AL235" s="75">
        <f>SUM(AM235:AO235)</f>
        <v>0</v>
      </c>
      <c r="AM235" s="75">
        <v>0</v>
      </c>
      <c r="AN235" s="75">
        <v>0</v>
      </c>
      <c r="AO235" s="75">
        <v>0</v>
      </c>
    </row>
    <row r="236" spans="1:44" x14ac:dyDescent="0.25">
      <c r="A236" s="75" t="s">
        <v>366</v>
      </c>
      <c r="B236" s="87" t="s">
        <v>367</v>
      </c>
      <c r="C236" s="75">
        <f>SUM(D236+Y236+AE236+AJ236)</f>
        <v>8603481285</v>
      </c>
      <c r="D236" s="75">
        <f>SUM(E236:X236)</f>
        <v>0</v>
      </c>
      <c r="E236" s="75">
        <v>0</v>
      </c>
      <c r="F236" s="75">
        <v>0</v>
      </c>
      <c r="G236" s="75">
        <v>0</v>
      </c>
      <c r="H236" s="75">
        <v>0</v>
      </c>
      <c r="I236" s="75">
        <v>0</v>
      </c>
      <c r="J236" s="75">
        <v>0</v>
      </c>
      <c r="K236" s="75">
        <v>0</v>
      </c>
      <c r="L236" s="75">
        <v>0</v>
      </c>
      <c r="M236" s="75">
        <v>0</v>
      </c>
      <c r="N236" s="75">
        <v>0</v>
      </c>
      <c r="O236" s="75">
        <v>0</v>
      </c>
      <c r="P236" s="75">
        <v>0</v>
      </c>
      <c r="Q236" s="75">
        <v>0</v>
      </c>
      <c r="R236" s="75">
        <v>0</v>
      </c>
      <c r="S236" s="75">
        <v>0</v>
      </c>
      <c r="T236" s="75">
        <v>0</v>
      </c>
      <c r="U236" s="75">
        <v>0</v>
      </c>
      <c r="V236" s="75">
        <v>0</v>
      </c>
      <c r="W236" s="75">
        <v>0</v>
      </c>
      <c r="X236" s="75">
        <v>0</v>
      </c>
      <c r="Y236" s="75">
        <f>SUM(Z236:AD236)</f>
        <v>0</v>
      </c>
      <c r="Z236" s="75">
        <v>0</v>
      </c>
      <c r="AA236" s="75">
        <v>0</v>
      </c>
      <c r="AB236" s="75">
        <v>0</v>
      </c>
      <c r="AC236" s="75">
        <v>0</v>
      </c>
      <c r="AD236" s="75">
        <v>0</v>
      </c>
      <c r="AE236" s="75">
        <f>SUM(AF236:AI236)</f>
        <v>0</v>
      </c>
      <c r="AF236" s="75">
        <v>0</v>
      </c>
      <c r="AG236" s="75">
        <v>0</v>
      </c>
      <c r="AH236" s="75">
        <v>0</v>
      </c>
      <c r="AI236" s="75">
        <v>0</v>
      </c>
      <c r="AJ236" s="75">
        <f>SUM(AK236:AL236)</f>
        <v>8603481285</v>
      </c>
      <c r="AK236" s="68">
        <v>8603481285</v>
      </c>
      <c r="AL236" s="68">
        <f>SUM(AM236:AO236)</f>
        <v>0</v>
      </c>
      <c r="AM236" s="68">
        <v>0</v>
      </c>
      <c r="AN236" s="68">
        <v>0</v>
      </c>
      <c r="AO236" s="68">
        <v>0</v>
      </c>
    </row>
    <row r="237" spans="1:44" x14ac:dyDescent="0.25">
      <c r="A237" s="75"/>
      <c r="B237" s="87"/>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row>
    <row r="238" spans="1:44" x14ac:dyDescent="0.25">
      <c r="A238" s="90">
        <v>9</v>
      </c>
      <c r="B238" s="94" t="s">
        <v>368</v>
      </c>
      <c r="C238" s="77">
        <f>+C239</f>
        <v>2880000</v>
      </c>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7">
        <f>SUM(AJ239)</f>
        <v>2880000</v>
      </c>
      <c r="AK238" s="77">
        <f>SUM(AK239)</f>
        <v>2880000</v>
      </c>
      <c r="AL238" s="75"/>
      <c r="AM238" s="75"/>
      <c r="AN238" s="75"/>
      <c r="AO238" s="75"/>
    </row>
    <row r="239" spans="1:44" ht="13.8" thickBot="1" x14ac:dyDescent="0.3">
      <c r="A239" s="95" t="s">
        <v>369</v>
      </c>
      <c r="B239" s="96" t="s">
        <v>370</v>
      </c>
      <c r="C239" s="95">
        <f>SUM(D239+Y239+AE239+AJ239)</f>
        <v>2880000</v>
      </c>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f>+AK239</f>
        <v>2880000</v>
      </c>
      <c r="AK239" s="95">
        <v>2880000</v>
      </c>
      <c r="AL239" s="95"/>
      <c r="AM239" s="95"/>
      <c r="AN239" s="95"/>
      <c r="AO239" s="95"/>
    </row>
    <row r="240" spans="1:44" x14ac:dyDescent="0.25">
      <c r="S240" s="1" t="s">
        <v>406</v>
      </c>
    </row>
    <row r="241" spans="1:37" x14ac:dyDescent="0.25">
      <c r="A241" s="32" t="s">
        <v>624</v>
      </c>
      <c r="P241" s="64">
        <f>+C234</f>
        <v>11502400455</v>
      </c>
    </row>
    <row r="242" spans="1:37" x14ac:dyDescent="0.25">
      <c r="P242" s="64">
        <f>+'[6]Egresos por programa'!$C$246</f>
        <v>11315166767</v>
      </c>
      <c r="Q242" s="64">
        <f>P242*1.63%</f>
        <v>184437218.30209997</v>
      </c>
      <c r="AG242" s="64" t="s">
        <v>371</v>
      </c>
      <c r="AH242" s="64">
        <f>+AH227+AH228-35000000-40000000</f>
        <v>1775000000</v>
      </c>
    </row>
    <row r="243" spans="1:37" x14ac:dyDescent="0.25">
      <c r="O243" s="64">
        <f>C236/C176</f>
        <v>0.34335324714663196</v>
      </c>
      <c r="P243" s="97">
        <f>P242/P241</f>
        <v>0.98372220748768913</v>
      </c>
      <c r="Q243" s="64">
        <f>P242+Q242</f>
        <v>11499603985.302099</v>
      </c>
    </row>
    <row r="249" spans="1:37" x14ac:dyDescent="0.25">
      <c r="AK249" s="64">
        <f>+AK7-'[4]Ingresos 2025'!I6</f>
        <v>0</v>
      </c>
    </row>
    <row r="250" spans="1:37" x14ac:dyDescent="0.25">
      <c r="AG250" s="64" t="s">
        <v>372</v>
      </c>
      <c r="AH250" s="64" t="s">
        <v>373</v>
      </c>
    </row>
    <row r="252" spans="1:37" x14ac:dyDescent="0.25">
      <c r="C252" s="98"/>
    </row>
  </sheetData>
  <mergeCells count="2">
    <mergeCell ref="A1:AO1"/>
    <mergeCell ref="A2:AO5"/>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EDB6B-9DB9-4047-AA35-07EF179E51C0}">
  <sheetPr>
    <tabColor theme="6"/>
  </sheetPr>
  <dimension ref="A1:N68"/>
  <sheetViews>
    <sheetView tabSelected="1" topLeftCell="B1" zoomScale="70" zoomScaleNormal="70" workbookViewId="0">
      <selection activeCell="H85" sqref="H85"/>
    </sheetView>
  </sheetViews>
  <sheetFormatPr baseColWidth="10" defaultColWidth="12.109375" defaultRowHeight="13.2" x14ac:dyDescent="0.3"/>
  <cols>
    <col min="1" max="1" width="17.33203125" style="118" hidden="1" customWidth="1"/>
    <col min="2" max="2" width="33.5546875" style="118" customWidth="1"/>
    <col min="3" max="3" width="41.88671875" style="100" customWidth="1"/>
    <col min="4" max="4" width="42.6640625" style="100" customWidth="1"/>
    <col min="5" max="5" width="21.109375" style="99" customWidth="1"/>
    <col min="6" max="6" width="46.33203125" style="118" customWidth="1"/>
    <col min="7" max="10" width="13.21875" style="99" customWidth="1"/>
    <col min="11" max="11" width="24.5546875" style="99" customWidth="1"/>
    <col min="12" max="12" width="48.33203125" style="100" customWidth="1"/>
    <col min="13" max="13" width="24.33203125" style="100" customWidth="1"/>
    <col min="14" max="14" width="100.5546875" style="118" customWidth="1"/>
    <col min="15" max="16384" width="12.109375" style="100"/>
  </cols>
  <sheetData>
    <row r="1" spans="1:14" x14ac:dyDescent="0.3">
      <c r="A1" s="221"/>
      <c r="B1" s="221"/>
      <c r="C1" s="221"/>
      <c r="D1" s="221"/>
      <c r="E1" s="221"/>
      <c r="F1" s="221"/>
      <c r="G1" s="221"/>
      <c r="H1" s="221"/>
      <c r="I1" s="221"/>
      <c r="J1" s="221"/>
      <c r="K1" s="221"/>
      <c r="L1" s="221"/>
      <c r="M1" s="221"/>
      <c r="N1" s="221"/>
    </row>
    <row r="2" spans="1:14" ht="24.6" customHeight="1" x14ac:dyDescent="0.3">
      <c r="A2" s="221" t="s">
        <v>408</v>
      </c>
      <c r="B2" s="221"/>
      <c r="C2" s="221"/>
      <c r="D2" s="221"/>
      <c r="E2" s="221"/>
      <c r="F2" s="221"/>
      <c r="G2" s="221"/>
      <c r="H2" s="221"/>
      <c r="I2" s="221"/>
      <c r="J2" s="221"/>
      <c r="K2" s="221"/>
      <c r="L2" s="221"/>
      <c r="M2" s="221"/>
      <c r="N2" s="221"/>
    </row>
    <row r="3" spans="1:14" ht="24.6" customHeight="1" x14ac:dyDescent="0.3">
      <c r="A3" s="221" t="s">
        <v>409</v>
      </c>
      <c r="B3" s="221"/>
      <c r="C3" s="221"/>
      <c r="D3" s="221"/>
      <c r="E3" s="221"/>
      <c r="F3" s="221"/>
      <c r="G3" s="221"/>
      <c r="H3" s="221"/>
      <c r="I3" s="221"/>
      <c r="J3" s="221"/>
      <c r="K3" s="221"/>
      <c r="L3" s="221"/>
      <c r="M3" s="221"/>
      <c r="N3" s="221"/>
    </row>
    <row r="4" spans="1:14" ht="24.6" customHeight="1" x14ac:dyDescent="0.3">
      <c r="A4" s="221"/>
      <c r="B4" s="221"/>
      <c r="C4" s="221"/>
      <c r="D4" s="221"/>
      <c r="E4" s="221"/>
      <c r="F4" s="221"/>
      <c r="G4" s="221"/>
      <c r="H4" s="221"/>
      <c r="I4" s="221"/>
      <c r="J4" s="221"/>
      <c r="K4" s="221"/>
      <c r="L4" s="221"/>
      <c r="M4" s="221"/>
      <c r="N4" s="221"/>
    </row>
    <row r="5" spans="1:14" ht="13.8" thickBot="1" x14ac:dyDescent="0.35">
      <c r="A5" s="221"/>
      <c r="B5" s="221"/>
      <c r="C5" s="221"/>
      <c r="D5" s="221"/>
      <c r="E5" s="221"/>
      <c r="F5" s="221"/>
      <c r="G5" s="221"/>
      <c r="H5" s="221"/>
      <c r="I5" s="221"/>
      <c r="J5" s="221"/>
      <c r="K5" s="221"/>
      <c r="L5" s="221"/>
      <c r="M5" s="221"/>
      <c r="N5" s="221"/>
    </row>
    <row r="6" spans="1:14" s="99" customFormat="1" ht="30.6" customHeight="1" x14ac:dyDescent="0.3">
      <c r="A6" s="222" t="s">
        <v>410</v>
      </c>
      <c r="B6" s="224" t="s">
        <v>411</v>
      </c>
      <c r="C6" s="226" t="s">
        <v>412</v>
      </c>
      <c r="D6" s="226" t="s">
        <v>398</v>
      </c>
      <c r="E6" s="226" t="s">
        <v>622</v>
      </c>
      <c r="F6" s="226" t="s">
        <v>399</v>
      </c>
      <c r="G6" s="226" t="s">
        <v>413</v>
      </c>
      <c r="H6" s="226"/>
      <c r="I6" s="226"/>
      <c r="J6" s="226"/>
      <c r="K6" s="226" t="s">
        <v>623</v>
      </c>
      <c r="L6" s="226" t="s">
        <v>414</v>
      </c>
      <c r="M6" s="226" t="s">
        <v>415</v>
      </c>
      <c r="N6" s="228" t="s">
        <v>416</v>
      </c>
    </row>
    <row r="7" spans="1:14" s="99" customFormat="1" ht="30.6" customHeight="1" thickBot="1" x14ac:dyDescent="0.35">
      <c r="A7" s="223"/>
      <c r="B7" s="225"/>
      <c r="C7" s="227"/>
      <c r="D7" s="227"/>
      <c r="E7" s="227"/>
      <c r="F7" s="227"/>
      <c r="G7" s="173" t="s">
        <v>417</v>
      </c>
      <c r="H7" s="173" t="s">
        <v>418</v>
      </c>
      <c r="I7" s="173" t="s">
        <v>419</v>
      </c>
      <c r="J7" s="173" t="s">
        <v>420</v>
      </c>
      <c r="K7" s="227"/>
      <c r="L7" s="227"/>
      <c r="M7" s="227"/>
      <c r="N7" s="229"/>
    </row>
    <row r="8" spans="1:14" s="99" customFormat="1" ht="25.2" customHeight="1" x14ac:dyDescent="0.3">
      <c r="A8" s="230" t="s">
        <v>421</v>
      </c>
      <c r="B8" s="231"/>
      <c r="C8" s="231"/>
      <c r="D8" s="231"/>
      <c r="E8" s="231"/>
      <c r="F8" s="231"/>
      <c r="G8" s="231"/>
      <c r="H8" s="231"/>
      <c r="I8" s="231"/>
      <c r="J8" s="231"/>
      <c r="K8" s="231"/>
      <c r="L8" s="231"/>
      <c r="M8" s="231"/>
      <c r="N8" s="232"/>
    </row>
    <row r="9" spans="1:14" ht="86.4" customHeight="1" x14ac:dyDescent="0.3">
      <c r="A9" s="218" t="s">
        <v>422</v>
      </c>
      <c r="B9" s="219" t="s">
        <v>423</v>
      </c>
      <c r="C9" s="219" t="s">
        <v>424</v>
      </c>
      <c r="D9" s="105" t="s">
        <v>425</v>
      </c>
      <c r="E9" s="106" t="s">
        <v>402</v>
      </c>
      <c r="F9" s="172" t="s">
        <v>426</v>
      </c>
      <c r="G9" s="108"/>
      <c r="H9" s="108"/>
      <c r="I9" s="108"/>
      <c r="J9" s="108">
        <v>1</v>
      </c>
      <c r="K9" s="220">
        <f>+'Egresos 2025'!D7</f>
        <v>4851103500.9499998</v>
      </c>
      <c r="L9" s="105" t="s">
        <v>427</v>
      </c>
      <c r="M9" s="105" t="s">
        <v>0</v>
      </c>
      <c r="N9" s="110" t="s">
        <v>428</v>
      </c>
    </row>
    <row r="10" spans="1:14" ht="52.8" x14ac:dyDescent="0.3">
      <c r="A10" s="218"/>
      <c r="B10" s="219"/>
      <c r="C10" s="219"/>
      <c r="D10" s="105" t="s">
        <v>429</v>
      </c>
      <c r="E10" s="106" t="s">
        <v>402</v>
      </c>
      <c r="F10" s="107" t="s">
        <v>430</v>
      </c>
      <c r="G10" s="108"/>
      <c r="H10" s="108">
        <v>0.85</v>
      </c>
      <c r="I10" s="108"/>
      <c r="J10" s="108">
        <v>0.85</v>
      </c>
      <c r="K10" s="220"/>
      <c r="L10" s="105" t="s">
        <v>431</v>
      </c>
      <c r="M10" s="105" t="s">
        <v>432</v>
      </c>
      <c r="N10" s="110"/>
    </row>
    <row r="11" spans="1:14" ht="52.8" x14ac:dyDescent="0.3">
      <c r="A11" s="218"/>
      <c r="B11" s="219"/>
      <c r="C11" s="219"/>
      <c r="D11" s="105" t="s">
        <v>433</v>
      </c>
      <c r="E11" s="106" t="s">
        <v>402</v>
      </c>
      <c r="F11" s="107" t="s">
        <v>434</v>
      </c>
      <c r="G11" s="108"/>
      <c r="H11" s="108">
        <v>0.85</v>
      </c>
      <c r="I11" s="108"/>
      <c r="J11" s="108">
        <v>0.85</v>
      </c>
      <c r="K11" s="220"/>
      <c r="L11" s="105" t="s">
        <v>431</v>
      </c>
      <c r="M11" s="105" t="s">
        <v>432</v>
      </c>
      <c r="N11" s="110"/>
    </row>
    <row r="12" spans="1:14" ht="39.6" x14ac:dyDescent="0.3">
      <c r="A12" s="218"/>
      <c r="B12" s="219"/>
      <c r="C12" s="219"/>
      <c r="D12" s="105" t="s">
        <v>435</v>
      </c>
      <c r="E12" s="106" t="s">
        <v>402</v>
      </c>
      <c r="F12" s="107" t="s">
        <v>436</v>
      </c>
      <c r="G12" s="108"/>
      <c r="H12" s="108"/>
      <c r="I12" s="108"/>
      <c r="J12" s="108">
        <v>0.03</v>
      </c>
      <c r="K12" s="220"/>
      <c r="L12" s="105" t="s">
        <v>437</v>
      </c>
      <c r="M12" s="105" t="s">
        <v>438</v>
      </c>
      <c r="N12" s="110"/>
    </row>
    <row r="13" spans="1:14" ht="66" x14ac:dyDescent="0.3">
      <c r="A13" s="218"/>
      <c r="B13" s="219"/>
      <c r="C13" s="219"/>
      <c r="D13" s="105" t="s">
        <v>439</v>
      </c>
      <c r="E13" s="106" t="s">
        <v>404</v>
      </c>
      <c r="F13" s="110" t="s">
        <v>440</v>
      </c>
      <c r="G13" s="106"/>
      <c r="H13" s="106">
        <v>1</v>
      </c>
      <c r="I13" s="106">
        <v>1</v>
      </c>
      <c r="J13" s="106">
        <v>1</v>
      </c>
      <c r="K13" s="220"/>
      <c r="L13" s="105"/>
      <c r="M13" s="105" t="s">
        <v>441</v>
      </c>
      <c r="N13" s="110" t="s">
        <v>442</v>
      </c>
    </row>
    <row r="14" spans="1:14" ht="39.6" x14ac:dyDescent="0.3">
      <c r="A14" s="218"/>
      <c r="B14" s="219"/>
      <c r="C14" s="219"/>
      <c r="D14" s="105" t="s">
        <v>443</v>
      </c>
      <c r="E14" s="106" t="s">
        <v>402</v>
      </c>
      <c r="F14" s="110" t="s">
        <v>444</v>
      </c>
      <c r="G14" s="106"/>
      <c r="H14" s="106"/>
      <c r="I14" s="106"/>
      <c r="J14" s="133">
        <v>0.4</v>
      </c>
      <c r="K14" s="220"/>
      <c r="L14" s="105" t="s">
        <v>445</v>
      </c>
      <c r="M14" s="105" t="s">
        <v>446</v>
      </c>
      <c r="N14" s="110"/>
    </row>
    <row r="15" spans="1:14" ht="52.8" x14ac:dyDescent="0.3">
      <c r="A15" s="218"/>
      <c r="B15" s="219"/>
      <c r="C15" s="219"/>
      <c r="D15" s="105" t="s">
        <v>447</v>
      </c>
      <c r="E15" s="106" t="s">
        <v>404</v>
      </c>
      <c r="F15" s="110" t="s">
        <v>448</v>
      </c>
      <c r="G15" s="106"/>
      <c r="H15" s="106"/>
      <c r="I15" s="106"/>
      <c r="J15" s="106">
        <v>25</v>
      </c>
      <c r="K15" s="220"/>
      <c r="L15" s="105" t="s">
        <v>445</v>
      </c>
      <c r="M15" s="105" t="s">
        <v>446</v>
      </c>
      <c r="N15" s="110"/>
    </row>
    <row r="16" spans="1:14" ht="58.2" customHeight="1" x14ac:dyDescent="0.3">
      <c r="A16" s="218"/>
      <c r="B16" s="219"/>
      <c r="C16" s="219"/>
      <c r="D16" s="105" t="s">
        <v>449</v>
      </c>
      <c r="E16" s="106" t="s">
        <v>402</v>
      </c>
      <c r="F16" s="110" t="s">
        <v>450</v>
      </c>
      <c r="G16" s="133"/>
      <c r="H16" s="133"/>
      <c r="I16" s="133"/>
      <c r="J16" s="133">
        <v>0.25</v>
      </c>
      <c r="K16" s="220"/>
      <c r="L16" s="105" t="s">
        <v>451</v>
      </c>
      <c r="M16" s="105" t="s">
        <v>452</v>
      </c>
      <c r="N16" s="110"/>
    </row>
    <row r="17" spans="1:14" ht="17.399999999999999" customHeight="1" thickBot="1" x14ac:dyDescent="0.35">
      <c r="A17" s="165"/>
      <c r="B17" s="165"/>
      <c r="C17" s="165"/>
      <c r="G17" s="170"/>
      <c r="H17" s="170"/>
      <c r="I17" s="170"/>
      <c r="J17" s="170"/>
      <c r="K17" s="171"/>
    </row>
    <row r="18" spans="1:14" ht="30" customHeight="1" x14ac:dyDescent="0.3">
      <c r="A18" s="165"/>
      <c r="B18" s="224" t="s">
        <v>411</v>
      </c>
      <c r="C18" s="226" t="s">
        <v>412</v>
      </c>
      <c r="D18" s="226" t="s">
        <v>398</v>
      </c>
      <c r="E18" s="226" t="s">
        <v>622</v>
      </c>
      <c r="F18" s="226" t="s">
        <v>399</v>
      </c>
      <c r="G18" s="226" t="s">
        <v>413</v>
      </c>
      <c r="H18" s="226"/>
      <c r="I18" s="226"/>
      <c r="J18" s="226"/>
      <c r="K18" s="226" t="s">
        <v>623</v>
      </c>
      <c r="L18" s="226" t="s">
        <v>414</v>
      </c>
      <c r="M18" s="226" t="s">
        <v>415</v>
      </c>
      <c r="N18" s="228" t="s">
        <v>416</v>
      </c>
    </row>
    <row r="19" spans="1:14" ht="30" customHeight="1" thickBot="1" x14ac:dyDescent="0.35">
      <c r="A19" s="165"/>
      <c r="B19" s="225"/>
      <c r="C19" s="227"/>
      <c r="D19" s="227"/>
      <c r="E19" s="227"/>
      <c r="F19" s="227"/>
      <c r="G19" s="173" t="s">
        <v>417</v>
      </c>
      <c r="H19" s="173" t="s">
        <v>418</v>
      </c>
      <c r="I19" s="173" t="s">
        <v>419</v>
      </c>
      <c r="J19" s="173" t="s">
        <v>420</v>
      </c>
      <c r="K19" s="227"/>
      <c r="L19" s="227"/>
      <c r="M19" s="227"/>
      <c r="N19" s="229"/>
    </row>
    <row r="20" spans="1:14" s="118" customFormat="1" ht="25.8" customHeight="1" thickBot="1" x14ac:dyDescent="0.35">
      <c r="A20" s="239" t="s">
        <v>453</v>
      </c>
      <c r="B20" s="231"/>
      <c r="C20" s="231"/>
      <c r="D20" s="231"/>
      <c r="E20" s="231"/>
      <c r="F20" s="231"/>
      <c r="G20" s="231"/>
      <c r="H20" s="231"/>
      <c r="I20" s="231"/>
      <c r="J20" s="231"/>
      <c r="K20" s="231"/>
      <c r="L20" s="231"/>
      <c r="M20" s="231"/>
      <c r="N20" s="232"/>
    </row>
    <row r="21" spans="1:14" ht="145.19999999999999" x14ac:dyDescent="0.3">
      <c r="A21" s="218" t="s">
        <v>454</v>
      </c>
      <c r="B21" s="240" t="s">
        <v>455</v>
      </c>
      <c r="C21" s="119" t="s">
        <v>456</v>
      </c>
      <c r="D21" s="120" t="s">
        <v>457</v>
      </c>
      <c r="E21" s="121" t="s">
        <v>402</v>
      </c>
      <c r="F21" s="122" t="s">
        <v>458</v>
      </c>
      <c r="G21" s="123">
        <v>0.25</v>
      </c>
      <c r="H21" s="123">
        <v>0.05</v>
      </c>
      <c r="I21" s="123">
        <v>0.2</v>
      </c>
      <c r="J21" s="123">
        <v>0.05</v>
      </c>
      <c r="K21" s="243">
        <f>+'Egresos 2025'!Y7</f>
        <v>2846865987</v>
      </c>
      <c r="L21" s="124" t="s">
        <v>459</v>
      </c>
      <c r="M21" s="119" t="s">
        <v>460</v>
      </c>
      <c r="N21" s="125" t="s">
        <v>461</v>
      </c>
    </row>
    <row r="22" spans="1:14" ht="145.19999999999999" x14ac:dyDescent="0.3">
      <c r="A22" s="218"/>
      <c r="B22" s="241"/>
      <c r="C22" s="105" t="s">
        <v>462</v>
      </c>
      <c r="D22" s="126" t="s">
        <v>463</v>
      </c>
      <c r="E22" s="127" t="s">
        <v>402</v>
      </c>
      <c r="F22" s="128" t="s">
        <v>464</v>
      </c>
      <c r="G22" s="129">
        <v>0.1</v>
      </c>
      <c r="H22" s="129">
        <v>0.1</v>
      </c>
      <c r="I22" s="129">
        <v>0.2</v>
      </c>
      <c r="J22" s="129">
        <v>0.3</v>
      </c>
      <c r="K22" s="244"/>
      <c r="L22" s="126" t="s">
        <v>465</v>
      </c>
      <c r="M22" s="126" t="s">
        <v>460</v>
      </c>
      <c r="N22" s="130" t="s">
        <v>466</v>
      </c>
    </row>
    <row r="23" spans="1:14" ht="92.4" x14ac:dyDescent="0.3">
      <c r="A23" s="218"/>
      <c r="B23" s="241"/>
      <c r="C23" s="105" t="s">
        <v>467</v>
      </c>
      <c r="D23" s="126" t="s">
        <v>468</v>
      </c>
      <c r="E23" s="127" t="s">
        <v>402</v>
      </c>
      <c r="F23" s="128" t="s">
        <v>469</v>
      </c>
      <c r="G23" s="129">
        <v>0.2</v>
      </c>
      <c r="H23" s="129">
        <v>0.35</v>
      </c>
      <c r="I23" s="131"/>
      <c r="J23" s="129"/>
      <c r="K23" s="244"/>
      <c r="L23" s="126" t="s">
        <v>470</v>
      </c>
      <c r="M23" s="126" t="s">
        <v>460</v>
      </c>
      <c r="N23" s="130" t="s">
        <v>471</v>
      </c>
    </row>
    <row r="24" spans="1:14" ht="52.8" x14ac:dyDescent="0.3">
      <c r="A24" s="218"/>
      <c r="B24" s="241"/>
      <c r="C24" s="105" t="s">
        <v>472</v>
      </c>
      <c r="D24" s="126" t="s">
        <v>473</v>
      </c>
      <c r="E24" s="127" t="s">
        <v>402</v>
      </c>
      <c r="F24" s="132" t="s">
        <v>474</v>
      </c>
      <c r="G24" s="106">
        <v>1.5</v>
      </c>
      <c r="H24" s="106">
        <v>1.5</v>
      </c>
      <c r="I24" s="106">
        <v>1.5</v>
      </c>
      <c r="J24" s="106">
        <v>1.5</v>
      </c>
      <c r="K24" s="244"/>
      <c r="L24" s="126" t="s">
        <v>475</v>
      </c>
      <c r="M24" s="126" t="s">
        <v>476</v>
      </c>
      <c r="N24" s="130"/>
    </row>
    <row r="25" spans="1:14" ht="92.4" x14ac:dyDescent="0.3">
      <c r="A25" s="218"/>
      <c r="B25" s="241"/>
      <c r="C25" s="105" t="s">
        <v>477</v>
      </c>
      <c r="D25" s="132" t="s">
        <v>478</v>
      </c>
      <c r="E25" s="127" t="s">
        <v>402</v>
      </c>
      <c r="F25" s="132" t="s">
        <v>479</v>
      </c>
      <c r="G25" s="133">
        <v>1</v>
      </c>
      <c r="H25" s="133">
        <v>1</v>
      </c>
      <c r="I25" s="133">
        <v>1</v>
      </c>
      <c r="J25" s="133">
        <v>1</v>
      </c>
      <c r="K25" s="244"/>
      <c r="L25" s="126" t="s">
        <v>480</v>
      </c>
      <c r="M25" s="126" t="s">
        <v>476</v>
      </c>
      <c r="N25" s="130" t="s">
        <v>401</v>
      </c>
    </row>
    <row r="26" spans="1:14" ht="66" x14ac:dyDescent="0.3">
      <c r="A26" s="218"/>
      <c r="B26" s="241"/>
      <c r="C26" s="105" t="s">
        <v>481</v>
      </c>
      <c r="D26" s="105" t="s">
        <v>482</v>
      </c>
      <c r="E26" s="127" t="s">
        <v>402</v>
      </c>
      <c r="F26" s="110" t="s">
        <v>483</v>
      </c>
      <c r="G26" s="106" t="s">
        <v>484</v>
      </c>
      <c r="H26" s="106" t="s">
        <v>484</v>
      </c>
      <c r="I26" s="106" t="s">
        <v>484</v>
      </c>
      <c r="J26" s="106" t="s">
        <v>484</v>
      </c>
      <c r="K26" s="244"/>
      <c r="L26" s="126" t="s">
        <v>485</v>
      </c>
      <c r="M26" s="126" t="s">
        <v>476</v>
      </c>
      <c r="N26" s="109" t="s">
        <v>486</v>
      </c>
    </row>
    <row r="27" spans="1:14" ht="79.2" x14ac:dyDescent="0.3">
      <c r="A27" s="218"/>
      <c r="B27" s="241"/>
      <c r="C27" s="105" t="s">
        <v>487</v>
      </c>
      <c r="D27" s="105" t="s">
        <v>488</v>
      </c>
      <c r="E27" s="127" t="s">
        <v>402</v>
      </c>
      <c r="F27" s="110" t="s">
        <v>489</v>
      </c>
      <c r="G27" s="106">
        <v>15</v>
      </c>
      <c r="H27" s="106">
        <v>15</v>
      </c>
      <c r="I27" s="106">
        <v>15</v>
      </c>
      <c r="J27" s="106">
        <v>15</v>
      </c>
      <c r="K27" s="244"/>
      <c r="L27" s="105" t="s">
        <v>490</v>
      </c>
      <c r="M27" s="105" t="s">
        <v>491</v>
      </c>
      <c r="N27" s="109" t="s">
        <v>492</v>
      </c>
    </row>
    <row r="28" spans="1:14" ht="92.4" x14ac:dyDescent="0.3">
      <c r="A28" s="218"/>
      <c r="B28" s="241"/>
      <c r="C28" s="105" t="s">
        <v>493</v>
      </c>
      <c r="D28" s="105" t="s">
        <v>494</v>
      </c>
      <c r="E28" s="127" t="s">
        <v>402</v>
      </c>
      <c r="F28" s="110" t="s">
        <v>489</v>
      </c>
      <c r="G28" s="106">
        <v>15</v>
      </c>
      <c r="H28" s="106">
        <v>15</v>
      </c>
      <c r="I28" s="106">
        <v>15</v>
      </c>
      <c r="J28" s="106">
        <v>15</v>
      </c>
      <c r="K28" s="244"/>
      <c r="L28" s="105" t="s">
        <v>490</v>
      </c>
      <c r="M28" s="105" t="s">
        <v>491</v>
      </c>
      <c r="N28" s="109" t="s">
        <v>495</v>
      </c>
    </row>
    <row r="29" spans="1:14" ht="118.8" x14ac:dyDescent="0.3">
      <c r="A29" s="218"/>
      <c r="B29" s="241"/>
      <c r="C29" s="105" t="s">
        <v>496</v>
      </c>
      <c r="D29" s="105" t="s">
        <v>497</v>
      </c>
      <c r="E29" s="127" t="s">
        <v>403</v>
      </c>
      <c r="F29" s="110" t="s">
        <v>498</v>
      </c>
      <c r="G29" s="108">
        <v>1</v>
      </c>
      <c r="H29" s="108">
        <v>1</v>
      </c>
      <c r="I29" s="108">
        <v>1</v>
      </c>
      <c r="J29" s="108">
        <v>1</v>
      </c>
      <c r="K29" s="244"/>
      <c r="L29" s="105" t="s">
        <v>499</v>
      </c>
      <c r="M29" s="105" t="s">
        <v>500</v>
      </c>
      <c r="N29" s="109" t="s">
        <v>501</v>
      </c>
    </row>
    <row r="30" spans="1:14" ht="79.2" x14ac:dyDescent="0.3">
      <c r="A30" s="218"/>
      <c r="B30" s="241"/>
      <c r="C30" s="105" t="s">
        <v>502</v>
      </c>
      <c r="D30" s="105" t="s">
        <v>503</v>
      </c>
      <c r="E30" s="106" t="s">
        <v>402</v>
      </c>
      <c r="F30" s="134" t="s">
        <v>504</v>
      </c>
      <c r="G30" s="108">
        <v>1</v>
      </c>
      <c r="H30" s="108">
        <v>1</v>
      </c>
      <c r="I30" s="108">
        <v>1</v>
      </c>
      <c r="J30" s="108">
        <v>1</v>
      </c>
      <c r="K30" s="245"/>
      <c r="L30" s="105" t="s">
        <v>505</v>
      </c>
      <c r="M30" s="105" t="s">
        <v>500</v>
      </c>
      <c r="N30" s="114" t="s">
        <v>506</v>
      </c>
    </row>
    <row r="31" spans="1:14" ht="105.6" x14ac:dyDescent="0.3">
      <c r="A31" s="218"/>
      <c r="B31" s="241"/>
      <c r="C31" s="135" t="s">
        <v>507</v>
      </c>
      <c r="D31" s="136" t="s">
        <v>508</v>
      </c>
      <c r="E31" s="137" t="s">
        <v>402</v>
      </c>
      <c r="F31" s="138" t="s">
        <v>509</v>
      </c>
      <c r="G31" s="139">
        <v>0.1</v>
      </c>
      <c r="H31" s="139">
        <v>0.2</v>
      </c>
      <c r="I31" s="139">
        <v>0.2</v>
      </c>
      <c r="J31" s="139">
        <v>0.5</v>
      </c>
      <c r="K31" s="245"/>
      <c r="L31" s="126" t="s">
        <v>510</v>
      </c>
      <c r="M31" s="126" t="s">
        <v>476</v>
      </c>
      <c r="N31" s="114"/>
    </row>
    <row r="32" spans="1:14" ht="92.4" x14ac:dyDescent="0.3">
      <c r="A32" s="218"/>
      <c r="B32" s="241"/>
      <c r="C32" s="140" t="s">
        <v>511</v>
      </c>
      <c r="D32" s="140" t="s">
        <v>512</v>
      </c>
      <c r="E32" s="141" t="s">
        <v>402</v>
      </c>
      <c r="F32" s="142" t="s">
        <v>513</v>
      </c>
      <c r="G32" s="143">
        <v>0.25</v>
      </c>
      <c r="H32" s="143">
        <v>0.25</v>
      </c>
      <c r="I32" s="143">
        <v>0.25</v>
      </c>
      <c r="J32" s="143">
        <v>0.25</v>
      </c>
      <c r="K32" s="245"/>
      <c r="L32" s="111" t="s">
        <v>514</v>
      </c>
      <c r="M32" s="111" t="s">
        <v>500</v>
      </c>
      <c r="N32" s="114"/>
    </row>
    <row r="33" spans="1:14" ht="78.599999999999994" customHeight="1" x14ac:dyDescent="0.3">
      <c r="A33" s="218"/>
      <c r="B33" s="242"/>
      <c r="C33" s="105" t="s">
        <v>515</v>
      </c>
      <c r="D33" s="105" t="s">
        <v>516</v>
      </c>
      <c r="E33" s="127" t="s">
        <v>402</v>
      </c>
      <c r="F33" s="110" t="s">
        <v>517</v>
      </c>
      <c r="G33" s="108"/>
      <c r="H33" s="108"/>
      <c r="I33" s="108">
        <v>0.5</v>
      </c>
      <c r="J33" s="108">
        <v>0.5</v>
      </c>
      <c r="K33" s="244"/>
      <c r="L33" s="105" t="s">
        <v>518</v>
      </c>
      <c r="M33" s="105" t="s">
        <v>500</v>
      </c>
      <c r="N33" s="109"/>
    </row>
    <row r="34" spans="1:14" ht="21.6" customHeight="1" thickBot="1" x14ac:dyDescent="0.35"/>
    <row r="35" spans="1:14" ht="31.2" customHeight="1" x14ac:dyDescent="0.3">
      <c r="A35" s="176"/>
      <c r="B35" s="224" t="s">
        <v>411</v>
      </c>
      <c r="C35" s="226" t="s">
        <v>412</v>
      </c>
      <c r="D35" s="226" t="s">
        <v>398</v>
      </c>
      <c r="E35" s="226" t="s">
        <v>622</v>
      </c>
      <c r="F35" s="226" t="s">
        <v>399</v>
      </c>
      <c r="G35" s="226" t="s">
        <v>413</v>
      </c>
      <c r="H35" s="226"/>
      <c r="I35" s="226"/>
      <c r="J35" s="226"/>
      <c r="K35" s="226" t="s">
        <v>623</v>
      </c>
      <c r="L35" s="226" t="s">
        <v>414</v>
      </c>
      <c r="M35" s="226" t="s">
        <v>415</v>
      </c>
      <c r="N35" s="228" t="s">
        <v>416</v>
      </c>
    </row>
    <row r="36" spans="1:14" ht="31.2" customHeight="1" thickBot="1" x14ac:dyDescent="0.35">
      <c r="A36" s="162"/>
      <c r="B36" s="225"/>
      <c r="C36" s="227"/>
      <c r="D36" s="227"/>
      <c r="E36" s="227"/>
      <c r="F36" s="227"/>
      <c r="G36" s="173" t="s">
        <v>417</v>
      </c>
      <c r="H36" s="173" t="s">
        <v>418</v>
      </c>
      <c r="I36" s="173" t="s">
        <v>419</v>
      </c>
      <c r="J36" s="173" t="s">
        <v>420</v>
      </c>
      <c r="K36" s="227"/>
      <c r="L36" s="227"/>
      <c r="M36" s="227"/>
      <c r="N36" s="229"/>
    </row>
    <row r="37" spans="1:14" s="118" customFormat="1" ht="23.4" customHeight="1" thickBot="1" x14ac:dyDescent="0.35">
      <c r="A37" s="230" t="s">
        <v>519</v>
      </c>
      <c r="B37" s="231"/>
      <c r="C37" s="231"/>
      <c r="D37" s="231"/>
      <c r="E37" s="231"/>
      <c r="F37" s="231"/>
      <c r="G37" s="231"/>
      <c r="H37" s="231"/>
      <c r="I37" s="231"/>
      <c r="J37" s="231"/>
      <c r="K37" s="231"/>
      <c r="L37" s="231"/>
      <c r="M37" s="231"/>
      <c r="N37" s="232"/>
    </row>
    <row r="38" spans="1:14" ht="145.19999999999999" x14ac:dyDescent="0.3">
      <c r="A38" s="218"/>
      <c r="B38" s="240" t="s">
        <v>520</v>
      </c>
      <c r="C38" s="102" t="s">
        <v>521</v>
      </c>
      <c r="D38" s="102" t="s">
        <v>522</v>
      </c>
      <c r="E38" s="103" t="s">
        <v>402</v>
      </c>
      <c r="F38" s="119" t="s">
        <v>523</v>
      </c>
      <c r="G38" s="145">
        <v>0.19</v>
      </c>
      <c r="H38" s="145">
        <v>0.44</v>
      </c>
      <c r="I38" s="145">
        <v>0.2</v>
      </c>
      <c r="J38" s="146">
        <v>0.17</v>
      </c>
      <c r="K38" s="248">
        <f>+'Egresos 2025'!AE7</f>
        <v>4053089651</v>
      </c>
      <c r="L38" s="102" t="s">
        <v>524</v>
      </c>
      <c r="M38" s="102" t="s">
        <v>525</v>
      </c>
      <c r="N38" s="104"/>
    </row>
    <row r="39" spans="1:14" ht="158.4" x14ac:dyDescent="0.3">
      <c r="A39" s="218"/>
      <c r="B39" s="241"/>
      <c r="C39" s="147" t="s">
        <v>526</v>
      </c>
      <c r="D39" s="148" t="s">
        <v>621</v>
      </c>
      <c r="E39" s="112" t="s">
        <v>402</v>
      </c>
      <c r="F39" s="113" t="s">
        <v>527</v>
      </c>
      <c r="G39" s="149">
        <v>0.25</v>
      </c>
      <c r="H39" s="149">
        <v>0.4</v>
      </c>
      <c r="I39" s="149">
        <v>0.2</v>
      </c>
      <c r="J39" s="149">
        <v>0.15</v>
      </c>
      <c r="K39" s="249"/>
      <c r="L39" s="105" t="s">
        <v>528</v>
      </c>
      <c r="M39" s="105" t="s">
        <v>525</v>
      </c>
      <c r="N39" s="109"/>
    </row>
    <row r="40" spans="1:14" ht="79.2" x14ac:dyDescent="0.3">
      <c r="A40" s="218"/>
      <c r="B40" s="241"/>
      <c r="C40" s="105" t="s">
        <v>529</v>
      </c>
      <c r="D40" s="105" t="s">
        <v>530</v>
      </c>
      <c r="E40" s="106" t="s">
        <v>402</v>
      </c>
      <c r="F40" s="105" t="s">
        <v>531</v>
      </c>
      <c r="G40" s="133">
        <v>0.4</v>
      </c>
      <c r="H40" s="133">
        <v>0.45</v>
      </c>
      <c r="I40" s="133"/>
      <c r="J40" s="133"/>
      <c r="K40" s="249"/>
      <c r="L40" s="105" t="s">
        <v>532</v>
      </c>
      <c r="M40" s="105" t="s">
        <v>525</v>
      </c>
      <c r="N40" s="130" t="s">
        <v>533</v>
      </c>
    </row>
    <row r="41" spans="1:14" ht="92.4" x14ac:dyDescent="0.3">
      <c r="A41" s="218"/>
      <c r="B41" s="241"/>
      <c r="C41" s="105" t="s">
        <v>534</v>
      </c>
      <c r="D41" s="140" t="s">
        <v>535</v>
      </c>
      <c r="E41" s="106" t="s">
        <v>402</v>
      </c>
      <c r="F41" s="150" t="s">
        <v>536</v>
      </c>
      <c r="G41" s="133">
        <v>0.3</v>
      </c>
      <c r="H41" s="133">
        <v>0.3</v>
      </c>
      <c r="I41" s="133">
        <v>0.25</v>
      </c>
      <c r="J41" s="133">
        <v>0.15</v>
      </c>
      <c r="K41" s="249"/>
      <c r="L41" s="105" t="s">
        <v>537</v>
      </c>
      <c r="M41" s="105" t="s">
        <v>538</v>
      </c>
      <c r="N41" s="109"/>
    </row>
    <row r="42" spans="1:14" ht="132" x14ac:dyDescent="0.3">
      <c r="A42" s="218"/>
      <c r="B42" s="241"/>
      <c r="C42" s="105" t="s">
        <v>539</v>
      </c>
      <c r="D42" s="151" t="s">
        <v>540</v>
      </c>
      <c r="E42" s="106" t="s">
        <v>404</v>
      </c>
      <c r="F42" s="151" t="s">
        <v>541</v>
      </c>
      <c r="G42" s="106">
        <v>510</v>
      </c>
      <c r="H42" s="106">
        <v>510</v>
      </c>
      <c r="I42" s="106">
        <v>510</v>
      </c>
      <c r="J42" s="106">
        <v>510</v>
      </c>
      <c r="K42" s="249"/>
      <c r="L42" s="110" t="s">
        <v>542</v>
      </c>
      <c r="M42" s="110" t="s">
        <v>543</v>
      </c>
      <c r="N42" s="152" t="s">
        <v>544</v>
      </c>
    </row>
    <row r="43" spans="1:14" ht="66" x14ac:dyDescent="0.3">
      <c r="A43" s="218"/>
      <c r="B43" s="241"/>
      <c r="C43" s="105" t="s">
        <v>545</v>
      </c>
      <c r="D43" s="151" t="s">
        <v>546</v>
      </c>
      <c r="E43" s="106" t="s">
        <v>547</v>
      </c>
      <c r="F43" s="151" t="s">
        <v>548</v>
      </c>
      <c r="G43" s="153">
        <v>54</v>
      </c>
      <c r="H43" s="153">
        <v>54</v>
      </c>
      <c r="I43" s="153">
        <v>54</v>
      </c>
      <c r="J43" s="153">
        <v>54</v>
      </c>
      <c r="K43" s="249"/>
      <c r="L43" s="110" t="s">
        <v>549</v>
      </c>
      <c r="M43" s="105" t="s">
        <v>550</v>
      </c>
      <c r="N43" s="109" t="s">
        <v>551</v>
      </c>
    </row>
    <row r="44" spans="1:14" ht="92.4" x14ac:dyDescent="0.3">
      <c r="A44" s="218"/>
      <c r="B44" s="241"/>
      <c r="C44" s="105" t="s">
        <v>552</v>
      </c>
      <c r="D44" s="105" t="s">
        <v>553</v>
      </c>
      <c r="E44" s="106" t="s">
        <v>404</v>
      </c>
      <c r="F44" s="151" t="s">
        <v>554</v>
      </c>
      <c r="G44" s="154">
        <v>40</v>
      </c>
      <c r="H44" s="154">
        <v>40</v>
      </c>
      <c r="I44" s="154">
        <v>40</v>
      </c>
      <c r="J44" s="154">
        <v>40</v>
      </c>
      <c r="K44" s="249"/>
      <c r="L44" s="105" t="s">
        <v>555</v>
      </c>
      <c r="M44" s="105" t="s">
        <v>550</v>
      </c>
      <c r="N44" s="109" t="s">
        <v>556</v>
      </c>
    </row>
    <row r="45" spans="1:14" ht="66" x14ac:dyDescent="0.3">
      <c r="A45" s="218"/>
      <c r="B45" s="241"/>
      <c r="C45" s="105" t="s">
        <v>557</v>
      </c>
      <c r="D45" s="105" t="s">
        <v>558</v>
      </c>
      <c r="E45" s="106" t="s">
        <v>547</v>
      </c>
      <c r="F45" s="155" t="s">
        <v>559</v>
      </c>
      <c r="G45" s="153">
        <v>408</v>
      </c>
      <c r="H45" s="153">
        <v>465</v>
      </c>
      <c r="I45" s="153">
        <v>465</v>
      </c>
      <c r="J45" s="153">
        <v>442</v>
      </c>
      <c r="K45" s="249"/>
      <c r="L45" s="105" t="s">
        <v>560</v>
      </c>
      <c r="M45" s="105" t="s">
        <v>561</v>
      </c>
      <c r="N45" s="109" t="s">
        <v>562</v>
      </c>
    </row>
    <row r="46" spans="1:14" ht="66" x14ac:dyDescent="0.3">
      <c r="A46" s="218"/>
      <c r="B46" s="241"/>
      <c r="C46" s="105" t="s">
        <v>563</v>
      </c>
      <c r="D46" s="105" t="s">
        <v>564</v>
      </c>
      <c r="E46" s="106" t="s">
        <v>565</v>
      </c>
      <c r="F46" s="134" t="s">
        <v>566</v>
      </c>
      <c r="G46" s="106" t="s">
        <v>405</v>
      </c>
      <c r="H46" s="106" t="s">
        <v>405</v>
      </c>
      <c r="I46" s="106" t="s">
        <v>405</v>
      </c>
      <c r="J46" s="106" t="s">
        <v>405</v>
      </c>
      <c r="K46" s="249"/>
      <c r="L46" s="105" t="s">
        <v>567</v>
      </c>
      <c r="M46" s="105" t="s">
        <v>561</v>
      </c>
      <c r="N46" s="109" t="s">
        <v>568</v>
      </c>
    </row>
    <row r="47" spans="1:14" ht="79.2" x14ac:dyDescent="0.3">
      <c r="A47" s="218"/>
      <c r="B47" s="241"/>
      <c r="C47" s="156" t="s">
        <v>569</v>
      </c>
      <c r="D47" s="156" t="s">
        <v>570</v>
      </c>
      <c r="E47" s="157" t="s">
        <v>402</v>
      </c>
      <c r="F47" s="158" t="s">
        <v>571</v>
      </c>
      <c r="G47" s="159">
        <v>0.4</v>
      </c>
      <c r="H47" s="159">
        <v>0.2</v>
      </c>
      <c r="I47" s="159">
        <v>0.2</v>
      </c>
      <c r="J47" s="159">
        <v>0.2</v>
      </c>
      <c r="K47" s="249"/>
      <c r="L47" s="105" t="s">
        <v>572</v>
      </c>
      <c r="M47" s="105" t="s">
        <v>525</v>
      </c>
      <c r="N47" s="109"/>
    </row>
    <row r="48" spans="1:14" ht="79.2" x14ac:dyDescent="0.3">
      <c r="A48" s="218"/>
      <c r="B48" s="241"/>
      <c r="C48" s="111" t="s">
        <v>573</v>
      </c>
      <c r="D48" s="111" t="s">
        <v>574</v>
      </c>
      <c r="E48" s="112" t="s">
        <v>402</v>
      </c>
      <c r="F48" s="160" t="s">
        <v>575</v>
      </c>
      <c r="G48" s="161"/>
      <c r="H48" s="161"/>
      <c r="I48" s="159">
        <v>0.5</v>
      </c>
      <c r="J48" s="159">
        <v>0.5</v>
      </c>
      <c r="K48" s="249"/>
      <c r="L48" s="105" t="s">
        <v>576</v>
      </c>
      <c r="M48" s="111" t="s">
        <v>525</v>
      </c>
      <c r="N48" s="114"/>
    </row>
    <row r="49" spans="1:14" ht="66" x14ac:dyDescent="0.3">
      <c r="A49" s="218"/>
      <c r="B49" s="242"/>
      <c r="C49" s="105" t="s">
        <v>577</v>
      </c>
      <c r="D49" s="105" t="s">
        <v>578</v>
      </c>
      <c r="E49" s="106" t="s">
        <v>404</v>
      </c>
      <c r="F49" s="105" t="s">
        <v>579</v>
      </c>
      <c r="G49" s="106"/>
      <c r="H49" s="106">
        <v>1</v>
      </c>
      <c r="I49" s="106">
        <v>1</v>
      </c>
      <c r="J49" s="106">
        <v>1</v>
      </c>
      <c r="K49" s="250"/>
      <c r="L49" s="105" t="s">
        <v>580</v>
      </c>
      <c r="M49" s="105" t="s">
        <v>525</v>
      </c>
      <c r="N49" s="109"/>
    </row>
    <row r="50" spans="1:14" ht="24" customHeight="1" x14ac:dyDescent="0.3">
      <c r="A50" s="183"/>
      <c r="B50" s="174"/>
      <c r="F50" s="100"/>
      <c r="K50" s="175"/>
    </row>
    <row r="51" spans="1:14" ht="31.2" customHeight="1" x14ac:dyDescent="0.3">
      <c r="A51" s="164"/>
      <c r="B51" s="246" t="s">
        <v>411</v>
      </c>
      <c r="C51" s="246" t="s">
        <v>412</v>
      </c>
      <c r="D51" s="246" t="s">
        <v>398</v>
      </c>
      <c r="E51" s="246" t="s">
        <v>622</v>
      </c>
      <c r="F51" s="246" t="s">
        <v>399</v>
      </c>
      <c r="G51" s="246" t="s">
        <v>413</v>
      </c>
      <c r="H51" s="246"/>
      <c r="I51" s="246"/>
      <c r="J51" s="246"/>
      <c r="K51" s="246" t="s">
        <v>623</v>
      </c>
      <c r="L51" s="246" t="s">
        <v>414</v>
      </c>
      <c r="M51" s="246" t="s">
        <v>415</v>
      </c>
      <c r="N51" s="246" t="s">
        <v>416</v>
      </c>
    </row>
    <row r="52" spans="1:14" ht="31.2" customHeight="1" x14ac:dyDescent="0.3">
      <c r="A52" s="164"/>
      <c r="B52" s="247"/>
      <c r="C52" s="247"/>
      <c r="D52" s="247"/>
      <c r="E52" s="247"/>
      <c r="F52" s="247"/>
      <c r="G52" s="184" t="s">
        <v>417</v>
      </c>
      <c r="H52" s="184" t="s">
        <v>418</v>
      </c>
      <c r="I52" s="184" t="s">
        <v>419</v>
      </c>
      <c r="J52" s="184" t="s">
        <v>420</v>
      </c>
      <c r="K52" s="247"/>
      <c r="L52" s="247"/>
      <c r="M52" s="247"/>
      <c r="N52" s="247"/>
    </row>
    <row r="53" spans="1:14" ht="30" customHeight="1" thickBot="1" x14ac:dyDescent="0.35">
      <c r="A53" s="233" t="s">
        <v>581</v>
      </c>
      <c r="B53" s="233"/>
      <c r="C53" s="233"/>
      <c r="D53" s="233"/>
      <c r="E53" s="233"/>
      <c r="F53" s="233"/>
      <c r="G53" s="233"/>
      <c r="H53" s="233"/>
      <c r="I53" s="233"/>
      <c r="J53" s="233"/>
      <c r="K53" s="233"/>
      <c r="L53" s="233"/>
      <c r="M53" s="233"/>
      <c r="N53" s="233"/>
    </row>
    <row r="54" spans="1:14" ht="39.6" x14ac:dyDescent="0.3">
      <c r="A54" s="177"/>
      <c r="B54" s="234" t="s">
        <v>582</v>
      </c>
      <c r="C54" s="178" t="s">
        <v>583</v>
      </c>
      <c r="D54" s="135" t="s">
        <v>584</v>
      </c>
      <c r="E54" s="135" t="s">
        <v>547</v>
      </c>
      <c r="F54" s="179" t="s">
        <v>585</v>
      </c>
      <c r="G54" s="180">
        <v>42207</v>
      </c>
      <c r="H54" s="180">
        <v>27581</v>
      </c>
      <c r="I54" s="180">
        <v>24703</v>
      </c>
      <c r="J54" s="163">
        <v>20367</v>
      </c>
      <c r="K54" s="252">
        <f>+'Egresos 2025'!AJ7</f>
        <v>46690819115.300003</v>
      </c>
      <c r="L54" s="150" t="s">
        <v>586</v>
      </c>
      <c r="M54" s="181" t="s">
        <v>587</v>
      </c>
      <c r="N54" s="182" t="s">
        <v>588</v>
      </c>
    </row>
    <row r="55" spans="1:14" ht="39.6" x14ac:dyDescent="0.3">
      <c r="A55" s="236"/>
      <c r="B55" s="234"/>
      <c r="C55" s="105" t="s">
        <v>583</v>
      </c>
      <c r="D55" s="105" t="s">
        <v>589</v>
      </c>
      <c r="E55" s="106" t="s">
        <v>547</v>
      </c>
      <c r="F55" s="155" t="s">
        <v>590</v>
      </c>
      <c r="G55" s="163">
        <v>947.23</v>
      </c>
      <c r="H55" s="163">
        <v>986.7</v>
      </c>
      <c r="I55" s="163">
        <v>1026.17</v>
      </c>
      <c r="J55" s="163">
        <v>986</v>
      </c>
      <c r="K55" s="238"/>
      <c r="L55" s="110" t="s">
        <v>586</v>
      </c>
      <c r="M55" s="105" t="s">
        <v>587</v>
      </c>
      <c r="N55" s="109" t="s">
        <v>591</v>
      </c>
    </row>
    <row r="56" spans="1:14" ht="66" x14ac:dyDescent="0.3">
      <c r="A56" s="218"/>
      <c r="B56" s="234"/>
      <c r="C56" s="105" t="s">
        <v>592</v>
      </c>
      <c r="D56" s="105" t="s">
        <v>593</v>
      </c>
      <c r="E56" s="106" t="s">
        <v>402</v>
      </c>
      <c r="F56" s="155" t="s">
        <v>594</v>
      </c>
      <c r="G56" s="108"/>
      <c r="H56" s="108"/>
      <c r="I56" s="108"/>
      <c r="J56" s="108">
        <v>0.03</v>
      </c>
      <c r="K56" s="238"/>
      <c r="L56" s="105" t="s">
        <v>595</v>
      </c>
      <c r="M56" s="105" t="s">
        <v>587</v>
      </c>
      <c r="N56" s="109"/>
    </row>
    <row r="57" spans="1:14" ht="66" x14ac:dyDescent="0.3">
      <c r="A57" s="218"/>
      <c r="B57" s="234"/>
      <c r="C57" s="105" t="s">
        <v>596</v>
      </c>
      <c r="D57" s="105" t="s">
        <v>597</v>
      </c>
      <c r="E57" s="106" t="s">
        <v>404</v>
      </c>
      <c r="F57" s="155" t="s">
        <v>598</v>
      </c>
      <c r="G57" s="163">
        <v>190</v>
      </c>
      <c r="H57" s="163">
        <v>205</v>
      </c>
      <c r="I57" s="163">
        <v>210</v>
      </c>
      <c r="J57" s="163">
        <v>202</v>
      </c>
      <c r="K57" s="238"/>
      <c r="L57" s="105" t="s">
        <v>599</v>
      </c>
      <c r="M57" s="105" t="s">
        <v>587</v>
      </c>
      <c r="N57" s="109" t="s">
        <v>600</v>
      </c>
    </row>
    <row r="58" spans="1:14" ht="92.4" x14ac:dyDescent="0.3">
      <c r="A58" s="218"/>
      <c r="B58" s="234"/>
      <c r="C58" s="105" t="s">
        <v>601</v>
      </c>
      <c r="D58" s="105" t="s">
        <v>602</v>
      </c>
      <c r="E58" s="106" t="s">
        <v>565</v>
      </c>
      <c r="F58" s="110" t="s">
        <v>603</v>
      </c>
      <c r="G58" s="106">
        <v>25</v>
      </c>
      <c r="H58" s="106">
        <v>25</v>
      </c>
      <c r="I58" s="106">
        <v>25</v>
      </c>
      <c r="J58" s="106">
        <v>25</v>
      </c>
      <c r="K58" s="238"/>
      <c r="L58" s="105" t="s">
        <v>604</v>
      </c>
      <c r="M58" s="105" t="s">
        <v>587</v>
      </c>
      <c r="N58" s="109"/>
    </row>
    <row r="59" spans="1:14" ht="66" x14ac:dyDescent="0.3">
      <c r="A59" s="237"/>
      <c r="B59" s="234"/>
      <c r="C59" s="105" t="s">
        <v>596</v>
      </c>
      <c r="D59" s="105" t="s">
        <v>605</v>
      </c>
      <c r="E59" s="106" t="s">
        <v>404</v>
      </c>
      <c r="F59" s="155" t="s">
        <v>606</v>
      </c>
      <c r="G59" s="163">
        <v>4</v>
      </c>
      <c r="H59" s="163">
        <v>10</v>
      </c>
      <c r="I59" s="163">
        <v>11</v>
      </c>
      <c r="J59" s="163">
        <v>15</v>
      </c>
      <c r="K59" s="238"/>
      <c r="L59" s="105" t="s">
        <v>607</v>
      </c>
      <c r="M59" s="105" t="s">
        <v>587</v>
      </c>
      <c r="N59" s="109" t="s">
        <v>608</v>
      </c>
    </row>
    <row r="60" spans="1:14" ht="92.4" x14ac:dyDescent="0.3">
      <c r="A60" s="165"/>
      <c r="B60" s="234"/>
      <c r="C60" s="110" t="s">
        <v>609</v>
      </c>
      <c r="D60" s="105" t="s">
        <v>610</v>
      </c>
      <c r="E60" s="106" t="s">
        <v>402</v>
      </c>
      <c r="F60" s="155" t="s">
        <v>611</v>
      </c>
      <c r="G60" s="108">
        <v>0.3</v>
      </c>
      <c r="H60" s="108">
        <v>0.3</v>
      </c>
      <c r="I60" s="108">
        <v>0.4</v>
      </c>
      <c r="J60" s="163"/>
      <c r="K60" s="238"/>
      <c r="L60" s="105" t="s">
        <v>612</v>
      </c>
      <c r="M60" s="105" t="s">
        <v>587</v>
      </c>
      <c r="N60" s="109"/>
    </row>
    <row r="61" spans="1:14" ht="79.2" x14ac:dyDescent="0.3">
      <c r="A61" s="165"/>
      <c r="B61" s="234"/>
      <c r="C61" s="110" t="s">
        <v>613</v>
      </c>
      <c r="D61" s="105" t="s">
        <v>614</v>
      </c>
      <c r="E61" s="106" t="s">
        <v>404</v>
      </c>
      <c r="F61" s="155" t="s">
        <v>615</v>
      </c>
      <c r="G61" s="166"/>
      <c r="H61" s="166">
        <v>1</v>
      </c>
      <c r="I61" s="166">
        <v>1</v>
      </c>
      <c r="J61" s="106">
        <v>1</v>
      </c>
      <c r="K61" s="238"/>
      <c r="L61" s="105" t="s">
        <v>616</v>
      </c>
      <c r="M61" s="105" t="s">
        <v>587</v>
      </c>
      <c r="N61" s="109"/>
    </row>
    <row r="62" spans="1:14" ht="93" thickBot="1" x14ac:dyDescent="0.35">
      <c r="A62" s="167"/>
      <c r="B62" s="235"/>
      <c r="C62" s="116" t="s">
        <v>617</v>
      </c>
      <c r="D62" s="115" t="s">
        <v>618</v>
      </c>
      <c r="E62" s="101" t="s">
        <v>404</v>
      </c>
      <c r="F62" s="168" t="s">
        <v>619</v>
      </c>
      <c r="G62" s="144"/>
      <c r="H62" s="169">
        <v>1</v>
      </c>
      <c r="I62" s="169">
        <v>1</v>
      </c>
      <c r="J62" s="101">
        <v>1</v>
      </c>
      <c r="K62" s="253"/>
      <c r="L62" s="115" t="s">
        <v>620</v>
      </c>
      <c r="M62" s="115" t="s">
        <v>587</v>
      </c>
      <c r="N62" s="117"/>
    </row>
    <row r="63" spans="1:14" x14ac:dyDescent="0.3">
      <c r="K63" s="174"/>
    </row>
    <row r="64" spans="1:14" x14ac:dyDescent="0.25">
      <c r="D64" s="32" t="s">
        <v>624</v>
      </c>
    </row>
    <row r="67" spans="11:11" x14ac:dyDescent="0.3">
      <c r="K67" s="251"/>
    </row>
    <row r="68" spans="11:11" x14ac:dyDescent="0.3">
      <c r="K68" s="251"/>
    </row>
  </sheetData>
  <mergeCells count="61">
    <mergeCell ref="K54:K62"/>
    <mergeCell ref="M51:M52"/>
    <mergeCell ref="N51:N52"/>
    <mergeCell ref="M35:M36"/>
    <mergeCell ref="N35:N36"/>
    <mergeCell ref="B51:B52"/>
    <mergeCell ref="C51:C52"/>
    <mergeCell ref="D51:D52"/>
    <mergeCell ref="E51:E52"/>
    <mergeCell ref="F51:F52"/>
    <mergeCell ref="G51:J51"/>
    <mergeCell ref="K51:K52"/>
    <mergeCell ref="L51:L52"/>
    <mergeCell ref="B38:B49"/>
    <mergeCell ref="K38:K49"/>
    <mergeCell ref="K21:K33"/>
    <mergeCell ref="A37:N37"/>
    <mergeCell ref="A38:A49"/>
    <mergeCell ref="K18:K19"/>
    <mergeCell ref="L18:L19"/>
    <mergeCell ref="M18:M19"/>
    <mergeCell ref="N18:N19"/>
    <mergeCell ref="B35:B36"/>
    <mergeCell ref="C35:C36"/>
    <mergeCell ref="D35:D36"/>
    <mergeCell ref="E35:E36"/>
    <mergeCell ref="F35:F36"/>
    <mergeCell ref="G35:J35"/>
    <mergeCell ref="K35:K36"/>
    <mergeCell ref="L35:L36"/>
    <mergeCell ref="M6:M7"/>
    <mergeCell ref="N6:N7"/>
    <mergeCell ref="A8:N8"/>
    <mergeCell ref="A53:N53"/>
    <mergeCell ref="B54:B62"/>
    <mergeCell ref="A55:A59"/>
    <mergeCell ref="B18:B19"/>
    <mergeCell ref="C18:C19"/>
    <mergeCell ref="D18:D19"/>
    <mergeCell ref="E18:E19"/>
    <mergeCell ref="F18:F19"/>
    <mergeCell ref="G18:J18"/>
    <mergeCell ref="A20:N20"/>
    <mergeCell ref="A21:A33"/>
    <mergeCell ref="B21:B33"/>
    <mergeCell ref="A9:A16"/>
    <mergeCell ref="B9:B16"/>
    <mergeCell ref="C9:C16"/>
    <mergeCell ref="K9:K16"/>
    <mergeCell ref="A1:N1"/>
    <mergeCell ref="A2:N2"/>
    <mergeCell ref="A3:N5"/>
    <mergeCell ref="A6:A7"/>
    <mergeCell ref="B6:B7"/>
    <mergeCell ref="C6:C7"/>
    <mergeCell ref="D6:D7"/>
    <mergeCell ref="E6:E7"/>
    <mergeCell ref="F6:F7"/>
    <mergeCell ref="G6:J6"/>
    <mergeCell ref="K6:K7"/>
    <mergeCell ref="L6:L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Ingresos 2025</vt:lpstr>
      <vt:lpstr>Egresos 2025</vt:lpstr>
      <vt:lpstr>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Navarro Obando</dc:creator>
  <cp:lastModifiedBy>Martha Navarro Obando</cp:lastModifiedBy>
  <dcterms:created xsi:type="dcterms:W3CDTF">2025-06-26T13:36:53Z</dcterms:created>
  <dcterms:modified xsi:type="dcterms:W3CDTF">2025-07-15T14:15:48Z</dcterms:modified>
</cp:coreProperties>
</file>